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rFavQ$\Desktop\Boq\BILLS 2024\FEBRUARY\QS PHILIP\LUGBE\"/>
    </mc:Choice>
  </mc:AlternateContent>
  <xr:revisionPtr revIDLastSave="0" documentId="13_ncr:1_{1FC60977-DED5-4F4E-B2C1-00D9B2B1308C}" xr6:coauthVersionLast="47" xr6:coauthVersionMax="47" xr10:uidLastSave="{00000000-0000-0000-0000-000000000000}"/>
  <bookViews>
    <workbookView xWindow="-120" yWindow="-120" windowWidth="19440" windowHeight="11640" firstSheet="17" activeTab="18" xr2:uid="{00000000-000D-0000-FFFF-FFFF00000000}"/>
  </bookViews>
  <sheets>
    <sheet name="BILL" sheetId="3" state="hidden" r:id="rId1"/>
    <sheet name="BILL (2)" sheetId="8" state="hidden" r:id="rId2"/>
    <sheet name="Cover Page" sheetId="15" r:id="rId3"/>
    <sheet name="Cover page (6bd" sheetId="22" r:id="rId4"/>
    <sheet name="6BD detatched" sheetId="25" r:id="rId5"/>
    <sheet name="Cover page 4bd semi detached" sheetId="23" r:id="rId6"/>
    <sheet name="4BD SEMI-DETACHED" sheetId="26" r:id="rId7"/>
    <sheet name="Cover page (3 bd terrace" sheetId="9" r:id="rId8"/>
    <sheet name="3BD TERRACE" sheetId="6" r:id="rId9"/>
    <sheet name="Cover page 3BD BLK FLAT" sheetId="27" r:id="rId10"/>
    <sheet name="3BD BLK FLAT" sheetId="31" r:id="rId11"/>
    <sheet name="cover page 2BD BLK FLAT" sheetId="11" r:id="rId12"/>
    <sheet name="2BD BLK FLAT " sheetId="32" r:id="rId13"/>
    <sheet name="Cover page site office" sheetId="10" r:id="rId14"/>
    <sheet name="Site office" sheetId="28" r:id="rId15"/>
    <sheet name="Cover page GATEhouse" sheetId="30" r:id="rId16"/>
    <sheet name="GATE HOUSE" sheetId="29" r:id="rId17"/>
    <sheet name="Cover page fence" sheetId="12" r:id="rId18"/>
    <sheet name="Fence work " sheetId="13" r:id="rId19"/>
    <sheet name="INFRASTRUCTURE" sheetId="33" r:id="rId20"/>
    <sheet name="General Summary" sheetId="14"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0" localSheetId="12">#REF!</definedName>
    <definedName name="\0" localSheetId="10">#REF!</definedName>
    <definedName name="\0" localSheetId="8">#REF!</definedName>
    <definedName name="\0" localSheetId="6">#REF!</definedName>
    <definedName name="\0" localSheetId="4">#REF!</definedName>
    <definedName name="\0" localSheetId="1">#REF!</definedName>
    <definedName name="\0" localSheetId="2">#REF!</definedName>
    <definedName name="\0" localSheetId="7">#REF!</definedName>
    <definedName name="\0" localSheetId="3">#REF!</definedName>
    <definedName name="\0" localSheetId="11">#REF!</definedName>
    <definedName name="\0" localSheetId="9">#REF!</definedName>
    <definedName name="\0" localSheetId="5">#REF!</definedName>
    <definedName name="\0" localSheetId="17">#REF!</definedName>
    <definedName name="\0" localSheetId="15">#REF!</definedName>
    <definedName name="\0" localSheetId="13">#REF!</definedName>
    <definedName name="\0" localSheetId="18">#REF!</definedName>
    <definedName name="\0" localSheetId="20">#REF!</definedName>
    <definedName name="\0" localSheetId="14">#REF!</definedName>
    <definedName name="\0">#REF!</definedName>
    <definedName name="\a" localSheetId="12">#REF!</definedName>
    <definedName name="\a" localSheetId="10">#REF!</definedName>
    <definedName name="\a" localSheetId="8">#REF!</definedName>
    <definedName name="\a" localSheetId="6">#REF!</definedName>
    <definedName name="\a" localSheetId="4">#REF!</definedName>
    <definedName name="\a" localSheetId="1">#REF!</definedName>
    <definedName name="\A" localSheetId="2">#REF!</definedName>
    <definedName name="\a" localSheetId="7">#REF!</definedName>
    <definedName name="\a" localSheetId="3">#REF!</definedName>
    <definedName name="\a" localSheetId="11">#REF!</definedName>
    <definedName name="\a" localSheetId="9">#REF!</definedName>
    <definedName name="\a" localSheetId="5">#REF!</definedName>
    <definedName name="\a" localSheetId="17">#REF!</definedName>
    <definedName name="\a" localSheetId="15">#REF!</definedName>
    <definedName name="\a" localSheetId="13">#REF!</definedName>
    <definedName name="\a" localSheetId="18">#REF!</definedName>
    <definedName name="\a" localSheetId="20">#REF!</definedName>
    <definedName name="\a" localSheetId="14">#REF!</definedName>
    <definedName name="\a">#REF!</definedName>
    <definedName name="\b" localSheetId="12">#REF!</definedName>
    <definedName name="\b" localSheetId="10">#REF!</definedName>
    <definedName name="\b" localSheetId="8">#REF!</definedName>
    <definedName name="\b" localSheetId="6">#REF!</definedName>
    <definedName name="\b" localSheetId="4">#REF!</definedName>
    <definedName name="\b" localSheetId="1">#REF!</definedName>
    <definedName name="\b" localSheetId="2">#REF!</definedName>
    <definedName name="\b" localSheetId="7">#REF!</definedName>
    <definedName name="\b" localSheetId="3">#REF!</definedName>
    <definedName name="\b" localSheetId="11">#REF!</definedName>
    <definedName name="\b" localSheetId="9">#REF!</definedName>
    <definedName name="\b" localSheetId="5">#REF!</definedName>
    <definedName name="\b" localSheetId="17">#REF!</definedName>
    <definedName name="\b" localSheetId="15">#REF!</definedName>
    <definedName name="\b" localSheetId="13">#REF!</definedName>
    <definedName name="\b" localSheetId="18">#REF!</definedName>
    <definedName name="\b" localSheetId="20">#REF!</definedName>
    <definedName name="\b" localSheetId="14">#REF!</definedName>
    <definedName name="\b">#REF!</definedName>
    <definedName name="\c" localSheetId="12">#REF!</definedName>
    <definedName name="\c" localSheetId="10">#REF!</definedName>
    <definedName name="\c" localSheetId="4">#REF!</definedName>
    <definedName name="\c">#REF!</definedName>
    <definedName name="\d" localSheetId="12">#REF!</definedName>
    <definedName name="\d" localSheetId="10">#REF!</definedName>
    <definedName name="\d" localSheetId="4">#REF!</definedName>
    <definedName name="\d">#REF!</definedName>
    <definedName name="\da" localSheetId="12">#REF!</definedName>
    <definedName name="\da" localSheetId="10">#REF!</definedName>
    <definedName name="\da" localSheetId="4">#REF!</definedName>
    <definedName name="\da">#REF!</definedName>
    <definedName name="\E" localSheetId="12">[1]Sheet1!#REF!</definedName>
    <definedName name="\E" localSheetId="10">[1]Sheet1!#REF!</definedName>
    <definedName name="\E" localSheetId="4">[1]Sheet1!#REF!</definedName>
    <definedName name="\E" localSheetId="2">[1]Sheet1!#REF!</definedName>
    <definedName name="\E">[1]Sheet1!#REF!</definedName>
    <definedName name="\F" localSheetId="12">[1]Sheet1!#REF!</definedName>
    <definedName name="\F" localSheetId="10">[1]Sheet1!#REF!</definedName>
    <definedName name="\F" localSheetId="4">[1]Sheet1!#REF!</definedName>
    <definedName name="\F" localSheetId="2">[1]Sheet1!#REF!</definedName>
    <definedName name="\F">[1]Sheet1!#REF!</definedName>
    <definedName name="\G" localSheetId="2">[1]Sheet1!#REF!</definedName>
    <definedName name="\G">[1]Sheet1!#REF!</definedName>
    <definedName name="\h" localSheetId="12">#REF!</definedName>
    <definedName name="\h" localSheetId="10">#REF!</definedName>
    <definedName name="\h" localSheetId="6">#REF!</definedName>
    <definedName name="\h" localSheetId="4">#REF!</definedName>
    <definedName name="\h" localSheetId="2">#REF!</definedName>
    <definedName name="\h">#REF!</definedName>
    <definedName name="\ha" localSheetId="12">#REF!</definedName>
    <definedName name="\ha" localSheetId="10">#REF!</definedName>
    <definedName name="\ha" localSheetId="4">#REF!</definedName>
    <definedName name="\ha" localSheetId="2">#REF!</definedName>
    <definedName name="\ha">#REF!</definedName>
    <definedName name="\i" localSheetId="12">#REF!</definedName>
    <definedName name="\i" localSheetId="10">#REF!</definedName>
    <definedName name="\i" localSheetId="4">#REF!</definedName>
    <definedName name="\i">#REF!</definedName>
    <definedName name="\J" localSheetId="12">[1]Sheet1!#REF!</definedName>
    <definedName name="\J" localSheetId="10">[1]Sheet1!#REF!</definedName>
    <definedName name="\J" localSheetId="4">[1]Sheet1!#REF!</definedName>
    <definedName name="\J" localSheetId="2">[1]Sheet1!#REF!</definedName>
    <definedName name="\J">[1]Sheet1!#REF!</definedName>
    <definedName name="\k" localSheetId="12">#REF!</definedName>
    <definedName name="\k" localSheetId="10">#REF!</definedName>
    <definedName name="\k" localSheetId="6">#REF!</definedName>
    <definedName name="\k" localSheetId="4">#REF!</definedName>
    <definedName name="\k" localSheetId="2">#REF!</definedName>
    <definedName name="\k">#REF!</definedName>
    <definedName name="\ka" localSheetId="12">#REF!</definedName>
    <definedName name="\ka" localSheetId="10">#REF!</definedName>
    <definedName name="\ka" localSheetId="6">#REF!</definedName>
    <definedName name="\ka" localSheetId="4">#REF!</definedName>
    <definedName name="\ka">#REF!</definedName>
    <definedName name="\L" localSheetId="12">[1]Sheet1!#REF!</definedName>
    <definedName name="\L" localSheetId="10">[1]Sheet1!#REF!</definedName>
    <definedName name="\L" localSheetId="6">[1]Sheet1!#REF!</definedName>
    <definedName name="\L" localSheetId="4">[1]Sheet1!#REF!</definedName>
    <definedName name="\L" localSheetId="2">[1]Sheet1!#REF!</definedName>
    <definedName name="\L">[1]Sheet1!#REF!</definedName>
    <definedName name="\m" localSheetId="12">#REF!</definedName>
    <definedName name="\m" localSheetId="10">#REF!</definedName>
    <definedName name="\m" localSheetId="6">#REF!</definedName>
    <definedName name="\m" localSheetId="4">#REF!</definedName>
    <definedName name="\m" localSheetId="2">#REF!</definedName>
    <definedName name="\m">#REF!</definedName>
    <definedName name="\ma" localSheetId="12">#REF!</definedName>
    <definedName name="\ma" localSheetId="10">#REF!</definedName>
    <definedName name="\ma" localSheetId="4">#REF!</definedName>
    <definedName name="\ma" localSheetId="2">#REF!</definedName>
    <definedName name="\ma">#REF!</definedName>
    <definedName name="\n" localSheetId="12">#REF!</definedName>
    <definedName name="\n" localSheetId="10">#REF!</definedName>
    <definedName name="\n" localSheetId="4">#REF!</definedName>
    <definedName name="\n">#REF!</definedName>
    <definedName name="\p" localSheetId="12">#REF!</definedName>
    <definedName name="\p" localSheetId="10">#REF!</definedName>
    <definedName name="\p" localSheetId="4">#REF!</definedName>
    <definedName name="\p">#REF!</definedName>
    <definedName name="\pa" localSheetId="12">#REF!</definedName>
    <definedName name="\pa" localSheetId="10">#REF!</definedName>
    <definedName name="\pa" localSheetId="4">#REF!</definedName>
    <definedName name="\pa">#REF!</definedName>
    <definedName name="\pb" localSheetId="12">#REF!</definedName>
    <definedName name="\pb" localSheetId="10">#REF!</definedName>
    <definedName name="\pb" localSheetId="4">#REF!</definedName>
    <definedName name="\pb">#REF!</definedName>
    <definedName name="\q" localSheetId="12">#REF!</definedName>
    <definedName name="\q" localSheetId="10">#REF!</definedName>
    <definedName name="\q" localSheetId="4">#REF!</definedName>
    <definedName name="\q">#REF!</definedName>
    <definedName name="\qb" localSheetId="12">#REF!</definedName>
    <definedName name="\qb" localSheetId="10">#REF!</definedName>
    <definedName name="\qb" localSheetId="4">#REF!</definedName>
    <definedName name="\qb">#REF!</definedName>
    <definedName name="\r" localSheetId="12">#REF!</definedName>
    <definedName name="\r" localSheetId="10">#REF!</definedName>
    <definedName name="\r" localSheetId="4">#REF!</definedName>
    <definedName name="\r">#REF!</definedName>
    <definedName name="\ra" localSheetId="12">#REF!</definedName>
    <definedName name="\ra" localSheetId="10">#REF!</definedName>
    <definedName name="\ra" localSheetId="4">#REF!</definedName>
    <definedName name="\ra">#REF!</definedName>
    <definedName name="\s" localSheetId="12">#REF!</definedName>
    <definedName name="\s" localSheetId="10">#REF!</definedName>
    <definedName name="\s" localSheetId="4">#REF!</definedName>
    <definedName name="\s">#REF!</definedName>
    <definedName name="\sa" localSheetId="12">#REF!</definedName>
    <definedName name="\sa" localSheetId="10">#REF!</definedName>
    <definedName name="\sa" localSheetId="4">#REF!</definedName>
    <definedName name="\sa">#REF!</definedName>
    <definedName name="\t" localSheetId="12">#REF!</definedName>
    <definedName name="\t" localSheetId="10">#REF!</definedName>
    <definedName name="\t" localSheetId="4">#REF!</definedName>
    <definedName name="\t">#REF!</definedName>
    <definedName name="\u" localSheetId="12">#REF!</definedName>
    <definedName name="\u" localSheetId="10">#REF!</definedName>
    <definedName name="\u" localSheetId="4">#REF!</definedName>
    <definedName name="\u">#REF!</definedName>
    <definedName name="\ua" localSheetId="12">#REF!</definedName>
    <definedName name="\ua" localSheetId="10">#REF!</definedName>
    <definedName name="\ua" localSheetId="4">#REF!</definedName>
    <definedName name="\ua">#REF!</definedName>
    <definedName name="\v" localSheetId="12">#REF!</definedName>
    <definedName name="\v" localSheetId="10">#REF!</definedName>
    <definedName name="\v" localSheetId="4">#REF!</definedName>
    <definedName name="\v">#REF!</definedName>
    <definedName name="\va" localSheetId="12">#REF!</definedName>
    <definedName name="\va" localSheetId="10">#REF!</definedName>
    <definedName name="\va" localSheetId="4">#REF!</definedName>
    <definedName name="\va">#REF!</definedName>
    <definedName name="\w" localSheetId="12">#REF!</definedName>
    <definedName name="\w" localSheetId="10">#REF!</definedName>
    <definedName name="\w" localSheetId="4">#REF!</definedName>
    <definedName name="\w">#REF!</definedName>
    <definedName name="\wa" localSheetId="12">#REF!</definedName>
    <definedName name="\wa" localSheetId="10">#REF!</definedName>
    <definedName name="\wa" localSheetId="4">#REF!</definedName>
    <definedName name="\wa">#REF!</definedName>
    <definedName name="\X" localSheetId="12">[1]Sheet1!#REF!</definedName>
    <definedName name="\X" localSheetId="10">[1]Sheet1!#REF!</definedName>
    <definedName name="\X" localSheetId="4">[1]Sheet1!#REF!</definedName>
    <definedName name="\X" localSheetId="2">[1]Sheet1!#REF!</definedName>
    <definedName name="\X">[1]Sheet1!#REF!</definedName>
    <definedName name="\y" localSheetId="12">#REF!</definedName>
    <definedName name="\y" localSheetId="10">#REF!</definedName>
    <definedName name="\y" localSheetId="6">#REF!</definedName>
    <definedName name="\y" localSheetId="4">#REF!</definedName>
    <definedName name="\y" localSheetId="2">#REF!</definedName>
    <definedName name="\y">#REF!</definedName>
    <definedName name="\ya" localSheetId="12">#REF!</definedName>
    <definedName name="\ya" localSheetId="10">#REF!</definedName>
    <definedName name="\ya" localSheetId="6">#REF!</definedName>
    <definedName name="\ya" localSheetId="4">#REF!</definedName>
    <definedName name="\ya">#REF!</definedName>
    <definedName name="\z" localSheetId="12">#REF!</definedName>
    <definedName name="\z" localSheetId="10">#REF!</definedName>
    <definedName name="\z" localSheetId="4">#REF!</definedName>
    <definedName name="\z">#REF!</definedName>
    <definedName name="______cbd1" localSheetId="12">'[2]MAIN BLD TAKE OFF'!#REF!</definedName>
    <definedName name="______cbd1" localSheetId="10">'[2]MAIN BLD TAKE OFF'!#REF!</definedName>
    <definedName name="______cbd1" localSheetId="4">'[2]MAIN BLD TAKE OFF'!#REF!</definedName>
    <definedName name="______cbd1">'[2]MAIN BLD TAKE OFF'!#REF!</definedName>
    <definedName name="______cbd2" localSheetId="12">'[2]MAIN BLD TAKE OFF'!#REF!</definedName>
    <definedName name="______cbd2" localSheetId="10">'[2]MAIN BLD TAKE OFF'!#REF!</definedName>
    <definedName name="______cbd2" localSheetId="4">'[2]MAIN BLD TAKE OFF'!#REF!</definedName>
    <definedName name="______cbd2">'[2]MAIN BLD TAKE OFF'!#REF!</definedName>
    <definedName name="______cbd3" localSheetId="12">'[2]MAIN BLD TAKE OFF'!#REF!</definedName>
    <definedName name="______cbd3" localSheetId="10">'[2]MAIN BLD TAKE OFF'!#REF!</definedName>
    <definedName name="______cbd3" localSheetId="4">'[2]MAIN BLD TAKE OFF'!#REF!</definedName>
    <definedName name="______cbd3">'[2]MAIN BLD TAKE OFF'!#REF!</definedName>
    <definedName name="______td2" localSheetId="12">'[2]MAIN BLD TAKE OFF'!#REF!</definedName>
    <definedName name="______td2" localSheetId="10">'[2]MAIN BLD TAKE OFF'!#REF!</definedName>
    <definedName name="______td2" localSheetId="4">'[2]MAIN BLD TAKE OFF'!#REF!</definedName>
    <definedName name="______td2">'[2]MAIN BLD TAKE OFF'!#REF!</definedName>
    <definedName name="______tl1">'[2]MAIN BLD TAKE OFF'!#REF!</definedName>
    <definedName name="______tl2">'[2]MAIN BLD TAKE OFF'!#REF!</definedName>
    <definedName name="______tw2">'[2]MAIN BLD TAKE OFF'!#REF!</definedName>
    <definedName name="_____B242498" localSheetId="12">#REF!</definedName>
    <definedName name="_____B242498" localSheetId="10">#REF!</definedName>
    <definedName name="_____B242498" localSheetId="6">#REF!</definedName>
    <definedName name="_____B242498" localSheetId="4">#REF!</definedName>
    <definedName name="_____B242498">#REF!</definedName>
    <definedName name="_____cbd1" localSheetId="6">'[2]MAIN BLD TAKE OFF'!#REF!</definedName>
    <definedName name="_____cbd1" localSheetId="16">'[2]MAIN BLD TAKE OFF'!#REF!</definedName>
    <definedName name="_____cbd1" localSheetId="14">'[2]MAIN BLD TAKE OFF'!#REF!</definedName>
    <definedName name="_____cbd1">'[2]MAIN BLD TAKE OFF'!#REF!</definedName>
    <definedName name="_____cbd2" localSheetId="6">'[2]MAIN BLD TAKE OFF'!#REF!</definedName>
    <definedName name="_____cbd2" localSheetId="14">'[2]MAIN BLD TAKE OFF'!#REF!</definedName>
    <definedName name="_____cbd2">'[2]MAIN BLD TAKE OFF'!#REF!</definedName>
    <definedName name="_____cbd3">'[2]MAIN BLD TAKE OFF'!#REF!</definedName>
    <definedName name="_____td2">'[2]MAIN BLD TAKE OFF'!#REF!</definedName>
    <definedName name="_____tl1">'[2]MAIN BLD TAKE OFF'!#REF!</definedName>
    <definedName name="_____tl2">'[2]MAIN BLD TAKE OFF'!#REF!</definedName>
    <definedName name="_____tw1">'[3]MAIN BLD TAKE OFF'!$I$34</definedName>
    <definedName name="_____tw2" localSheetId="12">'[2]MAIN BLD TAKE OFF'!#REF!</definedName>
    <definedName name="_____tw2" localSheetId="10">'[2]MAIN BLD TAKE OFF'!#REF!</definedName>
    <definedName name="_____tw2" localSheetId="8">'[2]MAIN BLD TAKE OFF'!#REF!</definedName>
    <definedName name="_____tw2" localSheetId="6">'[2]MAIN BLD TAKE OFF'!#REF!</definedName>
    <definedName name="_____tw2" localSheetId="4">'[2]MAIN BLD TAKE OFF'!#REF!</definedName>
    <definedName name="_____tw2" localSheetId="1">'[2]MAIN BLD TAKE OFF'!#REF!</definedName>
    <definedName name="_____tw2" localSheetId="7">'[2]MAIN BLD TAKE OFF'!#REF!</definedName>
    <definedName name="_____tw2" localSheetId="3">'[2]MAIN BLD TAKE OFF'!#REF!</definedName>
    <definedName name="_____tw2" localSheetId="11">'[2]MAIN BLD TAKE OFF'!#REF!</definedName>
    <definedName name="_____tw2" localSheetId="9">'[2]MAIN BLD TAKE OFF'!#REF!</definedName>
    <definedName name="_____tw2" localSheetId="5">'[2]MAIN BLD TAKE OFF'!#REF!</definedName>
    <definedName name="_____tw2" localSheetId="17">'[2]MAIN BLD TAKE OFF'!#REF!</definedName>
    <definedName name="_____tw2" localSheetId="15">'[2]MAIN BLD TAKE OFF'!#REF!</definedName>
    <definedName name="_____tw2" localSheetId="13">'[2]MAIN BLD TAKE OFF'!#REF!</definedName>
    <definedName name="_____tw2" localSheetId="18">'[2]MAIN BLD TAKE OFF'!#REF!</definedName>
    <definedName name="_____tw2" localSheetId="16">'[2]MAIN BLD TAKE OFF'!#REF!</definedName>
    <definedName name="_____tw2" localSheetId="20">'[2]MAIN BLD TAKE OFF'!#REF!</definedName>
    <definedName name="_____tw2" localSheetId="14">'[2]MAIN BLD TAKE OFF'!#REF!</definedName>
    <definedName name="_____tw2">'[2]MAIN BLD TAKE OFF'!#REF!</definedName>
    <definedName name="____B242498" localSheetId="12">#REF!</definedName>
    <definedName name="____B242498" localSheetId="10">#REF!</definedName>
    <definedName name="____B242498" localSheetId="6">#REF!</definedName>
    <definedName name="____B242498" localSheetId="4">#REF!</definedName>
    <definedName name="____B242498">#REF!</definedName>
    <definedName name="____cbd1" localSheetId="12">'[2]MAIN BLD TAKE OFF'!#REF!</definedName>
    <definedName name="____cbd1" localSheetId="10">'[2]MAIN BLD TAKE OFF'!#REF!</definedName>
    <definedName name="____cbd1" localSheetId="8">'[2]MAIN BLD TAKE OFF'!#REF!</definedName>
    <definedName name="____cbd1" localSheetId="6">'[2]MAIN BLD TAKE OFF'!#REF!</definedName>
    <definedName name="____cbd1" localSheetId="4">'[2]MAIN BLD TAKE OFF'!#REF!</definedName>
    <definedName name="____cbd1" localSheetId="1">'[2]MAIN BLD TAKE OFF'!#REF!</definedName>
    <definedName name="____cbd1" localSheetId="7">'[2]MAIN BLD TAKE OFF'!#REF!</definedName>
    <definedName name="____cbd1" localSheetId="3">'[2]MAIN BLD TAKE OFF'!#REF!</definedName>
    <definedName name="____cbd1" localSheetId="11">'[2]MAIN BLD TAKE OFF'!#REF!</definedName>
    <definedName name="____cbd1" localSheetId="9">'[2]MAIN BLD TAKE OFF'!#REF!</definedName>
    <definedName name="____cbd1" localSheetId="5">'[2]MAIN BLD TAKE OFF'!#REF!</definedName>
    <definedName name="____cbd1" localSheetId="17">'[2]MAIN BLD TAKE OFF'!#REF!</definedName>
    <definedName name="____cbd1" localSheetId="15">'[2]MAIN BLD TAKE OFF'!#REF!</definedName>
    <definedName name="____cbd1" localSheetId="13">'[2]MAIN BLD TAKE OFF'!#REF!</definedName>
    <definedName name="____cbd1" localSheetId="18">'[2]MAIN BLD TAKE OFF'!#REF!</definedName>
    <definedName name="____cbd1" localSheetId="16">'[2]MAIN BLD TAKE OFF'!#REF!</definedName>
    <definedName name="____cbd1" localSheetId="20">'[2]MAIN BLD TAKE OFF'!#REF!</definedName>
    <definedName name="____cbd1" localSheetId="14">'[2]MAIN BLD TAKE OFF'!#REF!</definedName>
    <definedName name="____cbd1">'[2]MAIN BLD TAKE OFF'!#REF!</definedName>
    <definedName name="____cbd2" localSheetId="12">'[2]MAIN BLD TAKE OFF'!#REF!</definedName>
    <definedName name="____cbd2" localSheetId="10">'[2]MAIN BLD TAKE OFF'!#REF!</definedName>
    <definedName name="____cbd2" localSheetId="8">'[2]MAIN BLD TAKE OFF'!#REF!</definedName>
    <definedName name="____cbd2" localSheetId="6">'[2]MAIN BLD TAKE OFF'!#REF!</definedName>
    <definedName name="____cbd2" localSheetId="4">'[2]MAIN BLD TAKE OFF'!#REF!</definedName>
    <definedName name="____cbd2" localSheetId="1">'[2]MAIN BLD TAKE OFF'!#REF!</definedName>
    <definedName name="____cbd2" localSheetId="7">'[2]MAIN BLD TAKE OFF'!#REF!</definedName>
    <definedName name="____cbd2" localSheetId="3">'[2]MAIN BLD TAKE OFF'!#REF!</definedName>
    <definedName name="____cbd2" localSheetId="11">'[2]MAIN BLD TAKE OFF'!#REF!</definedName>
    <definedName name="____cbd2" localSheetId="9">'[2]MAIN BLD TAKE OFF'!#REF!</definedName>
    <definedName name="____cbd2" localSheetId="5">'[2]MAIN BLD TAKE OFF'!#REF!</definedName>
    <definedName name="____cbd2" localSheetId="17">'[2]MAIN BLD TAKE OFF'!#REF!</definedName>
    <definedName name="____cbd2" localSheetId="15">'[2]MAIN BLD TAKE OFF'!#REF!</definedName>
    <definedName name="____cbd2" localSheetId="13">'[2]MAIN BLD TAKE OFF'!#REF!</definedName>
    <definedName name="____cbd2" localSheetId="18">'[2]MAIN BLD TAKE OFF'!#REF!</definedName>
    <definedName name="____cbd2" localSheetId="16">'[2]MAIN BLD TAKE OFF'!#REF!</definedName>
    <definedName name="____cbd2" localSheetId="20">'[2]MAIN BLD TAKE OFF'!#REF!</definedName>
    <definedName name="____cbd2" localSheetId="14">'[2]MAIN BLD TAKE OFF'!#REF!</definedName>
    <definedName name="____cbd2">'[2]MAIN BLD TAKE OFF'!#REF!</definedName>
    <definedName name="____cbd3" localSheetId="12">'[2]MAIN BLD TAKE OFF'!#REF!</definedName>
    <definedName name="____cbd3" localSheetId="10">'[2]MAIN BLD TAKE OFF'!#REF!</definedName>
    <definedName name="____cbd3" localSheetId="8">'[2]MAIN BLD TAKE OFF'!#REF!</definedName>
    <definedName name="____cbd3" localSheetId="6">'[2]MAIN BLD TAKE OFF'!#REF!</definedName>
    <definedName name="____cbd3" localSheetId="4">'[2]MAIN BLD TAKE OFF'!#REF!</definedName>
    <definedName name="____cbd3" localSheetId="1">'[2]MAIN BLD TAKE OFF'!#REF!</definedName>
    <definedName name="____cbd3" localSheetId="7">'[2]MAIN BLD TAKE OFF'!#REF!</definedName>
    <definedName name="____cbd3" localSheetId="3">'[2]MAIN BLD TAKE OFF'!#REF!</definedName>
    <definedName name="____cbd3" localSheetId="11">'[2]MAIN BLD TAKE OFF'!#REF!</definedName>
    <definedName name="____cbd3" localSheetId="9">'[2]MAIN BLD TAKE OFF'!#REF!</definedName>
    <definedName name="____cbd3" localSheetId="5">'[2]MAIN BLD TAKE OFF'!#REF!</definedName>
    <definedName name="____cbd3" localSheetId="17">'[2]MAIN BLD TAKE OFF'!#REF!</definedName>
    <definedName name="____cbd3" localSheetId="15">'[2]MAIN BLD TAKE OFF'!#REF!</definedName>
    <definedName name="____cbd3" localSheetId="13">'[2]MAIN BLD TAKE OFF'!#REF!</definedName>
    <definedName name="____cbd3" localSheetId="18">'[2]MAIN BLD TAKE OFF'!#REF!</definedName>
    <definedName name="____cbd3" localSheetId="16">'[2]MAIN BLD TAKE OFF'!#REF!</definedName>
    <definedName name="____cbd3" localSheetId="20">'[2]MAIN BLD TAKE OFF'!#REF!</definedName>
    <definedName name="____cbd3" localSheetId="14">'[2]MAIN BLD TAKE OFF'!#REF!</definedName>
    <definedName name="____cbd3">'[2]MAIN BLD TAKE OFF'!#REF!</definedName>
    <definedName name="____td2">'[2]MAIN BLD TAKE OFF'!#REF!</definedName>
    <definedName name="____tl1">'[2]MAIN BLD TAKE OFF'!#REF!</definedName>
    <definedName name="____tl2">'[2]MAIN BLD TAKE OFF'!#REF!</definedName>
    <definedName name="____tw1">'[4]MAIN BLD TAKE OFF'!$I$34</definedName>
    <definedName name="____tw2" localSheetId="12">'[2]MAIN BLD TAKE OFF'!#REF!</definedName>
    <definedName name="____tw2" localSheetId="10">'[2]MAIN BLD TAKE OFF'!#REF!</definedName>
    <definedName name="____tw2" localSheetId="8">'[2]MAIN BLD TAKE OFF'!#REF!</definedName>
    <definedName name="____tw2" localSheetId="6">'[2]MAIN BLD TAKE OFF'!#REF!</definedName>
    <definedName name="____tw2" localSheetId="4">'[2]MAIN BLD TAKE OFF'!#REF!</definedName>
    <definedName name="____tw2" localSheetId="1">'[2]MAIN BLD TAKE OFF'!#REF!</definedName>
    <definedName name="____tw2" localSheetId="7">'[2]MAIN BLD TAKE OFF'!#REF!</definedName>
    <definedName name="____tw2" localSheetId="3">'[2]MAIN BLD TAKE OFF'!#REF!</definedName>
    <definedName name="____tw2" localSheetId="11">'[2]MAIN BLD TAKE OFF'!#REF!</definedName>
    <definedName name="____tw2" localSheetId="9">'[2]MAIN BLD TAKE OFF'!#REF!</definedName>
    <definedName name="____tw2" localSheetId="5">'[2]MAIN BLD TAKE OFF'!#REF!</definedName>
    <definedName name="____tw2" localSheetId="17">'[2]MAIN BLD TAKE OFF'!#REF!</definedName>
    <definedName name="____tw2" localSheetId="15">'[2]MAIN BLD TAKE OFF'!#REF!</definedName>
    <definedName name="____tw2" localSheetId="13">'[2]MAIN BLD TAKE OFF'!#REF!</definedName>
    <definedName name="____tw2" localSheetId="18">'[2]MAIN BLD TAKE OFF'!#REF!</definedName>
    <definedName name="____tw2" localSheetId="16">'[2]MAIN BLD TAKE OFF'!#REF!</definedName>
    <definedName name="____tw2" localSheetId="20">'[2]MAIN BLD TAKE OFF'!#REF!</definedName>
    <definedName name="____tw2" localSheetId="14">'[2]MAIN BLD TAKE OFF'!#REF!</definedName>
    <definedName name="____tw2">'[2]MAIN BLD TAKE OFF'!#REF!</definedName>
    <definedName name="___B242498" localSheetId="12">#REF!</definedName>
    <definedName name="___B242498" localSheetId="10">#REF!</definedName>
    <definedName name="___B242498" localSheetId="6">#REF!</definedName>
    <definedName name="___B242498" localSheetId="4">#REF!</definedName>
    <definedName name="___B242498">#REF!</definedName>
    <definedName name="___cbd1" localSheetId="12">'[2]MAIN BLD TAKE OFF'!#REF!</definedName>
    <definedName name="___cbd1" localSheetId="10">'[2]MAIN BLD TAKE OFF'!#REF!</definedName>
    <definedName name="___cbd1" localSheetId="8">'[2]MAIN BLD TAKE OFF'!#REF!</definedName>
    <definedName name="___cbd1" localSheetId="6">'[2]MAIN BLD TAKE OFF'!#REF!</definedName>
    <definedName name="___cbd1" localSheetId="4">'[2]MAIN BLD TAKE OFF'!#REF!</definedName>
    <definedName name="___cbd1" localSheetId="1">'[2]MAIN BLD TAKE OFF'!#REF!</definedName>
    <definedName name="___cbd1" localSheetId="7">'[2]MAIN BLD TAKE OFF'!#REF!</definedName>
    <definedName name="___cbd1" localSheetId="3">'[2]MAIN BLD TAKE OFF'!#REF!</definedName>
    <definedName name="___cbd1" localSheetId="11">'[2]MAIN BLD TAKE OFF'!#REF!</definedName>
    <definedName name="___cbd1" localSheetId="9">'[2]MAIN BLD TAKE OFF'!#REF!</definedName>
    <definedName name="___cbd1" localSheetId="5">'[2]MAIN BLD TAKE OFF'!#REF!</definedName>
    <definedName name="___cbd1" localSheetId="17">'[2]MAIN BLD TAKE OFF'!#REF!</definedName>
    <definedName name="___cbd1" localSheetId="15">'[2]MAIN BLD TAKE OFF'!#REF!</definedName>
    <definedName name="___cbd1" localSheetId="13">'[2]MAIN BLD TAKE OFF'!#REF!</definedName>
    <definedName name="___cbd1" localSheetId="18">'[2]MAIN BLD TAKE OFF'!#REF!</definedName>
    <definedName name="___cbd1" localSheetId="16">'[2]MAIN BLD TAKE OFF'!#REF!</definedName>
    <definedName name="___cbd1" localSheetId="20">'[2]MAIN BLD TAKE OFF'!#REF!</definedName>
    <definedName name="___cbd1" localSheetId="14">'[2]MAIN BLD TAKE OFF'!#REF!</definedName>
    <definedName name="___cbd1">'[2]MAIN BLD TAKE OFF'!#REF!</definedName>
    <definedName name="___cbd2" localSheetId="12">'[2]MAIN BLD TAKE OFF'!#REF!</definedName>
    <definedName name="___cbd2" localSheetId="10">'[2]MAIN BLD TAKE OFF'!#REF!</definedName>
    <definedName name="___cbd2" localSheetId="8">'[2]MAIN BLD TAKE OFF'!#REF!</definedName>
    <definedName name="___cbd2" localSheetId="6">'[2]MAIN BLD TAKE OFF'!#REF!</definedName>
    <definedName name="___cbd2" localSheetId="4">'[2]MAIN BLD TAKE OFF'!#REF!</definedName>
    <definedName name="___cbd2" localSheetId="1">'[2]MAIN BLD TAKE OFF'!#REF!</definedName>
    <definedName name="___cbd2" localSheetId="7">'[2]MAIN BLD TAKE OFF'!#REF!</definedName>
    <definedName name="___cbd2" localSheetId="3">'[2]MAIN BLD TAKE OFF'!#REF!</definedName>
    <definedName name="___cbd2" localSheetId="11">'[2]MAIN BLD TAKE OFF'!#REF!</definedName>
    <definedName name="___cbd2" localSheetId="9">'[2]MAIN BLD TAKE OFF'!#REF!</definedName>
    <definedName name="___cbd2" localSheetId="5">'[2]MAIN BLD TAKE OFF'!#REF!</definedName>
    <definedName name="___cbd2" localSheetId="17">'[2]MAIN BLD TAKE OFF'!#REF!</definedName>
    <definedName name="___cbd2" localSheetId="15">'[2]MAIN BLD TAKE OFF'!#REF!</definedName>
    <definedName name="___cbd2" localSheetId="13">'[2]MAIN BLD TAKE OFF'!#REF!</definedName>
    <definedName name="___cbd2" localSheetId="18">'[2]MAIN BLD TAKE OFF'!#REF!</definedName>
    <definedName name="___cbd2" localSheetId="16">'[2]MAIN BLD TAKE OFF'!#REF!</definedName>
    <definedName name="___cbd2" localSheetId="20">'[2]MAIN BLD TAKE OFF'!#REF!</definedName>
    <definedName name="___cbd2" localSheetId="14">'[2]MAIN BLD TAKE OFF'!#REF!</definedName>
    <definedName name="___cbd2">'[2]MAIN BLD TAKE OFF'!#REF!</definedName>
    <definedName name="___cbd3" localSheetId="12">'[2]MAIN BLD TAKE OFF'!#REF!</definedName>
    <definedName name="___cbd3" localSheetId="10">'[2]MAIN BLD TAKE OFF'!#REF!</definedName>
    <definedName name="___cbd3" localSheetId="8">'[2]MAIN BLD TAKE OFF'!#REF!</definedName>
    <definedName name="___cbd3" localSheetId="6">'[2]MAIN BLD TAKE OFF'!#REF!</definedName>
    <definedName name="___cbd3" localSheetId="4">'[2]MAIN BLD TAKE OFF'!#REF!</definedName>
    <definedName name="___cbd3" localSheetId="1">'[2]MAIN BLD TAKE OFF'!#REF!</definedName>
    <definedName name="___cbd3" localSheetId="7">'[2]MAIN BLD TAKE OFF'!#REF!</definedName>
    <definedName name="___cbd3" localSheetId="3">'[2]MAIN BLD TAKE OFF'!#REF!</definedName>
    <definedName name="___cbd3" localSheetId="11">'[2]MAIN BLD TAKE OFF'!#REF!</definedName>
    <definedName name="___cbd3" localSheetId="9">'[2]MAIN BLD TAKE OFF'!#REF!</definedName>
    <definedName name="___cbd3" localSheetId="5">'[2]MAIN BLD TAKE OFF'!#REF!</definedName>
    <definedName name="___cbd3" localSheetId="17">'[2]MAIN BLD TAKE OFF'!#REF!</definedName>
    <definedName name="___cbd3" localSheetId="15">'[2]MAIN BLD TAKE OFF'!#REF!</definedName>
    <definedName name="___cbd3" localSheetId="13">'[2]MAIN BLD TAKE OFF'!#REF!</definedName>
    <definedName name="___cbd3" localSheetId="18">'[2]MAIN BLD TAKE OFF'!#REF!</definedName>
    <definedName name="___cbd3" localSheetId="16">'[2]MAIN BLD TAKE OFF'!#REF!</definedName>
    <definedName name="___cbd3" localSheetId="20">'[2]MAIN BLD TAKE OFF'!#REF!</definedName>
    <definedName name="___cbd3" localSheetId="14">'[2]MAIN BLD TAKE OFF'!#REF!</definedName>
    <definedName name="___cbd3">'[2]MAIN BLD TAKE OFF'!#REF!</definedName>
    <definedName name="___td2">'[2]MAIN BLD TAKE OFF'!#REF!</definedName>
    <definedName name="___tl1">'[2]MAIN BLD TAKE OFF'!#REF!</definedName>
    <definedName name="___tl2">'[2]MAIN BLD TAKE OFF'!#REF!</definedName>
    <definedName name="___tw1">'[3]MAIN BLD TAKE OFF'!$I$34</definedName>
    <definedName name="___tw2" localSheetId="12">'[2]MAIN BLD TAKE OFF'!#REF!</definedName>
    <definedName name="___tw2" localSheetId="10">'[2]MAIN BLD TAKE OFF'!#REF!</definedName>
    <definedName name="___tw2" localSheetId="8">'[2]MAIN BLD TAKE OFF'!#REF!</definedName>
    <definedName name="___tw2" localSheetId="6">'[2]MAIN BLD TAKE OFF'!#REF!</definedName>
    <definedName name="___tw2" localSheetId="4">'[2]MAIN BLD TAKE OFF'!#REF!</definedName>
    <definedName name="___tw2" localSheetId="1">'[2]MAIN BLD TAKE OFF'!#REF!</definedName>
    <definedName name="___tw2" localSheetId="7">'[2]MAIN BLD TAKE OFF'!#REF!</definedName>
    <definedName name="___tw2" localSheetId="3">'[2]MAIN BLD TAKE OFF'!#REF!</definedName>
    <definedName name="___tw2" localSheetId="11">'[2]MAIN BLD TAKE OFF'!#REF!</definedName>
    <definedName name="___tw2" localSheetId="9">'[2]MAIN BLD TAKE OFF'!#REF!</definedName>
    <definedName name="___tw2" localSheetId="5">'[2]MAIN BLD TAKE OFF'!#REF!</definedName>
    <definedName name="___tw2" localSheetId="17">'[2]MAIN BLD TAKE OFF'!#REF!</definedName>
    <definedName name="___tw2" localSheetId="15">'[2]MAIN BLD TAKE OFF'!#REF!</definedName>
    <definedName name="___tw2" localSheetId="13">'[2]MAIN BLD TAKE OFF'!#REF!</definedName>
    <definedName name="___tw2" localSheetId="18">'[2]MAIN BLD TAKE OFF'!#REF!</definedName>
    <definedName name="___tw2" localSheetId="16">'[2]MAIN BLD TAKE OFF'!#REF!</definedName>
    <definedName name="___tw2" localSheetId="20">'[2]MAIN BLD TAKE OFF'!#REF!</definedName>
    <definedName name="___tw2" localSheetId="14">'[2]MAIN BLD TAKE OFF'!#REF!</definedName>
    <definedName name="___tw2">'[2]MAIN BLD TAKE OFF'!#REF!</definedName>
    <definedName name="__B242498" localSheetId="12">#REF!</definedName>
    <definedName name="__B242498" localSheetId="10">#REF!</definedName>
    <definedName name="__B242498" localSheetId="6">#REF!</definedName>
    <definedName name="__B242498" localSheetId="4">#REF!</definedName>
    <definedName name="__B242498">#REF!</definedName>
    <definedName name="__cbd1" localSheetId="12">'[5]MAIN BLD TAKE OFF'!#REF!</definedName>
    <definedName name="__cbd1" localSheetId="10">'[5]MAIN BLD TAKE OFF'!#REF!</definedName>
    <definedName name="__cbd1" localSheetId="8">'[5]MAIN BLD TAKE OFF'!#REF!</definedName>
    <definedName name="__cbd1" localSheetId="6">'[5]MAIN BLD TAKE OFF'!#REF!</definedName>
    <definedName name="__cbd1" localSheetId="4">'[5]MAIN BLD TAKE OFF'!#REF!</definedName>
    <definedName name="__cbd1" localSheetId="1">'[5]MAIN BLD TAKE OFF'!#REF!</definedName>
    <definedName name="__cbd1" localSheetId="7">'[5]MAIN BLD TAKE OFF'!#REF!</definedName>
    <definedName name="__cbd1" localSheetId="3">'[5]MAIN BLD TAKE OFF'!#REF!</definedName>
    <definedName name="__cbd1" localSheetId="11">'[5]MAIN BLD TAKE OFF'!#REF!</definedName>
    <definedName name="__cbd1" localSheetId="9">'[5]MAIN BLD TAKE OFF'!#REF!</definedName>
    <definedName name="__cbd1" localSheetId="5">'[5]MAIN BLD TAKE OFF'!#REF!</definedName>
    <definedName name="__cbd1" localSheetId="17">'[5]MAIN BLD TAKE OFF'!#REF!</definedName>
    <definedName name="__cbd1" localSheetId="15">'[5]MAIN BLD TAKE OFF'!#REF!</definedName>
    <definedName name="__cbd1" localSheetId="13">'[5]MAIN BLD TAKE OFF'!#REF!</definedName>
    <definedName name="__cbd1" localSheetId="16">'[5]MAIN BLD TAKE OFF'!#REF!</definedName>
    <definedName name="__cbd1" localSheetId="20">'[5]MAIN BLD TAKE OFF'!#REF!</definedName>
    <definedName name="__cbd1" localSheetId="14">'[5]MAIN BLD TAKE OFF'!#REF!</definedName>
    <definedName name="__cbd1">'[5]MAIN BLD TAKE OFF'!#REF!</definedName>
    <definedName name="__cbd2" localSheetId="12">'[5]MAIN BLD TAKE OFF'!#REF!</definedName>
    <definedName name="__cbd2" localSheetId="10">'[5]MAIN BLD TAKE OFF'!#REF!</definedName>
    <definedName name="__cbd2" localSheetId="8">'[5]MAIN BLD TAKE OFF'!#REF!</definedName>
    <definedName name="__cbd2" localSheetId="6">'[5]MAIN BLD TAKE OFF'!#REF!</definedName>
    <definedName name="__cbd2" localSheetId="4">'[5]MAIN BLD TAKE OFF'!#REF!</definedName>
    <definedName name="__cbd2" localSheetId="1">'[5]MAIN BLD TAKE OFF'!#REF!</definedName>
    <definedName name="__cbd2" localSheetId="7">'[5]MAIN BLD TAKE OFF'!#REF!</definedName>
    <definedName name="__cbd2" localSheetId="3">'[5]MAIN BLD TAKE OFF'!#REF!</definedName>
    <definedName name="__cbd2" localSheetId="11">'[5]MAIN BLD TAKE OFF'!#REF!</definedName>
    <definedName name="__cbd2" localSheetId="9">'[5]MAIN BLD TAKE OFF'!#REF!</definedName>
    <definedName name="__cbd2" localSheetId="5">'[5]MAIN BLD TAKE OFF'!#REF!</definedName>
    <definedName name="__cbd2" localSheetId="17">'[5]MAIN BLD TAKE OFF'!#REF!</definedName>
    <definedName name="__cbd2" localSheetId="15">'[5]MAIN BLD TAKE OFF'!#REF!</definedName>
    <definedName name="__cbd2" localSheetId="13">'[5]MAIN BLD TAKE OFF'!#REF!</definedName>
    <definedName name="__cbd2" localSheetId="16">'[5]MAIN BLD TAKE OFF'!#REF!</definedName>
    <definedName name="__cbd2" localSheetId="14">'[5]MAIN BLD TAKE OFF'!#REF!</definedName>
    <definedName name="__cbd2">'[5]MAIN BLD TAKE OFF'!#REF!</definedName>
    <definedName name="__cbd3" localSheetId="12">'[5]MAIN BLD TAKE OFF'!#REF!</definedName>
    <definedName name="__cbd3" localSheetId="10">'[5]MAIN BLD TAKE OFF'!#REF!</definedName>
    <definedName name="__cbd3" localSheetId="8">'[5]MAIN BLD TAKE OFF'!#REF!</definedName>
    <definedName name="__cbd3" localSheetId="6">'[5]MAIN BLD TAKE OFF'!#REF!</definedName>
    <definedName name="__cbd3" localSheetId="4">'[5]MAIN BLD TAKE OFF'!#REF!</definedName>
    <definedName name="__cbd3" localSheetId="1">'[5]MAIN BLD TAKE OFF'!#REF!</definedName>
    <definedName name="__cbd3" localSheetId="16">'[5]MAIN BLD TAKE OFF'!#REF!</definedName>
    <definedName name="__cbd3" localSheetId="14">'[5]MAIN BLD TAKE OFF'!#REF!</definedName>
    <definedName name="__cbd3">'[5]MAIN BLD TAKE OFF'!#REF!</definedName>
    <definedName name="__Gen1" localSheetId="12">#REF!</definedName>
    <definedName name="__Gen1" localSheetId="10">#REF!</definedName>
    <definedName name="__Gen1" localSheetId="6">#REF!</definedName>
    <definedName name="__Gen1" localSheetId="4">#REF!</definedName>
    <definedName name="__Gen1">#REF!</definedName>
    <definedName name="__Gen2" localSheetId="12">#REF!</definedName>
    <definedName name="__Gen2" localSheetId="10">#REF!</definedName>
    <definedName name="__Gen2" localSheetId="6">#REF!</definedName>
    <definedName name="__Gen2" localSheetId="4">#REF!</definedName>
    <definedName name="__Gen2">#REF!</definedName>
    <definedName name="__Pg1" localSheetId="12">#REF!</definedName>
    <definedName name="__Pg1" localSheetId="10">#REF!</definedName>
    <definedName name="__Pg1" localSheetId="6">#REF!</definedName>
    <definedName name="__Pg1" localSheetId="4">#REF!</definedName>
    <definedName name="__Pg1">#REF!</definedName>
    <definedName name="__Pg10" localSheetId="12">#REF!</definedName>
    <definedName name="__Pg10" localSheetId="10">#REF!</definedName>
    <definedName name="__Pg10" localSheetId="4">#REF!</definedName>
    <definedName name="__Pg10">#REF!</definedName>
    <definedName name="__Pg13" localSheetId="12">#REF!</definedName>
    <definedName name="__Pg13" localSheetId="10">#REF!</definedName>
    <definedName name="__Pg13" localSheetId="4">#REF!</definedName>
    <definedName name="__Pg13">#REF!</definedName>
    <definedName name="__Pg14" localSheetId="12">#REF!</definedName>
    <definedName name="__Pg14" localSheetId="10">#REF!</definedName>
    <definedName name="__Pg14" localSheetId="4">#REF!</definedName>
    <definedName name="__Pg14">#REF!</definedName>
    <definedName name="__Pg15" localSheetId="12">#REF!</definedName>
    <definedName name="__Pg15" localSheetId="10">#REF!</definedName>
    <definedName name="__Pg15" localSheetId="4">#REF!</definedName>
    <definedName name="__Pg15">#REF!</definedName>
    <definedName name="__Pg16" localSheetId="12">#REF!</definedName>
    <definedName name="__Pg16" localSheetId="10">#REF!</definedName>
    <definedName name="__Pg16" localSheetId="4">#REF!</definedName>
    <definedName name="__Pg16">#REF!</definedName>
    <definedName name="__Pg17" localSheetId="12">#REF!</definedName>
    <definedName name="__Pg17" localSheetId="10">#REF!</definedName>
    <definedName name="__Pg17" localSheetId="4">#REF!</definedName>
    <definedName name="__Pg17">#REF!</definedName>
    <definedName name="__Pg18" localSheetId="12">#REF!</definedName>
    <definedName name="__Pg18" localSheetId="10">#REF!</definedName>
    <definedName name="__Pg18" localSheetId="4">#REF!</definedName>
    <definedName name="__Pg18">#REF!</definedName>
    <definedName name="__Pg19" localSheetId="12">#REF!</definedName>
    <definedName name="__Pg19" localSheetId="10">#REF!</definedName>
    <definedName name="__Pg19" localSheetId="4">#REF!</definedName>
    <definedName name="__Pg19">#REF!</definedName>
    <definedName name="__Pg2" localSheetId="12">#REF!</definedName>
    <definedName name="__Pg2" localSheetId="10">#REF!</definedName>
    <definedName name="__Pg2" localSheetId="4">#REF!</definedName>
    <definedName name="__Pg2">#REF!</definedName>
    <definedName name="__Pg20" localSheetId="12">#REF!</definedName>
    <definedName name="__Pg20" localSheetId="10">#REF!</definedName>
    <definedName name="__Pg20" localSheetId="4">#REF!</definedName>
    <definedName name="__Pg20">#REF!</definedName>
    <definedName name="__Pg21" localSheetId="12">#REF!</definedName>
    <definedName name="__Pg21" localSheetId="10">#REF!</definedName>
    <definedName name="__Pg21" localSheetId="4">#REF!</definedName>
    <definedName name="__Pg21">#REF!</definedName>
    <definedName name="__Pg22" localSheetId="12">#REF!</definedName>
    <definedName name="__Pg22" localSheetId="10">#REF!</definedName>
    <definedName name="__Pg22" localSheetId="4">#REF!</definedName>
    <definedName name="__Pg22">#REF!</definedName>
    <definedName name="__Pg23" localSheetId="12">#REF!</definedName>
    <definedName name="__Pg23" localSheetId="10">#REF!</definedName>
    <definedName name="__Pg23" localSheetId="4">#REF!</definedName>
    <definedName name="__Pg23">#REF!</definedName>
    <definedName name="__Pg24" localSheetId="12">#REF!</definedName>
    <definedName name="__Pg24" localSheetId="10">#REF!</definedName>
    <definedName name="__Pg24" localSheetId="4">#REF!</definedName>
    <definedName name="__Pg24">#REF!</definedName>
    <definedName name="__Pg25" localSheetId="12">#REF!</definedName>
    <definedName name="__Pg25" localSheetId="10">#REF!</definedName>
    <definedName name="__Pg25" localSheetId="4">#REF!</definedName>
    <definedName name="__Pg25">#REF!</definedName>
    <definedName name="__Pg26" localSheetId="12">#REF!</definedName>
    <definedName name="__Pg26" localSheetId="10">#REF!</definedName>
    <definedName name="__Pg26" localSheetId="4">#REF!</definedName>
    <definedName name="__Pg26">#REF!</definedName>
    <definedName name="__Pg27" localSheetId="12">#REF!</definedName>
    <definedName name="__Pg27" localSheetId="10">#REF!</definedName>
    <definedName name="__Pg27" localSheetId="4">#REF!</definedName>
    <definedName name="__Pg27">#REF!</definedName>
    <definedName name="__Pg28" localSheetId="12">#REF!</definedName>
    <definedName name="__Pg28" localSheetId="10">#REF!</definedName>
    <definedName name="__Pg28" localSheetId="4">#REF!</definedName>
    <definedName name="__Pg28">#REF!</definedName>
    <definedName name="__Pg29" localSheetId="12">#REF!</definedName>
    <definedName name="__Pg29" localSheetId="10">#REF!</definedName>
    <definedName name="__Pg29" localSheetId="4">#REF!</definedName>
    <definedName name="__Pg29">#REF!</definedName>
    <definedName name="__Pg3" localSheetId="12">#REF!</definedName>
    <definedName name="__Pg3" localSheetId="10">#REF!</definedName>
    <definedName name="__Pg3" localSheetId="4">#REF!</definedName>
    <definedName name="__Pg3">#REF!</definedName>
    <definedName name="__Pg30" localSheetId="12">#REF!</definedName>
    <definedName name="__Pg30" localSheetId="10">#REF!</definedName>
    <definedName name="__Pg30" localSheetId="4">#REF!</definedName>
    <definedName name="__Pg30">#REF!</definedName>
    <definedName name="__Pg31" localSheetId="12">#REF!</definedName>
    <definedName name="__Pg31" localSheetId="10">#REF!</definedName>
    <definedName name="__Pg31" localSheetId="4">#REF!</definedName>
    <definedName name="__Pg31">#REF!</definedName>
    <definedName name="__Pg32" localSheetId="12">#REF!</definedName>
    <definedName name="__Pg32" localSheetId="10">#REF!</definedName>
    <definedName name="__Pg32" localSheetId="4">#REF!</definedName>
    <definedName name="__Pg32">#REF!</definedName>
    <definedName name="__Pg33" localSheetId="12">#REF!</definedName>
    <definedName name="__Pg33" localSheetId="10">#REF!</definedName>
    <definedName name="__Pg33" localSheetId="4">#REF!</definedName>
    <definedName name="__Pg33">#REF!</definedName>
    <definedName name="__Pg34" localSheetId="12">#REF!</definedName>
    <definedName name="__Pg34" localSheetId="10">#REF!</definedName>
    <definedName name="__Pg34" localSheetId="4">#REF!</definedName>
    <definedName name="__Pg34">#REF!</definedName>
    <definedName name="__Pg35" localSheetId="12">#REF!</definedName>
    <definedName name="__Pg35" localSheetId="10">#REF!</definedName>
    <definedName name="__Pg35" localSheetId="4">#REF!</definedName>
    <definedName name="__Pg35">#REF!</definedName>
    <definedName name="__Pg36" localSheetId="12">#REF!</definedName>
    <definedName name="__Pg36" localSheetId="10">#REF!</definedName>
    <definedName name="__Pg36" localSheetId="4">#REF!</definedName>
    <definedName name="__Pg36">#REF!</definedName>
    <definedName name="__Pg37" localSheetId="12">#REF!</definedName>
    <definedName name="__Pg37" localSheetId="10">#REF!</definedName>
    <definedName name="__Pg37" localSheetId="4">#REF!</definedName>
    <definedName name="__Pg37">#REF!</definedName>
    <definedName name="__Pg38" localSheetId="12">#REF!</definedName>
    <definedName name="__Pg38" localSheetId="10">#REF!</definedName>
    <definedName name="__Pg38" localSheetId="4">#REF!</definedName>
    <definedName name="__Pg38">#REF!</definedName>
    <definedName name="__Pg39" localSheetId="12">#REF!</definedName>
    <definedName name="__Pg39" localSheetId="10">#REF!</definedName>
    <definedName name="__Pg39" localSheetId="4">#REF!</definedName>
    <definedName name="__Pg39">#REF!</definedName>
    <definedName name="__Pg4" localSheetId="12">#REF!</definedName>
    <definedName name="__Pg4" localSheetId="10">#REF!</definedName>
    <definedName name="__Pg4" localSheetId="4">#REF!</definedName>
    <definedName name="__Pg4">#REF!</definedName>
    <definedName name="__Pg40" localSheetId="12">#REF!</definedName>
    <definedName name="__Pg40" localSheetId="10">#REF!</definedName>
    <definedName name="__Pg40" localSheetId="4">#REF!</definedName>
    <definedName name="__Pg40">#REF!</definedName>
    <definedName name="__Pg41" localSheetId="12">#REF!</definedName>
    <definedName name="__Pg41" localSheetId="10">#REF!</definedName>
    <definedName name="__Pg41" localSheetId="4">#REF!</definedName>
    <definedName name="__Pg41">#REF!</definedName>
    <definedName name="__Pg42" localSheetId="12">#REF!</definedName>
    <definedName name="__Pg42" localSheetId="10">#REF!</definedName>
    <definedName name="__Pg42" localSheetId="4">#REF!</definedName>
    <definedName name="__Pg42">#REF!</definedName>
    <definedName name="__Pg43" localSheetId="12">#REF!</definedName>
    <definedName name="__Pg43" localSheetId="10">#REF!</definedName>
    <definedName name="__Pg43" localSheetId="4">#REF!</definedName>
    <definedName name="__Pg43">#REF!</definedName>
    <definedName name="__Pg44" localSheetId="12">#REF!</definedName>
    <definedName name="__Pg44" localSheetId="10">#REF!</definedName>
    <definedName name="__Pg44" localSheetId="4">#REF!</definedName>
    <definedName name="__Pg44">#REF!</definedName>
    <definedName name="__Pg45" localSheetId="12">#REF!</definedName>
    <definedName name="__Pg45" localSheetId="10">#REF!</definedName>
    <definedName name="__Pg45" localSheetId="4">#REF!</definedName>
    <definedName name="__Pg45">#REF!</definedName>
    <definedName name="__Pg46" localSheetId="12">#REF!</definedName>
    <definedName name="__Pg46" localSheetId="10">#REF!</definedName>
    <definedName name="__Pg46" localSheetId="4">#REF!</definedName>
    <definedName name="__Pg46">#REF!</definedName>
    <definedName name="__Pg47" localSheetId="12">#REF!</definedName>
    <definedName name="__Pg47" localSheetId="10">#REF!</definedName>
    <definedName name="__Pg47" localSheetId="4">#REF!</definedName>
    <definedName name="__Pg47">#REF!</definedName>
    <definedName name="__Pg48" localSheetId="12">#REF!</definedName>
    <definedName name="__Pg48" localSheetId="10">#REF!</definedName>
    <definedName name="__Pg48" localSheetId="4">#REF!</definedName>
    <definedName name="__Pg48">#REF!</definedName>
    <definedName name="__Pg49" localSheetId="12">#REF!</definedName>
    <definedName name="__Pg49" localSheetId="10">#REF!</definedName>
    <definedName name="__Pg49" localSheetId="4">#REF!</definedName>
    <definedName name="__Pg49">#REF!</definedName>
    <definedName name="__Pg5" localSheetId="12">#REF!</definedName>
    <definedName name="__Pg5" localSheetId="10">#REF!</definedName>
    <definedName name="__Pg5" localSheetId="4">#REF!</definedName>
    <definedName name="__Pg5">#REF!</definedName>
    <definedName name="__Pg50" localSheetId="12">#REF!</definedName>
    <definedName name="__Pg50" localSheetId="10">#REF!</definedName>
    <definedName name="__Pg50" localSheetId="4">#REF!</definedName>
    <definedName name="__Pg50">#REF!</definedName>
    <definedName name="__Pg51" localSheetId="12">#REF!</definedName>
    <definedName name="__Pg51" localSheetId="10">#REF!</definedName>
    <definedName name="__Pg51" localSheetId="4">#REF!</definedName>
    <definedName name="__Pg51">#REF!</definedName>
    <definedName name="__Pg52" localSheetId="12">#REF!</definedName>
    <definedName name="__Pg52" localSheetId="10">#REF!</definedName>
    <definedName name="__Pg52" localSheetId="4">#REF!</definedName>
    <definedName name="__Pg52">#REF!</definedName>
    <definedName name="__Pg53" localSheetId="12">#REF!</definedName>
    <definedName name="__Pg53" localSheetId="10">#REF!</definedName>
    <definedName name="__Pg53" localSheetId="4">#REF!</definedName>
    <definedName name="__Pg53">#REF!</definedName>
    <definedName name="__Pg55" localSheetId="12">#REF!</definedName>
    <definedName name="__Pg55" localSheetId="10">#REF!</definedName>
    <definedName name="__Pg55" localSheetId="4">#REF!</definedName>
    <definedName name="__Pg55">#REF!</definedName>
    <definedName name="__Pg56" localSheetId="12">#REF!</definedName>
    <definedName name="__Pg56" localSheetId="10">#REF!</definedName>
    <definedName name="__Pg56" localSheetId="4">#REF!</definedName>
    <definedName name="__Pg56">#REF!</definedName>
    <definedName name="__Pg57" localSheetId="12">#REF!</definedName>
    <definedName name="__Pg57" localSheetId="10">#REF!</definedName>
    <definedName name="__Pg57" localSheetId="4">#REF!</definedName>
    <definedName name="__Pg57">#REF!</definedName>
    <definedName name="__Pg58" localSheetId="12">#REF!</definedName>
    <definedName name="__Pg58" localSheetId="10">#REF!</definedName>
    <definedName name="__Pg58" localSheetId="4">#REF!</definedName>
    <definedName name="__Pg58">#REF!</definedName>
    <definedName name="__Pg59" localSheetId="12">#REF!</definedName>
    <definedName name="__Pg59" localSheetId="10">#REF!</definedName>
    <definedName name="__Pg59" localSheetId="4">#REF!</definedName>
    <definedName name="__Pg59">#REF!</definedName>
    <definedName name="__Pg6" localSheetId="12">#REF!</definedName>
    <definedName name="__Pg6" localSheetId="10">#REF!</definedName>
    <definedName name="__Pg6" localSheetId="4">#REF!</definedName>
    <definedName name="__Pg6">#REF!</definedName>
    <definedName name="__Pg60" localSheetId="12">#REF!</definedName>
    <definedName name="__Pg60" localSheetId="10">#REF!</definedName>
    <definedName name="__Pg60" localSheetId="4">#REF!</definedName>
    <definedName name="__Pg60">#REF!</definedName>
    <definedName name="__Pg61" localSheetId="12">#REF!</definedName>
    <definedName name="__Pg61" localSheetId="10">#REF!</definedName>
    <definedName name="__Pg61" localSheetId="4">#REF!</definedName>
    <definedName name="__Pg61">#REF!</definedName>
    <definedName name="__Pg62" localSheetId="12">#REF!</definedName>
    <definedName name="__Pg62" localSheetId="10">#REF!</definedName>
    <definedName name="__Pg62" localSheetId="4">#REF!</definedName>
    <definedName name="__Pg62">#REF!</definedName>
    <definedName name="__Pg63" localSheetId="12">#REF!</definedName>
    <definedName name="__Pg63" localSheetId="10">#REF!</definedName>
    <definedName name="__Pg63" localSheetId="4">#REF!</definedName>
    <definedName name="__Pg63">#REF!</definedName>
    <definedName name="__Pg64" localSheetId="12">#REF!</definedName>
    <definedName name="__Pg64" localSheetId="10">#REF!</definedName>
    <definedName name="__Pg64" localSheetId="4">#REF!</definedName>
    <definedName name="__Pg64">#REF!</definedName>
    <definedName name="__Pg65" localSheetId="12">#REF!</definedName>
    <definedName name="__Pg65" localSheetId="10">#REF!</definedName>
    <definedName name="__Pg65" localSheetId="4">#REF!</definedName>
    <definedName name="__Pg65">#REF!</definedName>
    <definedName name="__Pg7" localSheetId="12">#REF!</definedName>
    <definedName name="__Pg7" localSheetId="10">#REF!</definedName>
    <definedName name="__Pg7" localSheetId="4">#REF!</definedName>
    <definedName name="__Pg7">#REF!</definedName>
    <definedName name="__Pg8" localSheetId="12">#REF!</definedName>
    <definedName name="__Pg8" localSheetId="10">#REF!</definedName>
    <definedName name="__Pg8" localSheetId="4">#REF!</definedName>
    <definedName name="__Pg8">#REF!</definedName>
    <definedName name="__Pg9" localSheetId="12">#REF!</definedName>
    <definedName name="__Pg9" localSheetId="10">#REF!</definedName>
    <definedName name="__Pg9" localSheetId="4">#REF!</definedName>
    <definedName name="__Pg9">#REF!</definedName>
    <definedName name="__SEC1200" localSheetId="12">#REF!</definedName>
    <definedName name="__SEC1200" localSheetId="10">#REF!</definedName>
    <definedName name="__SEC1200" localSheetId="4">#REF!</definedName>
    <definedName name="__SEC1200">#REF!</definedName>
    <definedName name="__td2" localSheetId="12">'[5]MAIN BLD TAKE OFF'!#REF!</definedName>
    <definedName name="__td2" localSheetId="10">'[5]MAIN BLD TAKE OFF'!#REF!</definedName>
    <definedName name="__td2" localSheetId="8">'[5]MAIN BLD TAKE OFF'!#REF!</definedName>
    <definedName name="__td2" localSheetId="6">'[5]MAIN BLD TAKE OFF'!#REF!</definedName>
    <definedName name="__td2" localSheetId="4">'[5]MAIN BLD TAKE OFF'!#REF!</definedName>
    <definedName name="__td2" localSheetId="1">'[5]MAIN BLD TAKE OFF'!#REF!</definedName>
    <definedName name="__td2">'[5]MAIN BLD TAKE OFF'!#REF!</definedName>
    <definedName name="__tl1" localSheetId="12">'[5]MAIN BLD TAKE OFF'!#REF!</definedName>
    <definedName name="__tl1" localSheetId="10">'[5]MAIN BLD TAKE OFF'!#REF!</definedName>
    <definedName name="__tl1" localSheetId="8">'[5]MAIN BLD TAKE OFF'!#REF!</definedName>
    <definedName name="__tl1" localSheetId="6">'[5]MAIN BLD TAKE OFF'!#REF!</definedName>
    <definedName name="__tl1" localSheetId="4">'[5]MAIN BLD TAKE OFF'!#REF!</definedName>
    <definedName name="__tl1" localSheetId="1">'[5]MAIN BLD TAKE OFF'!#REF!</definedName>
    <definedName name="__tl1">'[5]MAIN BLD TAKE OFF'!#REF!</definedName>
    <definedName name="__tl2" localSheetId="12">'[5]MAIN BLD TAKE OFF'!#REF!</definedName>
    <definedName name="__tl2" localSheetId="10">'[5]MAIN BLD TAKE OFF'!#REF!</definedName>
    <definedName name="__tl2" localSheetId="8">'[5]MAIN BLD TAKE OFF'!#REF!</definedName>
    <definedName name="__tl2" localSheetId="6">'[5]MAIN BLD TAKE OFF'!#REF!</definedName>
    <definedName name="__tl2" localSheetId="4">'[5]MAIN BLD TAKE OFF'!#REF!</definedName>
    <definedName name="__tl2" localSheetId="1">'[5]MAIN BLD TAKE OFF'!#REF!</definedName>
    <definedName name="__tl2">'[5]MAIN BLD TAKE OFF'!#REF!</definedName>
    <definedName name="__tw1">'[3]MAIN BLD TAKE OFF'!$I$34</definedName>
    <definedName name="__tw2" localSheetId="12">'[5]MAIN BLD TAKE OFF'!#REF!</definedName>
    <definedName name="__tw2" localSheetId="10">'[5]MAIN BLD TAKE OFF'!#REF!</definedName>
    <definedName name="__tw2" localSheetId="8">'[5]MAIN BLD TAKE OFF'!#REF!</definedName>
    <definedName name="__tw2" localSheetId="6">'[5]MAIN BLD TAKE OFF'!#REF!</definedName>
    <definedName name="__tw2" localSheetId="4">'[5]MAIN BLD TAKE OFF'!#REF!</definedName>
    <definedName name="__tw2" localSheetId="1">'[5]MAIN BLD TAKE OFF'!#REF!</definedName>
    <definedName name="__tw2" localSheetId="7">'[5]MAIN BLD TAKE OFF'!#REF!</definedName>
    <definedName name="__tw2" localSheetId="3">'[5]MAIN BLD TAKE OFF'!#REF!</definedName>
    <definedName name="__tw2" localSheetId="11">'[5]MAIN BLD TAKE OFF'!#REF!</definedName>
    <definedName name="__tw2" localSheetId="9">'[5]MAIN BLD TAKE OFF'!#REF!</definedName>
    <definedName name="__tw2" localSheetId="5">'[5]MAIN BLD TAKE OFF'!#REF!</definedName>
    <definedName name="__tw2" localSheetId="17">'[5]MAIN BLD TAKE OFF'!#REF!</definedName>
    <definedName name="__tw2" localSheetId="15">'[5]MAIN BLD TAKE OFF'!#REF!</definedName>
    <definedName name="__tw2" localSheetId="13">'[5]MAIN BLD TAKE OFF'!#REF!</definedName>
    <definedName name="__tw2" localSheetId="18">'[5]MAIN BLD TAKE OFF'!#REF!</definedName>
    <definedName name="__tw2" localSheetId="16">'[5]MAIN BLD TAKE OFF'!#REF!</definedName>
    <definedName name="__tw2" localSheetId="20">'[5]MAIN BLD TAKE OFF'!#REF!</definedName>
    <definedName name="__tw2" localSheetId="14">'[5]MAIN BLD TAKE OFF'!#REF!</definedName>
    <definedName name="__tw2">'[5]MAIN BLD TAKE OFF'!#REF!</definedName>
    <definedName name="_1_allcaz">[6]_1_allcaz!$A$1:$BN$1974</definedName>
    <definedName name="_1Excel_BuiltIn_Print_Area_1_1" localSheetId="12">#REF!</definedName>
    <definedName name="_1Excel_BuiltIn_Print_Area_1_1" localSheetId="10">#REF!</definedName>
    <definedName name="_1Excel_BuiltIn_Print_Area_1_1" localSheetId="6">#REF!</definedName>
    <definedName name="_1Excel_BuiltIn_Print_Area_1_1" localSheetId="4">#REF!</definedName>
    <definedName name="_1Excel_BuiltIn_Print_Area_1_1">#REF!</definedName>
    <definedName name="_1Excel_BuiltIn_Print_Titles_15_1" localSheetId="12">#REF!</definedName>
    <definedName name="_1Excel_BuiltIn_Print_Titles_15_1" localSheetId="10">#REF!</definedName>
    <definedName name="_1Excel_BuiltIn_Print_Titles_15_1" localSheetId="6">#REF!</definedName>
    <definedName name="_1Excel_BuiltIn_Print_Titles_15_1" localSheetId="4">#REF!</definedName>
    <definedName name="_1Excel_BuiltIn_Print_Titles_15_1">#REF!</definedName>
    <definedName name="_3_BEDROOM_SEMI___DETACHED_DUPLEX__134_M2">"5BRM DUPLEX '5BRM DUPLEX (134m2)+'5BRM DUPLEX (134m2)"</definedName>
    <definedName name="_A" localSheetId="2">[7]Sheet1!#REF!</definedName>
    <definedName name="_A">[7]Sheet1!#REF!</definedName>
    <definedName name="_B" localSheetId="2">[7]Sheet1!#REF!</definedName>
    <definedName name="_B">[7]Sheet1!#REF!</definedName>
    <definedName name="_B242498" localSheetId="12">#REF!</definedName>
    <definedName name="_B242498" localSheetId="10">#REF!</definedName>
    <definedName name="_B242498" localSheetId="6">#REF!</definedName>
    <definedName name="_B242498" localSheetId="4">#REF!</definedName>
    <definedName name="_B242498">#REF!</definedName>
    <definedName name="_B80266" localSheetId="12">#REF!</definedName>
    <definedName name="_B80266" localSheetId="10">#REF!</definedName>
    <definedName name="_B80266" localSheetId="4">#REF!</definedName>
    <definedName name="_B80266" localSheetId="7">#REF!</definedName>
    <definedName name="_B80266" localSheetId="3">#REF!</definedName>
    <definedName name="_B80266" localSheetId="11">#REF!</definedName>
    <definedName name="_B80266" localSheetId="9">#REF!</definedName>
    <definedName name="_B80266" localSheetId="5">#REF!</definedName>
    <definedName name="_B80266" localSheetId="17">#REF!</definedName>
    <definedName name="_B80266" localSheetId="15">#REF!</definedName>
    <definedName name="_B80266" localSheetId="13">#REF!</definedName>
    <definedName name="_B80266" localSheetId="18">#REF!</definedName>
    <definedName name="_B80266" localSheetId="16">#REF!</definedName>
    <definedName name="_B80266" localSheetId="20">#REF!</definedName>
    <definedName name="_B80266" localSheetId="14">#REF!</definedName>
    <definedName name="_B80266">#REF!</definedName>
    <definedName name="_B90266" localSheetId="12">#REF!</definedName>
    <definedName name="_B90266" localSheetId="10">#REF!</definedName>
    <definedName name="_B90266" localSheetId="4">#REF!</definedName>
    <definedName name="_B90266" localSheetId="7">#REF!</definedName>
    <definedName name="_B90266" localSheetId="3">#REF!</definedName>
    <definedName name="_B90266" localSheetId="11">#REF!</definedName>
    <definedName name="_B90266" localSheetId="9">#REF!</definedName>
    <definedName name="_B90266" localSheetId="5">#REF!</definedName>
    <definedName name="_B90266" localSheetId="17">#REF!</definedName>
    <definedName name="_B90266" localSheetId="15">#REF!</definedName>
    <definedName name="_B90266" localSheetId="13">#REF!</definedName>
    <definedName name="_B90266" localSheetId="18">#REF!</definedName>
    <definedName name="_B90266" localSheetId="20">#REF!</definedName>
    <definedName name="_B90266">#REF!</definedName>
    <definedName name="_B99106" localSheetId="12">#REF!</definedName>
    <definedName name="_B99106" localSheetId="10">#REF!</definedName>
    <definedName name="_B99106" localSheetId="4">#REF!</definedName>
    <definedName name="_B99106" localSheetId="7">#REF!</definedName>
    <definedName name="_B99106" localSheetId="3">#REF!</definedName>
    <definedName name="_B99106" localSheetId="11">#REF!</definedName>
    <definedName name="_B99106" localSheetId="9">#REF!</definedName>
    <definedName name="_B99106" localSheetId="5">#REF!</definedName>
    <definedName name="_B99106" localSheetId="17">#REF!</definedName>
    <definedName name="_B99106" localSheetId="15">#REF!</definedName>
    <definedName name="_B99106" localSheetId="13">#REF!</definedName>
    <definedName name="_B99106" localSheetId="18">#REF!</definedName>
    <definedName name="_B99106" localSheetId="20">#REF!</definedName>
    <definedName name="_B99106">#REF!</definedName>
    <definedName name="_C" localSheetId="12">[7]Sheet1!#REF!</definedName>
    <definedName name="_C" localSheetId="10">[7]Sheet1!#REF!</definedName>
    <definedName name="_C" localSheetId="6">[7]Sheet1!#REF!</definedName>
    <definedName name="_C" localSheetId="4">[7]Sheet1!#REF!</definedName>
    <definedName name="_C" localSheetId="2">[7]Sheet1!#REF!</definedName>
    <definedName name="_C">[7]Sheet1!#REF!</definedName>
    <definedName name="_cbd1" localSheetId="12">'[5]MAIN BLD TAKE OFF'!#REF!</definedName>
    <definedName name="_cbd1" localSheetId="10">'[5]MAIN BLD TAKE OFF'!#REF!</definedName>
    <definedName name="_cbd1" localSheetId="8">'[5]MAIN BLD TAKE OFF'!#REF!</definedName>
    <definedName name="_cbd1" localSheetId="6">'[5]MAIN BLD TAKE OFF'!#REF!</definedName>
    <definedName name="_cbd1" localSheetId="4">'[5]MAIN BLD TAKE OFF'!#REF!</definedName>
    <definedName name="_cbd1" localSheetId="1">'[5]MAIN BLD TAKE OFF'!#REF!</definedName>
    <definedName name="_cbd1" localSheetId="7">'[5]MAIN BLD TAKE OFF'!#REF!</definedName>
    <definedName name="_cbd1" localSheetId="3">'[5]MAIN BLD TAKE OFF'!#REF!</definedName>
    <definedName name="_cbd1" localSheetId="11">'[5]MAIN BLD TAKE OFF'!#REF!</definedName>
    <definedName name="_cbd1" localSheetId="9">'[5]MAIN BLD TAKE OFF'!#REF!</definedName>
    <definedName name="_cbd1" localSheetId="5">'[5]MAIN BLD TAKE OFF'!#REF!</definedName>
    <definedName name="_cbd1" localSheetId="17">'[5]MAIN BLD TAKE OFF'!#REF!</definedName>
    <definedName name="_cbd1" localSheetId="15">'[5]MAIN BLD TAKE OFF'!#REF!</definedName>
    <definedName name="_cbd1" localSheetId="13">'[5]MAIN BLD TAKE OFF'!#REF!</definedName>
    <definedName name="_cbd1" localSheetId="18">'[5]MAIN BLD TAKE OFF'!#REF!</definedName>
    <definedName name="_cbd1" localSheetId="16">'[5]MAIN BLD TAKE OFF'!#REF!</definedName>
    <definedName name="_cbd1" localSheetId="20">'[5]MAIN BLD TAKE OFF'!#REF!</definedName>
    <definedName name="_cbd1" localSheetId="14">'[5]MAIN BLD TAKE OFF'!#REF!</definedName>
    <definedName name="_cbd1">'[5]MAIN BLD TAKE OFF'!#REF!</definedName>
    <definedName name="_cbd2" localSheetId="12">'[5]MAIN BLD TAKE OFF'!#REF!</definedName>
    <definedName name="_cbd2" localSheetId="10">'[5]MAIN BLD TAKE OFF'!#REF!</definedName>
    <definedName name="_cbd2" localSheetId="8">'[5]MAIN BLD TAKE OFF'!#REF!</definedName>
    <definedName name="_cbd2" localSheetId="6">'[5]MAIN BLD TAKE OFF'!#REF!</definedName>
    <definedName name="_cbd2" localSheetId="4">'[5]MAIN BLD TAKE OFF'!#REF!</definedName>
    <definedName name="_cbd2" localSheetId="1">'[5]MAIN BLD TAKE OFF'!#REF!</definedName>
    <definedName name="_cbd2" localSheetId="7">'[5]MAIN BLD TAKE OFF'!#REF!</definedName>
    <definedName name="_cbd2" localSheetId="3">'[5]MAIN BLD TAKE OFF'!#REF!</definedName>
    <definedName name="_cbd2" localSheetId="11">'[5]MAIN BLD TAKE OFF'!#REF!</definedName>
    <definedName name="_cbd2" localSheetId="9">'[5]MAIN BLD TAKE OFF'!#REF!</definedName>
    <definedName name="_cbd2" localSheetId="5">'[5]MAIN BLD TAKE OFF'!#REF!</definedName>
    <definedName name="_cbd2" localSheetId="17">'[5]MAIN BLD TAKE OFF'!#REF!</definedName>
    <definedName name="_cbd2" localSheetId="15">'[5]MAIN BLD TAKE OFF'!#REF!</definedName>
    <definedName name="_cbd2" localSheetId="13">'[5]MAIN BLD TAKE OFF'!#REF!</definedName>
    <definedName name="_cbd2" localSheetId="16">'[5]MAIN BLD TAKE OFF'!#REF!</definedName>
    <definedName name="_cbd2" localSheetId="20">'[5]MAIN BLD TAKE OFF'!#REF!</definedName>
    <definedName name="_cbd2" localSheetId="14">'[5]MAIN BLD TAKE OFF'!#REF!</definedName>
    <definedName name="_cbd2">'[5]MAIN BLD TAKE OFF'!#REF!</definedName>
    <definedName name="_cbd3" localSheetId="12">'[5]MAIN BLD TAKE OFF'!#REF!</definedName>
    <definedName name="_cbd3" localSheetId="10">'[5]MAIN BLD TAKE OFF'!#REF!</definedName>
    <definedName name="_cbd3" localSheetId="8">'[5]MAIN BLD TAKE OFF'!#REF!</definedName>
    <definedName name="_cbd3" localSheetId="6">'[5]MAIN BLD TAKE OFF'!#REF!</definedName>
    <definedName name="_cbd3" localSheetId="4">'[5]MAIN BLD TAKE OFF'!#REF!</definedName>
    <definedName name="_cbd3" localSheetId="1">'[5]MAIN BLD TAKE OFF'!#REF!</definedName>
    <definedName name="_cbd3">'[5]MAIN BLD TAKE OFF'!#REF!</definedName>
    <definedName name="_D" localSheetId="2">[7]Sheet1!#REF!</definedName>
    <definedName name="_D">[7]Sheet1!#REF!</definedName>
    <definedName name="_Dem1" localSheetId="12">#REF!</definedName>
    <definedName name="_Dem1" localSheetId="10">#REF!</definedName>
    <definedName name="_Dem1" localSheetId="6">#REF!</definedName>
    <definedName name="_Dem1" localSheetId="4">#REF!</definedName>
    <definedName name="_Dem1">#REF!</definedName>
    <definedName name="_Dem2" localSheetId="12">#REF!</definedName>
    <definedName name="_Dem2" localSheetId="10">#REF!</definedName>
    <definedName name="_Dem2" localSheetId="6">#REF!</definedName>
    <definedName name="_Dem2" localSheetId="4">#REF!</definedName>
    <definedName name="_Dem2">#REF!</definedName>
    <definedName name="_dem3" localSheetId="12">#REF!</definedName>
    <definedName name="_dem3" localSheetId="10">#REF!</definedName>
    <definedName name="_dem3" localSheetId="6">#REF!</definedName>
    <definedName name="_dem3" localSheetId="4">#REF!</definedName>
    <definedName name="_dem3">#REF!</definedName>
    <definedName name="_dem4" localSheetId="12">#REF!</definedName>
    <definedName name="_dem4" localSheetId="10">#REF!</definedName>
    <definedName name="_dem4" localSheetId="4">#REF!</definedName>
    <definedName name="_dem4">#REF!</definedName>
    <definedName name="_drg1" localSheetId="12">#REF!</definedName>
    <definedName name="_drg1" localSheetId="10">#REF!</definedName>
    <definedName name="_drg1" localSheetId="4">#REF!</definedName>
    <definedName name="_drg1">#REF!</definedName>
    <definedName name="_drg2" localSheetId="12">#REF!</definedName>
    <definedName name="_drg2" localSheetId="10">#REF!</definedName>
    <definedName name="_drg2" localSheetId="4">#REF!</definedName>
    <definedName name="_drg2">#REF!</definedName>
    <definedName name="_drg3" localSheetId="12">#REF!</definedName>
    <definedName name="_drg3" localSheetId="10">#REF!</definedName>
    <definedName name="_drg3" localSheetId="4">#REF!</definedName>
    <definedName name="_drg3">#REF!</definedName>
    <definedName name="_E" localSheetId="12">[7]Sheet1!#REF!</definedName>
    <definedName name="_E" localSheetId="10">[7]Sheet1!#REF!</definedName>
    <definedName name="_E" localSheetId="6">[7]Sheet1!#REF!</definedName>
    <definedName name="_E" localSheetId="4">[7]Sheet1!#REF!</definedName>
    <definedName name="_E" localSheetId="2">[7]Sheet1!#REF!</definedName>
    <definedName name="_E">[7]Sheet1!#REF!</definedName>
    <definedName name="_F" localSheetId="12">[7]Sheet1!#REF!</definedName>
    <definedName name="_F" localSheetId="10">[7]Sheet1!#REF!</definedName>
    <definedName name="_F" localSheetId="6">[7]Sheet1!#REF!</definedName>
    <definedName name="_F" localSheetId="4">[7]Sheet1!#REF!</definedName>
    <definedName name="_F" localSheetId="2">[7]Sheet1!#REF!</definedName>
    <definedName name="_F">[7]Sheet1!#REF!</definedName>
    <definedName name="_Fill" localSheetId="12" hidden="1">#REF!</definedName>
    <definedName name="_Fill" localSheetId="10" hidden="1">#REF!</definedName>
    <definedName name="_Fill" localSheetId="8" hidden="1">#REF!</definedName>
    <definedName name="_Fill" localSheetId="6" hidden="1">#REF!</definedName>
    <definedName name="_Fill" localSheetId="4" hidden="1">#REF!</definedName>
    <definedName name="_Fill" localSheetId="1" hidden="1">#REF!</definedName>
    <definedName name="_Fill" localSheetId="2" hidden="1">#REF!</definedName>
    <definedName name="_Fill" localSheetId="7" hidden="1">#REF!</definedName>
    <definedName name="_Fill" localSheetId="3" hidden="1">#REF!</definedName>
    <definedName name="_Fill" localSheetId="11" hidden="1">#REF!</definedName>
    <definedName name="_Fill" localSheetId="9" hidden="1">#REF!</definedName>
    <definedName name="_Fill" localSheetId="5" hidden="1">#REF!</definedName>
    <definedName name="_Fill" localSheetId="17" hidden="1">#REF!</definedName>
    <definedName name="_Fill" localSheetId="15" hidden="1">#REF!</definedName>
    <definedName name="_Fill" localSheetId="13" hidden="1">#REF!</definedName>
    <definedName name="_Fill" localSheetId="18" hidden="1">#REF!</definedName>
    <definedName name="_Fill" localSheetId="16" hidden="1">#REF!</definedName>
    <definedName name="_Fill" localSheetId="20" hidden="1">#REF!</definedName>
    <definedName name="_Fill" localSheetId="14" hidden="1">#REF!</definedName>
    <definedName name="_Fill" hidden="1">#REF!</definedName>
    <definedName name="_FR_?__" localSheetId="12">[7]Sheet1!#REF!</definedName>
    <definedName name="_FR_?__" localSheetId="10">[7]Sheet1!#REF!</definedName>
    <definedName name="_FR_?__" localSheetId="6">[7]Sheet1!#REF!</definedName>
    <definedName name="_FR_?__" localSheetId="4">[7]Sheet1!#REF!</definedName>
    <definedName name="_FR_?__" localSheetId="2">[7]Sheet1!#REF!</definedName>
    <definedName name="_FR_?__">[7]Sheet1!#REF!</definedName>
    <definedName name="_G" localSheetId="12">[7]Sheet1!#REF!</definedName>
    <definedName name="_G" localSheetId="10">[7]Sheet1!#REF!</definedName>
    <definedName name="_G" localSheetId="6">[7]Sheet1!#REF!</definedName>
    <definedName name="_G" localSheetId="4">[7]Sheet1!#REF!</definedName>
    <definedName name="_G" localSheetId="2">[7]Sheet1!#REF!</definedName>
    <definedName name="_G">[7]Sheet1!#REF!</definedName>
    <definedName name="_Gen1" localSheetId="12">#REF!</definedName>
    <definedName name="_Gen1" localSheetId="10">#REF!</definedName>
    <definedName name="_Gen1" localSheetId="6">#REF!</definedName>
    <definedName name="_Gen1" localSheetId="4">#REF!</definedName>
    <definedName name="_Gen1">#REF!</definedName>
    <definedName name="_Gen2" localSheetId="12">#REF!</definedName>
    <definedName name="_Gen2" localSheetId="10">#REF!</definedName>
    <definedName name="_Gen2" localSheetId="6">#REF!</definedName>
    <definedName name="_Gen2" localSheetId="4">#REF!</definedName>
    <definedName name="_Gen2">#REF!</definedName>
    <definedName name="_H" localSheetId="12">[7]Sheet1!#REF!</definedName>
    <definedName name="_H" localSheetId="10">[7]Sheet1!#REF!</definedName>
    <definedName name="_H" localSheetId="6">[7]Sheet1!#REF!</definedName>
    <definedName name="_H" localSheetId="4">[7]Sheet1!#REF!</definedName>
    <definedName name="_H" localSheetId="2">[7]Sheet1!#REF!</definedName>
    <definedName name="_H">[7]Sheet1!#REF!</definedName>
    <definedName name="_I" localSheetId="12">[7]Sheet1!#REF!</definedName>
    <definedName name="_I" localSheetId="10">[7]Sheet1!#REF!</definedName>
    <definedName name="_I" localSheetId="6">[7]Sheet1!#REF!</definedName>
    <definedName name="_I" localSheetId="4">[7]Sheet1!#REF!</definedName>
    <definedName name="_I" localSheetId="2">[7]Sheet1!#REF!</definedName>
    <definedName name="_I">[7]Sheet1!#REF!</definedName>
    <definedName name="_J" localSheetId="2">[7]Sheet1!#REF!</definedName>
    <definedName name="_J">[7]Sheet1!#REF!</definedName>
    <definedName name="_K" localSheetId="2">[7]Sheet1!#REF!</definedName>
    <definedName name="_K">[7]Sheet1!#REF!</definedName>
    <definedName name="_L" localSheetId="2">[7]Sheet1!#REF!</definedName>
    <definedName name="_L">[7]Sheet1!#REF!</definedName>
    <definedName name="_M" localSheetId="2">[7]Sheet1!#REF!</definedName>
    <definedName name="_M">[7]Sheet1!#REF!</definedName>
    <definedName name="_N" localSheetId="2">[7]Sheet1!#REF!</definedName>
    <definedName name="_N">[7]Sheet1!#REF!</definedName>
    <definedName name="_Order1" hidden="1">255</definedName>
    <definedName name="_Order2" hidden="1">255</definedName>
    <definedName name="_P" localSheetId="2">[7]Sheet1!#REF!</definedName>
    <definedName name="_P">[7]Sheet1!#REF!</definedName>
    <definedName name="_Pg1" localSheetId="12">#REF!</definedName>
    <definedName name="_Pg1" localSheetId="10">#REF!</definedName>
    <definedName name="_Pg1" localSheetId="6">#REF!</definedName>
    <definedName name="_Pg1" localSheetId="4">#REF!</definedName>
    <definedName name="_Pg1">#REF!</definedName>
    <definedName name="_Pg10" localSheetId="12">#REF!</definedName>
    <definedName name="_Pg10" localSheetId="10">#REF!</definedName>
    <definedName name="_Pg10" localSheetId="6">#REF!</definedName>
    <definedName name="_Pg10" localSheetId="4">#REF!</definedName>
    <definedName name="_Pg10">#REF!</definedName>
    <definedName name="_Pg13" localSheetId="12">#REF!</definedName>
    <definedName name="_Pg13" localSheetId="10">#REF!</definedName>
    <definedName name="_Pg13" localSheetId="6">#REF!</definedName>
    <definedName name="_Pg13" localSheetId="4">#REF!</definedName>
    <definedName name="_Pg13">#REF!</definedName>
    <definedName name="_Pg14" localSheetId="12">#REF!</definedName>
    <definedName name="_Pg14" localSheetId="10">#REF!</definedName>
    <definedName name="_Pg14" localSheetId="4">#REF!</definedName>
    <definedName name="_Pg14">#REF!</definedName>
    <definedName name="_Pg15" localSheetId="12">#REF!</definedName>
    <definedName name="_Pg15" localSheetId="10">#REF!</definedName>
    <definedName name="_Pg15" localSheetId="4">#REF!</definedName>
    <definedName name="_Pg15">#REF!</definedName>
    <definedName name="_Pg16" localSheetId="12">#REF!</definedName>
    <definedName name="_Pg16" localSheetId="10">#REF!</definedName>
    <definedName name="_Pg16" localSheetId="4">#REF!</definedName>
    <definedName name="_Pg16">#REF!</definedName>
    <definedName name="_Pg17" localSheetId="12">#REF!</definedName>
    <definedName name="_Pg17" localSheetId="10">#REF!</definedName>
    <definedName name="_Pg17" localSheetId="4">#REF!</definedName>
    <definedName name="_Pg17">#REF!</definedName>
    <definedName name="_Pg18" localSheetId="12">#REF!</definedName>
    <definedName name="_Pg18" localSheetId="10">#REF!</definedName>
    <definedName name="_Pg18" localSheetId="4">#REF!</definedName>
    <definedName name="_Pg18">#REF!</definedName>
    <definedName name="_Pg19" localSheetId="12">#REF!</definedName>
    <definedName name="_Pg19" localSheetId="10">#REF!</definedName>
    <definedName name="_Pg19" localSheetId="4">#REF!</definedName>
    <definedName name="_Pg19">#REF!</definedName>
    <definedName name="_Pg2" localSheetId="12">#REF!</definedName>
    <definedName name="_Pg2" localSheetId="10">#REF!</definedName>
    <definedName name="_Pg2" localSheetId="4">#REF!</definedName>
    <definedName name="_Pg2">#REF!</definedName>
    <definedName name="_Pg20" localSheetId="12">#REF!</definedName>
    <definedName name="_Pg20" localSheetId="10">#REF!</definedName>
    <definedName name="_Pg20" localSheetId="4">#REF!</definedName>
    <definedName name="_Pg20">#REF!</definedName>
    <definedName name="_Pg21" localSheetId="12">#REF!</definedName>
    <definedName name="_Pg21" localSheetId="10">#REF!</definedName>
    <definedName name="_Pg21" localSheetId="4">#REF!</definedName>
    <definedName name="_Pg21">#REF!</definedName>
    <definedName name="_Pg22" localSheetId="12">#REF!</definedName>
    <definedName name="_Pg22" localSheetId="10">#REF!</definedName>
    <definedName name="_Pg22" localSheetId="4">#REF!</definedName>
    <definedName name="_Pg22">#REF!</definedName>
    <definedName name="_Pg23" localSheetId="12">#REF!</definedName>
    <definedName name="_Pg23" localSheetId="10">#REF!</definedName>
    <definedName name="_Pg23" localSheetId="4">#REF!</definedName>
    <definedName name="_Pg23">#REF!</definedName>
    <definedName name="_Pg24" localSheetId="12">#REF!</definedName>
    <definedName name="_Pg24" localSheetId="10">#REF!</definedName>
    <definedName name="_Pg24" localSheetId="4">#REF!</definedName>
    <definedName name="_Pg24">#REF!</definedName>
    <definedName name="_Pg25" localSheetId="12">#REF!</definedName>
    <definedName name="_Pg25" localSheetId="10">#REF!</definedName>
    <definedName name="_Pg25" localSheetId="4">#REF!</definedName>
    <definedName name="_Pg25">#REF!</definedName>
    <definedName name="_Pg26" localSheetId="12">#REF!</definedName>
    <definedName name="_Pg26" localSheetId="10">#REF!</definedName>
    <definedName name="_Pg26" localSheetId="4">#REF!</definedName>
    <definedName name="_Pg26">#REF!</definedName>
    <definedName name="_Pg27" localSheetId="12">#REF!</definedName>
    <definedName name="_Pg27" localSheetId="10">#REF!</definedName>
    <definedName name="_Pg27" localSheetId="4">#REF!</definedName>
    <definedName name="_Pg27">#REF!</definedName>
    <definedName name="_Pg28" localSheetId="12">#REF!</definedName>
    <definedName name="_Pg28" localSheetId="10">#REF!</definedName>
    <definedName name="_Pg28" localSheetId="4">#REF!</definedName>
    <definedName name="_Pg28">#REF!</definedName>
    <definedName name="_Pg29" localSheetId="12">#REF!</definedName>
    <definedName name="_Pg29" localSheetId="10">#REF!</definedName>
    <definedName name="_Pg29" localSheetId="4">#REF!</definedName>
    <definedName name="_Pg29">#REF!</definedName>
    <definedName name="_Pg3" localSheetId="12">#REF!</definedName>
    <definedName name="_Pg3" localSheetId="10">#REF!</definedName>
    <definedName name="_Pg3" localSheetId="4">#REF!</definedName>
    <definedName name="_Pg3">#REF!</definedName>
    <definedName name="_Pg30" localSheetId="12">#REF!</definedName>
    <definedName name="_Pg30" localSheetId="10">#REF!</definedName>
    <definedName name="_Pg30" localSheetId="4">#REF!</definedName>
    <definedName name="_Pg30">#REF!</definedName>
    <definedName name="_Pg31" localSheetId="12">#REF!</definedName>
    <definedName name="_Pg31" localSheetId="10">#REF!</definedName>
    <definedName name="_Pg31" localSheetId="4">#REF!</definedName>
    <definedName name="_Pg31">#REF!</definedName>
    <definedName name="_Pg32" localSheetId="12">#REF!</definedName>
    <definedName name="_Pg32" localSheetId="10">#REF!</definedName>
    <definedName name="_Pg32" localSheetId="4">#REF!</definedName>
    <definedName name="_Pg32">#REF!</definedName>
    <definedName name="_Pg33" localSheetId="12">#REF!</definedName>
    <definedName name="_Pg33" localSheetId="10">#REF!</definedName>
    <definedName name="_Pg33" localSheetId="4">#REF!</definedName>
    <definedName name="_Pg33">#REF!</definedName>
    <definedName name="_Pg34" localSheetId="12">#REF!</definedName>
    <definedName name="_Pg34" localSheetId="10">#REF!</definedName>
    <definedName name="_Pg34" localSheetId="4">#REF!</definedName>
    <definedName name="_Pg34">#REF!</definedName>
    <definedName name="_Pg35" localSheetId="12">#REF!</definedName>
    <definedName name="_Pg35" localSheetId="10">#REF!</definedName>
    <definedName name="_Pg35" localSheetId="4">#REF!</definedName>
    <definedName name="_Pg35">#REF!</definedName>
    <definedName name="_Pg36" localSheetId="12">#REF!</definedName>
    <definedName name="_Pg36" localSheetId="10">#REF!</definedName>
    <definedName name="_Pg36" localSheetId="4">#REF!</definedName>
    <definedName name="_Pg36">#REF!</definedName>
    <definedName name="_Pg37" localSheetId="12">#REF!</definedName>
    <definedName name="_Pg37" localSheetId="10">#REF!</definedName>
    <definedName name="_Pg37" localSheetId="4">#REF!</definedName>
    <definedName name="_Pg37">#REF!</definedName>
    <definedName name="_Pg38" localSheetId="12">#REF!</definedName>
    <definedName name="_Pg38" localSheetId="10">#REF!</definedName>
    <definedName name="_Pg38" localSheetId="4">#REF!</definedName>
    <definedName name="_Pg38">#REF!</definedName>
    <definedName name="_Pg39" localSheetId="12">#REF!</definedName>
    <definedName name="_Pg39" localSheetId="10">#REF!</definedName>
    <definedName name="_Pg39" localSheetId="4">#REF!</definedName>
    <definedName name="_Pg39">#REF!</definedName>
    <definedName name="_Pg4" localSheetId="12">#REF!</definedName>
    <definedName name="_Pg4" localSheetId="10">#REF!</definedName>
    <definedName name="_Pg4" localSheetId="4">#REF!</definedName>
    <definedName name="_Pg4">#REF!</definedName>
    <definedName name="_Pg40" localSheetId="12">#REF!</definedName>
    <definedName name="_Pg40" localSheetId="10">#REF!</definedName>
    <definedName name="_Pg40" localSheetId="4">#REF!</definedName>
    <definedName name="_Pg40">#REF!</definedName>
    <definedName name="_Pg41" localSheetId="12">#REF!</definedName>
    <definedName name="_Pg41" localSheetId="10">#REF!</definedName>
    <definedName name="_Pg41" localSheetId="4">#REF!</definedName>
    <definedName name="_Pg41">#REF!</definedName>
    <definedName name="_Pg42" localSheetId="12">#REF!</definedName>
    <definedName name="_Pg42" localSheetId="10">#REF!</definedName>
    <definedName name="_Pg42" localSheetId="4">#REF!</definedName>
    <definedName name="_Pg42">#REF!</definedName>
    <definedName name="_Pg43" localSheetId="12">#REF!</definedName>
    <definedName name="_Pg43" localSheetId="10">#REF!</definedName>
    <definedName name="_Pg43" localSheetId="4">#REF!</definedName>
    <definedName name="_Pg43">#REF!</definedName>
    <definedName name="_Pg44" localSheetId="12">#REF!</definedName>
    <definedName name="_Pg44" localSheetId="10">#REF!</definedName>
    <definedName name="_Pg44" localSheetId="4">#REF!</definedName>
    <definedName name="_Pg44">#REF!</definedName>
    <definedName name="_Pg45" localSheetId="12">#REF!</definedName>
    <definedName name="_Pg45" localSheetId="10">#REF!</definedName>
    <definedName name="_Pg45" localSheetId="4">#REF!</definedName>
    <definedName name="_Pg45">#REF!</definedName>
    <definedName name="_Pg46" localSheetId="12">#REF!</definedName>
    <definedName name="_Pg46" localSheetId="10">#REF!</definedName>
    <definedName name="_Pg46" localSheetId="4">#REF!</definedName>
    <definedName name="_Pg46">#REF!</definedName>
    <definedName name="_Pg47" localSheetId="12">#REF!</definedName>
    <definedName name="_Pg47" localSheetId="10">#REF!</definedName>
    <definedName name="_Pg47" localSheetId="4">#REF!</definedName>
    <definedName name="_Pg47">#REF!</definedName>
    <definedName name="_Pg48" localSheetId="12">#REF!</definedName>
    <definedName name="_Pg48" localSheetId="10">#REF!</definedName>
    <definedName name="_Pg48" localSheetId="4">#REF!</definedName>
    <definedName name="_Pg48">#REF!</definedName>
    <definedName name="_Pg49" localSheetId="12">#REF!</definedName>
    <definedName name="_Pg49" localSheetId="10">#REF!</definedName>
    <definedName name="_Pg49" localSheetId="4">#REF!</definedName>
    <definedName name="_Pg49">#REF!</definedName>
    <definedName name="_Pg5" localSheetId="12">#REF!</definedName>
    <definedName name="_Pg5" localSheetId="10">#REF!</definedName>
    <definedName name="_Pg5" localSheetId="4">#REF!</definedName>
    <definedName name="_Pg5">#REF!</definedName>
    <definedName name="_Pg50" localSheetId="12">#REF!</definedName>
    <definedName name="_Pg50" localSheetId="10">#REF!</definedName>
    <definedName name="_Pg50" localSheetId="4">#REF!</definedName>
    <definedName name="_Pg50">#REF!</definedName>
    <definedName name="_Pg51" localSheetId="12">#REF!</definedName>
    <definedName name="_Pg51" localSheetId="10">#REF!</definedName>
    <definedName name="_Pg51" localSheetId="4">#REF!</definedName>
    <definedName name="_Pg51">#REF!</definedName>
    <definedName name="_Pg52" localSheetId="12">#REF!</definedName>
    <definedName name="_Pg52" localSheetId="10">#REF!</definedName>
    <definedName name="_Pg52" localSheetId="4">#REF!</definedName>
    <definedName name="_Pg52">#REF!</definedName>
    <definedName name="_Pg53" localSheetId="12">#REF!</definedName>
    <definedName name="_Pg53" localSheetId="10">#REF!</definedName>
    <definedName name="_Pg53" localSheetId="4">#REF!</definedName>
    <definedName name="_Pg53">#REF!</definedName>
    <definedName name="_Pg55" localSheetId="12">#REF!</definedName>
    <definedName name="_Pg55" localSheetId="10">#REF!</definedName>
    <definedName name="_Pg55" localSheetId="4">#REF!</definedName>
    <definedName name="_Pg55">#REF!</definedName>
    <definedName name="_Pg56" localSheetId="12">#REF!</definedName>
    <definedName name="_Pg56" localSheetId="10">#REF!</definedName>
    <definedName name="_Pg56" localSheetId="4">#REF!</definedName>
    <definedName name="_Pg56">#REF!</definedName>
    <definedName name="_Pg57" localSheetId="12">#REF!</definedName>
    <definedName name="_Pg57" localSheetId="10">#REF!</definedName>
    <definedName name="_Pg57" localSheetId="4">#REF!</definedName>
    <definedName name="_Pg57">#REF!</definedName>
    <definedName name="_Pg58" localSheetId="12">#REF!</definedName>
    <definedName name="_Pg58" localSheetId="10">#REF!</definedName>
    <definedName name="_Pg58" localSheetId="4">#REF!</definedName>
    <definedName name="_Pg58">#REF!</definedName>
    <definedName name="_Pg59" localSheetId="12">#REF!</definedName>
    <definedName name="_Pg59" localSheetId="10">#REF!</definedName>
    <definedName name="_Pg59" localSheetId="4">#REF!</definedName>
    <definedName name="_Pg59">#REF!</definedName>
    <definedName name="_Pg6" localSheetId="12">#REF!</definedName>
    <definedName name="_Pg6" localSheetId="10">#REF!</definedName>
    <definedName name="_Pg6" localSheetId="4">#REF!</definedName>
    <definedName name="_Pg6">#REF!</definedName>
    <definedName name="_Pg60" localSheetId="12">#REF!</definedName>
    <definedName name="_Pg60" localSheetId="10">#REF!</definedName>
    <definedName name="_Pg60" localSheetId="4">#REF!</definedName>
    <definedName name="_Pg60">#REF!</definedName>
    <definedName name="_Pg61" localSheetId="12">#REF!</definedName>
    <definedName name="_Pg61" localSheetId="10">#REF!</definedName>
    <definedName name="_Pg61" localSheetId="4">#REF!</definedName>
    <definedName name="_Pg61">#REF!</definedName>
    <definedName name="_Pg62" localSheetId="12">#REF!</definedName>
    <definedName name="_Pg62" localSheetId="10">#REF!</definedName>
    <definedName name="_Pg62" localSheetId="4">#REF!</definedName>
    <definedName name="_Pg62">#REF!</definedName>
    <definedName name="_Pg63" localSheetId="12">#REF!</definedName>
    <definedName name="_Pg63" localSheetId="10">#REF!</definedName>
    <definedName name="_Pg63" localSheetId="4">#REF!</definedName>
    <definedName name="_Pg63">#REF!</definedName>
    <definedName name="_Pg64" localSheetId="12">#REF!</definedName>
    <definedName name="_Pg64" localSheetId="10">#REF!</definedName>
    <definedName name="_Pg64" localSheetId="4">#REF!</definedName>
    <definedName name="_Pg64">#REF!</definedName>
    <definedName name="_Pg65" localSheetId="12">#REF!</definedName>
    <definedName name="_Pg65" localSheetId="10">#REF!</definedName>
    <definedName name="_Pg65" localSheetId="4">#REF!</definedName>
    <definedName name="_Pg65">#REF!</definedName>
    <definedName name="_Pg7" localSheetId="12">#REF!</definedName>
    <definedName name="_Pg7" localSheetId="10">#REF!</definedName>
    <definedName name="_Pg7" localSheetId="4">#REF!</definedName>
    <definedName name="_Pg7">#REF!</definedName>
    <definedName name="_Pg8" localSheetId="12">#REF!</definedName>
    <definedName name="_Pg8" localSheetId="10">#REF!</definedName>
    <definedName name="_Pg8" localSheetId="4">#REF!</definedName>
    <definedName name="_Pg8">#REF!</definedName>
    <definedName name="_Pg9" localSheetId="12">#REF!</definedName>
    <definedName name="_Pg9" localSheetId="10">#REF!</definedName>
    <definedName name="_Pg9" localSheetId="4">#REF!</definedName>
    <definedName name="_Pg9">#REF!</definedName>
    <definedName name="_Q" localSheetId="12">[7]Sheet1!#REF!</definedName>
    <definedName name="_Q" localSheetId="10">[7]Sheet1!#REF!</definedName>
    <definedName name="_Q" localSheetId="6">[7]Sheet1!#REF!</definedName>
    <definedName name="_Q" localSheetId="4">[7]Sheet1!#REF!</definedName>
    <definedName name="_Q" localSheetId="2">[7]Sheet1!#REF!</definedName>
    <definedName name="_Q">[7]Sheet1!#REF!</definedName>
    <definedName name="_R" localSheetId="12">[7]Sheet1!#REF!</definedName>
    <definedName name="_R" localSheetId="10">[7]Sheet1!#REF!</definedName>
    <definedName name="_R" localSheetId="6">[7]Sheet1!#REF!</definedName>
    <definedName name="_R" localSheetId="4">[7]Sheet1!#REF!</definedName>
    <definedName name="_R" localSheetId="2">[7]Sheet1!#REF!</definedName>
    <definedName name="_R">[7]Sheet1!#REF!</definedName>
    <definedName name="_S" localSheetId="2">[7]Sheet1!#REF!</definedName>
    <definedName name="_S">[7]Sheet1!#REF!</definedName>
    <definedName name="_SEC1200" localSheetId="12">#REF!</definedName>
    <definedName name="_SEC1200" localSheetId="10">#REF!</definedName>
    <definedName name="_SEC1200" localSheetId="6">#REF!</definedName>
    <definedName name="_SEC1200" localSheetId="4">#REF!</definedName>
    <definedName name="_SEC1200" localSheetId="2">#REF!</definedName>
    <definedName name="_SEC1200">#REF!</definedName>
    <definedName name="_SK1" localSheetId="12">#REF!</definedName>
    <definedName name="_SK1" localSheetId="10">#REF!</definedName>
    <definedName name="_SK1" localSheetId="8">#REF!</definedName>
    <definedName name="_SK1" localSheetId="6">#REF!</definedName>
    <definedName name="_SK1" localSheetId="4">#REF!</definedName>
    <definedName name="_SK1" localSheetId="1">#REF!</definedName>
    <definedName name="_SK1" localSheetId="7">#REF!</definedName>
    <definedName name="_SK1" localSheetId="3">#REF!</definedName>
    <definedName name="_SK1" localSheetId="11">#REF!</definedName>
    <definedName name="_SK1" localSheetId="9">#REF!</definedName>
    <definedName name="_SK1" localSheetId="5">#REF!</definedName>
    <definedName name="_SK1" localSheetId="17">#REF!</definedName>
    <definedName name="_SK1" localSheetId="15">#REF!</definedName>
    <definedName name="_SK1" localSheetId="13">#REF!</definedName>
    <definedName name="_SK1" localSheetId="18">#REF!</definedName>
    <definedName name="_SK1" localSheetId="16">#REF!</definedName>
    <definedName name="_SK1" localSheetId="20">#REF!</definedName>
    <definedName name="_SK1" localSheetId="14">#REF!</definedName>
    <definedName name="_SK1">#REF!</definedName>
    <definedName name="_st1" localSheetId="12">#REF!</definedName>
    <definedName name="_st1" localSheetId="10">#REF!</definedName>
    <definedName name="_st1" localSheetId="4">#REF!</definedName>
    <definedName name="_st1" localSheetId="2">#REF!</definedName>
    <definedName name="_st1">#REF!</definedName>
    <definedName name="_st2" localSheetId="12">#REF!</definedName>
    <definedName name="_st2" localSheetId="10">#REF!</definedName>
    <definedName name="_st2" localSheetId="4">#REF!</definedName>
    <definedName name="_st2">#REF!</definedName>
    <definedName name="_str1" localSheetId="12">#REF!</definedName>
    <definedName name="_str1" localSheetId="10">#REF!</definedName>
    <definedName name="_str1" localSheetId="4">#REF!</definedName>
    <definedName name="_str1">#REF!</definedName>
    <definedName name="_str2" localSheetId="12">#REF!</definedName>
    <definedName name="_str2" localSheetId="10">#REF!</definedName>
    <definedName name="_str2" localSheetId="4">#REF!</definedName>
    <definedName name="_str2">#REF!</definedName>
    <definedName name="_stw1" localSheetId="12">#REF!</definedName>
    <definedName name="_stw1" localSheetId="10">#REF!</definedName>
    <definedName name="_stw1" localSheetId="4">#REF!</definedName>
    <definedName name="_stw1">#REF!</definedName>
    <definedName name="_stw2" localSheetId="12">#REF!</definedName>
    <definedName name="_stw2" localSheetId="10">#REF!</definedName>
    <definedName name="_stw2" localSheetId="4">#REF!</definedName>
    <definedName name="_stw2">#REF!</definedName>
    <definedName name="_stw3" localSheetId="12">#REF!</definedName>
    <definedName name="_stw3" localSheetId="10">#REF!</definedName>
    <definedName name="_stw3" localSheetId="4">#REF!</definedName>
    <definedName name="_stw3">#REF!</definedName>
    <definedName name="_sub1" localSheetId="12">#REF!</definedName>
    <definedName name="_sub1" localSheetId="10">#REF!</definedName>
    <definedName name="_sub1" localSheetId="4">#REF!</definedName>
    <definedName name="_sub1">#REF!</definedName>
    <definedName name="_sub2" localSheetId="12">#REF!</definedName>
    <definedName name="_sub2" localSheetId="10">#REF!</definedName>
    <definedName name="_sub2" localSheetId="4">#REF!</definedName>
    <definedName name="_sub2">#REF!</definedName>
    <definedName name="_sub3" localSheetId="12">#REF!</definedName>
    <definedName name="_sub3" localSheetId="10">#REF!</definedName>
    <definedName name="_sub3" localSheetId="4">#REF!</definedName>
    <definedName name="_sub3">#REF!</definedName>
    <definedName name="_sw1" localSheetId="12">#REF!</definedName>
    <definedName name="_sw1" localSheetId="10">#REF!</definedName>
    <definedName name="_sw1" localSheetId="4">#REF!</definedName>
    <definedName name="_sw1">#REF!</definedName>
    <definedName name="_sw3" localSheetId="12">#REF!</definedName>
    <definedName name="_sw3" localSheetId="10">#REF!</definedName>
    <definedName name="_sw3" localSheetId="4">#REF!</definedName>
    <definedName name="_sw3">#REF!</definedName>
    <definedName name="_swd1" localSheetId="12">#REF!</definedName>
    <definedName name="_swd1" localSheetId="10">#REF!</definedName>
    <definedName name="_swd1" localSheetId="4">#REF!</definedName>
    <definedName name="_swd1">#REF!</definedName>
    <definedName name="_swd2" localSheetId="12">#REF!</definedName>
    <definedName name="_swd2" localSheetId="10">#REF!</definedName>
    <definedName name="_swd2" localSheetId="4">#REF!</definedName>
    <definedName name="_swd2">#REF!</definedName>
    <definedName name="_T" localSheetId="12">[7]Sheet1!#REF!</definedName>
    <definedName name="_T" localSheetId="10">[7]Sheet1!#REF!</definedName>
    <definedName name="_T" localSheetId="6">[7]Sheet1!#REF!</definedName>
    <definedName name="_T" localSheetId="4">[7]Sheet1!#REF!</definedName>
    <definedName name="_T" localSheetId="2">[7]Sheet1!#REF!</definedName>
    <definedName name="_T">[7]Sheet1!#REF!</definedName>
    <definedName name="_tab1" localSheetId="12">#REF!</definedName>
    <definedName name="_tab1" localSheetId="10">#REF!</definedName>
    <definedName name="_tab1" localSheetId="6">#REF!</definedName>
    <definedName name="_tab1" localSheetId="4">#REF!</definedName>
    <definedName name="_tab1">#REF!</definedName>
    <definedName name="_td2" localSheetId="12">'[5]MAIN BLD TAKE OFF'!#REF!</definedName>
    <definedName name="_td2" localSheetId="10">'[5]MAIN BLD TAKE OFF'!#REF!</definedName>
    <definedName name="_td2" localSheetId="8">'[5]MAIN BLD TAKE OFF'!#REF!</definedName>
    <definedName name="_td2" localSheetId="6">'[5]MAIN BLD TAKE OFF'!#REF!</definedName>
    <definedName name="_td2" localSheetId="4">'[5]MAIN BLD TAKE OFF'!#REF!</definedName>
    <definedName name="_td2" localSheetId="1">'[5]MAIN BLD TAKE OFF'!#REF!</definedName>
    <definedName name="_td2" localSheetId="7">'[5]MAIN BLD TAKE OFF'!#REF!</definedName>
    <definedName name="_td2" localSheetId="3">'[5]MAIN BLD TAKE OFF'!#REF!</definedName>
    <definedName name="_td2" localSheetId="11">'[5]MAIN BLD TAKE OFF'!#REF!</definedName>
    <definedName name="_td2" localSheetId="9">'[5]MAIN BLD TAKE OFF'!#REF!</definedName>
    <definedName name="_td2" localSheetId="5">'[5]MAIN BLD TAKE OFF'!#REF!</definedName>
    <definedName name="_td2" localSheetId="17">'[5]MAIN BLD TAKE OFF'!#REF!</definedName>
    <definedName name="_td2" localSheetId="15">'[5]MAIN BLD TAKE OFF'!#REF!</definedName>
    <definedName name="_td2" localSheetId="13">'[5]MAIN BLD TAKE OFF'!#REF!</definedName>
    <definedName name="_td2" localSheetId="18">'[5]MAIN BLD TAKE OFF'!#REF!</definedName>
    <definedName name="_td2" localSheetId="16">'[5]MAIN BLD TAKE OFF'!#REF!</definedName>
    <definedName name="_td2" localSheetId="20">'[5]MAIN BLD TAKE OFF'!#REF!</definedName>
    <definedName name="_td2" localSheetId="14">'[5]MAIN BLD TAKE OFF'!#REF!</definedName>
    <definedName name="_td2">'[5]MAIN BLD TAKE OFF'!#REF!</definedName>
    <definedName name="_tl1" localSheetId="12">'[5]MAIN BLD TAKE OFF'!#REF!</definedName>
    <definedName name="_tl1" localSheetId="10">'[5]MAIN BLD TAKE OFF'!#REF!</definedName>
    <definedName name="_tl1" localSheetId="8">'[5]MAIN BLD TAKE OFF'!#REF!</definedName>
    <definedName name="_tl1" localSheetId="6">'[5]MAIN BLD TAKE OFF'!#REF!</definedName>
    <definedName name="_tl1" localSheetId="4">'[5]MAIN BLD TAKE OFF'!#REF!</definedName>
    <definedName name="_tl1" localSheetId="1">'[5]MAIN BLD TAKE OFF'!#REF!</definedName>
    <definedName name="_tl1" localSheetId="7">'[5]MAIN BLD TAKE OFF'!#REF!</definedName>
    <definedName name="_tl1" localSheetId="3">'[5]MAIN BLD TAKE OFF'!#REF!</definedName>
    <definedName name="_tl1" localSheetId="11">'[5]MAIN BLD TAKE OFF'!#REF!</definedName>
    <definedName name="_tl1" localSheetId="9">'[5]MAIN BLD TAKE OFF'!#REF!</definedName>
    <definedName name="_tl1" localSheetId="5">'[5]MAIN BLD TAKE OFF'!#REF!</definedName>
    <definedName name="_tl1" localSheetId="17">'[5]MAIN BLD TAKE OFF'!#REF!</definedName>
    <definedName name="_tl1" localSheetId="15">'[5]MAIN BLD TAKE OFF'!#REF!</definedName>
    <definedName name="_tl1" localSheetId="13">'[5]MAIN BLD TAKE OFF'!#REF!</definedName>
    <definedName name="_tl1">'[5]MAIN BLD TAKE OFF'!#REF!</definedName>
    <definedName name="_tl2" localSheetId="12">'[5]MAIN BLD TAKE OFF'!#REF!</definedName>
    <definedName name="_tl2" localSheetId="10">'[5]MAIN BLD TAKE OFF'!#REF!</definedName>
    <definedName name="_tl2" localSheetId="8">'[5]MAIN BLD TAKE OFF'!#REF!</definedName>
    <definedName name="_tl2" localSheetId="6">'[5]MAIN BLD TAKE OFF'!#REF!</definedName>
    <definedName name="_tl2" localSheetId="4">'[5]MAIN BLD TAKE OFF'!#REF!</definedName>
    <definedName name="_tl2" localSheetId="1">'[5]MAIN BLD TAKE OFF'!#REF!</definedName>
    <definedName name="_tl2" localSheetId="7">'[5]MAIN BLD TAKE OFF'!#REF!</definedName>
    <definedName name="_tl2" localSheetId="3">'[5]MAIN BLD TAKE OFF'!#REF!</definedName>
    <definedName name="_tl2" localSheetId="11">'[5]MAIN BLD TAKE OFF'!#REF!</definedName>
    <definedName name="_tl2" localSheetId="9">'[5]MAIN BLD TAKE OFF'!#REF!</definedName>
    <definedName name="_tl2" localSheetId="5">'[5]MAIN BLD TAKE OFF'!#REF!</definedName>
    <definedName name="_tl2" localSheetId="17">'[5]MAIN BLD TAKE OFF'!#REF!</definedName>
    <definedName name="_tl2" localSheetId="15">'[5]MAIN BLD TAKE OFF'!#REF!</definedName>
    <definedName name="_tl2" localSheetId="13">'[5]MAIN BLD TAKE OFF'!#REF!</definedName>
    <definedName name="_tl2">'[5]MAIN BLD TAKE OFF'!#REF!</definedName>
    <definedName name="_tw1">'[3]MAIN BLD TAKE OFF'!$I$34</definedName>
    <definedName name="_tw2" localSheetId="12">'[5]MAIN BLD TAKE OFF'!#REF!</definedName>
    <definedName name="_tw2" localSheetId="10">'[5]MAIN BLD TAKE OFF'!#REF!</definedName>
    <definedName name="_tw2" localSheetId="8">'[5]MAIN BLD TAKE OFF'!#REF!</definedName>
    <definedName name="_tw2" localSheetId="6">'[5]MAIN BLD TAKE OFF'!#REF!</definedName>
    <definedName name="_tw2" localSheetId="4">'[5]MAIN BLD TAKE OFF'!#REF!</definedName>
    <definedName name="_tw2" localSheetId="1">'[5]MAIN BLD TAKE OFF'!#REF!</definedName>
    <definedName name="_tw2" localSheetId="7">'[5]MAIN BLD TAKE OFF'!#REF!</definedName>
    <definedName name="_tw2" localSheetId="3">'[5]MAIN BLD TAKE OFF'!#REF!</definedName>
    <definedName name="_tw2" localSheetId="11">'[5]MAIN BLD TAKE OFF'!#REF!</definedName>
    <definedName name="_tw2" localSheetId="9">'[5]MAIN BLD TAKE OFF'!#REF!</definedName>
    <definedName name="_tw2" localSheetId="5">'[5]MAIN BLD TAKE OFF'!#REF!</definedName>
    <definedName name="_tw2" localSheetId="17">'[5]MAIN BLD TAKE OFF'!#REF!</definedName>
    <definedName name="_tw2" localSheetId="15">'[5]MAIN BLD TAKE OFF'!#REF!</definedName>
    <definedName name="_tw2" localSheetId="13">'[5]MAIN BLD TAKE OFF'!#REF!</definedName>
    <definedName name="_tw2" localSheetId="18">'[5]MAIN BLD TAKE OFF'!#REF!</definedName>
    <definedName name="_tw2" localSheetId="16">'[5]MAIN BLD TAKE OFF'!#REF!</definedName>
    <definedName name="_tw2" localSheetId="20">'[5]MAIN BLD TAKE OFF'!#REF!</definedName>
    <definedName name="_tw2" localSheetId="14">'[5]MAIN BLD TAKE OFF'!#REF!</definedName>
    <definedName name="_tw2">'[5]MAIN BLD TAKE OFF'!#REF!</definedName>
    <definedName name="_U" localSheetId="2">[7]Sheet1!#REF!</definedName>
    <definedName name="_U">[7]Sheet1!#REF!</definedName>
    <definedName name="_V" localSheetId="2">[7]Sheet1!#REF!</definedName>
    <definedName name="_V">[7]Sheet1!#REF!</definedName>
    <definedName name="_wal1" localSheetId="12">#REF!</definedName>
    <definedName name="_wal1" localSheetId="10">#REF!</definedName>
    <definedName name="_wal1" localSheetId="6">#REF!</definedName>
    <definedName name="_wal1" localSheetId="4">#REF!</definedName>
    <definedName name="_wal1" localSheetId="2">#REF!</definedName>
    <definedName name="_wal1">#REF!</definedName>
    <definedName name="_wal2" localSheetId="12">#REF!</definedName>
    <definedName name="_wal2" localSheetId="10">#REF!</definedName>
    <definedName name="_wal2" localSheetId="4">#REF!</definedName>
    <definedName name="_wal2" localSheetId="2">#REF!</definedName>
    <definedName name="_wal2">#REF!</definedName>
    <definedName name="_wf1" localSheetId="12">#REF!</definedName>
    <definedName name="_wf1" localSheetId="10">#REF!</definedName>
    <definedName name="_wf1" localSheetId="4">#REF!</definedName>
    <definedName name="_wf1">#REF!</definedName>
    <definedName name="_wf2" localSheetId="12">#REF!</definedName>
    <definedName name="_wf2" localSheetId="10">#REF!</definedName>
    <definedName name="_wf2" localSheetId="4">#REF!</definedName>
    <definedName name="_wf2">#REF!</definedName>
    <definedName name="_wl1" localSheetId="12">#REF!</definedName>
    <definedName name="_wl1" localSheetId="10">#REF!</definedName>
    <definedName name="_wl1" localSheetId="4">#REF!</definedName>
    <definedName name="_wl1">#REF!</definedName>
    <definedName name="_wl2" localSheetId="12">#REF!</definedName>
    <definedName name="_wl2" localSheetId="10">#REF!</definedName>
    <definedName name="_wl2" localSheetId="4">#REF!</definedName>
    <definedName name="_wl2">#REF!</definedName>
    <definedName name="_wl3" localSheetId="12">#REF!</definedName>
    <definedName name="_wl3" localSheetId="10">#REF!</definedName>
    <definedName name="_wl3" localSheetId="4">#REF!</definedName>
    <definedName name="_wl3">#REF!</definedName>
    <definedName name="_ws2" localSheetId="12">#REF!</definedName>
    <definedName name="_ws2" localSheetId="10">#REF!</definedName>
    <definedName name="_ws2" localSheetId="4">#REF!</definedName>
    <definedName name="_ws2">#REF!</definedName>
    <definedName name="_X" localSheetId="12">[7]Sheet1!#REF!</definedName>
    <definedName name="_X" localSheetId="10">[7]Sheet1!#REF!</definedName>
    <definedName name="_X" localSheetId="4">[7]Sheet1!#REF!</definedName>
    <definedName name="_X" localSheetId="2">[7]Sheet1!#REF!</definedName>
    <definedName name="_X">[7]Sheet1!#REF!</definedName>
    <definedName name="_Y" localSheetId="12">[7]Sheet1!#REF!</definedName>
    <definedName name="_Y" localSheetId="10">[7]Sheet1!#REF!</definedName>
    <definedName name="_Y" localSheetId="4">[7]Sheet1!#REF!</definedName>
    <definedName name="_Y" localSheetId="2">[7]Sheet1!#REF!</definedName>
    <definedName name="_Y">[7]Sheet1!#REF!</definedName>
    <definedName name="_Z" localSheetId="2">[7]Sheet1!#REF!</definedName>
    <definedName name="_Z">[7]Sheet1!#REF!</definedName>
    <definedName name="_zubair" localSheetId="12">#REF!</definedName>
    <definedName name="_zubair" localSheetId="10">#REF!</definedName>
    <definedName name="_zubair" localSheetId="6">#REF!</definedName>
    <definedName name="_zubair" localSheetId="4">#REF!</definedName>
    <definedName name="_zubair">#REF!</definedName>
    <definedName name="A" localSheetId="12">#REF!</definedName>
    <definedName name="A" localSheetId="10">#REF!</definedName>
    <definedName name="A" localSheetId="8">#REF!</definedName>
    <definedName name="A" localSheetId="6">#REF!</definedName>
    <definedName name="A" localSheetId="4">#REF!</definedName>
    <definedName name="A" localSheetId="1">#REF!</definedName>
    <definedName name="A" localSheetId="2">#REF!</definedName>
    <definedName name="A" localSheetId="7">#REF!</definedName>
    <definedName name="A" localSheetId="3">#REF!</definedName>
    <definedName name="A" localSheetId="11">#REF!</definedName>
    <definedName name="A" localSheetId="9">#REF!</definedName>
    <definedName name="A" localSheetId="5">#REF!</definedName>
    <definedName name="A" localSheetId="17">#REF!</definedName>
    <definedName name="A" localSheetId="15">#REF!</definedName>
    <definedName name="A" localSheetId="13">#REF!</definedName>
    <definedName name="A" localSheetId="18">#REF!</definedName>
    <definedName name="A" localSheetId="16">#REF!</definedName>
    <definedName name="A" localSheetId="20">#REF!</definedName>
    <definedName name="A" localSheetId="14">#REF!</definedName>
    <definedName name="A">#REF!</definedName>
    <definedName name="a1a1a" localSheetId="12">{#N/A,#N/A,FALSE,"Cashflow"}</definedName>
    <definedName name="a1a1a" localSheetId="10">{#N/A,#N/A,FALSE,"Cashflow"}</definedName>
    <definedName name="a1a1a" localSheetId="8">{#N/A,#N/A,FALSE,"Cashflow"}</definedName>
    <definedName name="a1a1a" localSheetId="6">{#N/A,#N/A,FALSE,"Cashflow"}</definedName>
    <definedName name="a1a1a" localSheetId="4">{#N/A,#N/A,FALSE,"Cashflow"}</definedName>
    <definedName name="a1a1a" localSheetId="1">{#N/A,#N/A,FALSE,"Cashflow"}</definedName>
    <definedName name="a1a1a" localSheetId="7">{#N/A,#N/A,FALSE,"Cashflow"}</definedName>
    <definedName name="a1a1a" localSheetId="3">{#N/A,#N/A,FALSE,"Cashflow"}</definedName>
    <definedName name="a1a1a" localSheetId="11">{#N/A,#N/A,FALSE,"Cashflow"}</definedName>
    <definedName name="a1a1a" localSheetId="9">{#N/A,#N/A,FALSE,"Cashflow"}</definedName>
    <definedName name="a1a1a" localSheetId="5">{#N/A,#N/A,FALSE,"Cashflow"}</definedName>
    <definedName name="a1a1a" localSheetId="17">{#N/A,#N/A,FALSE,"Cashflow"}</definedName>
    <definedName name="a1a1a" localSheetId="15">{#N/A,#N/A,FALSE,"Cashflow"}</definedName>
    <definedName name="a1a1a" localSheetId="13">{#N/A,#N/A,FALSE,"Cashflow"}</definedName>
    <definedName name="a1a1a" localSheetId="18">{#N/A,#N/A,FALSE,"Cashflow"}</definedName>
    <definedName name="a1a1a" localSheetId="16">{#N/A,#N/A,FALSE,"Cashflow"}</definedName>
    <definedName name="a1a1a" localSheetId="20">{#N/A,#N/A,FALSE,"Cashflow"}</definedName>
    <definedName name="a1a1a" localSheetId="14">{#N/A,#N/A,FALSE,"Cashflow"}</definedName>
    <definedName name="a1a1a">{#N/A,#N/A,FALSE,"Cashflow"}</definedName>
    <definedName name="a1a1a1a1" localSheetId="12">{#N/A,#N/A,FALSE,"Capacity"}</definedName>
    <definedName name="a1a1a1a1" localSheetId="10">{#N/A,#N/A,FALSE,"Capacity"}</definedName>
    <definedName name="a1a1a1a1" localSheetId="8">{#N/A,#N/A,FALSE,"Capacity"}</definedName>
    <definedName name="a1a1a1a1" localSheetId="6">{#N/A,#N/A,FALSE,"Capacity"}</definedName>
    <definedName name="a1a1a1a1" localSheetId="4">{#N/A,#N/A,FALSE,"Capacity"}</definedName>
    <definedName name="a1a1a1a1" localSheetId="1">{#N/A,#N/A,FALSE,"Capacity"}</definedName>
    <definedName name="a1a1a1a1" localSheetId="7">{#N/A,#N/A,FALSE,"Capacity"}</definedName>
    <definedName name="a1a1a1a1" localSheetId="3">{#N/A,#N/A,FALSE,"Capacity"}</definedName>
    <definedName name="a1a1a1a1" localSheetId="11">{#N/A,#N/A,FALSE,"Capacity"}</definedName>
    <definedName name="a1a1a1a1" localSheetId="9">{#N/A,#N/A,FALSE,"Capacity"}</definedName>
    <definedName name="a1a1a1a1" localSheetId="5">{#N/A,#N/A,FALSE,"Capacity"}</definedName>
    <definedName name="a1a1a1a1" localSheetId="17">{#N/A,#N/A,FALSE,"Capacity"}</definedName>
    <definedName name="a1a1a1a1" localSheetId="15">{#N/A,#N/A,FALSE,"Capacity"}</definedName>
    <definedName name="a1a1a1a1" localSheetId="13">{#N/A,#N/A,FALSE,"Capacity"}</definedName>
    <definedName name="a1a1a1a1" localSheetId="18">{#N/A,#N/A,FALSE,"Capacity"}</definedName>
    <definedName name="a1a1a1a1" localSheetId="16">{#N/A,#N/A,FALSE,"Capacity"}</definedName>
    <definedName name="a1a1a1a1" localSheetId="20">{#N/A,#N/A,FALSE,"Capacity"}</definedName>
    <definedName name="a1a1a1a1" localSheetId="14">{#N/A,#N/A,FALSE,"Capacity"}</definedName>
    <definedName name="a1a1a1a1">{#N/A,#N/A,FALSE,"Capacity"}</definedName>
    <definedName name="aa" localSheetId="12" hidden="1">{#N/A,#N/A,FALSE,"II-2 POP.HH";#N/A,#N/A,FALSE,"II-3 AGE.DIST";#N/A,#N/A,FALSE,"II-4 HH.DIST";#N/A,#N/A,FALSE,"II-5 EMP.INDUS"}</definedName>
    <definedName name="aa" localSheetId="10" hidden="1">{#N/A,#N/A,FALSE,"II-2 POP.HH";#N/A,#N/A,FALSE,"II-3 AGE.DIST";#N/A,#N/A,FALSE,"II-4 HH.DIST";#N/A,#N/A,FALSE,"II-5 EMP.INDUS"}</definedName>
    <definedName name="aa" localSheetId="8" hidden="1">{#N/A,#N/A,FALSE,"II-2 POP.HH";#N/A,#N/A,FALSE,"II-3 AGE.DIST";#N/A,#N/A,FALSE,"II-4 HH.DIST";#N/A,#N/A,FALSE,"II-5 EMP.INDUS"}</definedName>
    <definedName name="aa" localSheetId="6" hidden="1">{#N/A,#N/A,FALSE,"II-2 POP.HH";#N/A,#N/A,FALSE,"II-3 AGE.DIST";#N/A,#N/A,FALSE,"II-4 HH.DIST";#N/A,#N/A,FALSE,"II-5 EMP.INDUS"}</definedName>
    <definedName name="aa" localSheetId="4" hidden="1">{#N/A,#N/A,FALSE,"II-2 POP.HH";#N/A,#N/A,FALSE,"II-3 AGE.DIST";#N/A,#N/A,FALSE,"II-4 HH.DIST";#N/A,#N/A,FALSE,"II-5 EMP.INDUS"}</definedName>
    <definedName name="aa" localSheetId="1" hidden="1">{#N/A,#N/A,FALSE,"II-2 POP.HH";#N/A,#N/A,FALSE,"II-3 AGE.DIST";#N/A,#N/A,FALSE,"II-4 HH.DIST";#N/A,#N/A,FALSE,"II-5 EMP.INDUS"}</definedName>
    <definedName name="aa" localSheetId="2">#REF!</definedName>
    <definedName name="aa" localSheetId="7" hidden="1">{#N/A,#N/A,FALSE,"II-2 POP.HH";#N/A,#N/A,FALSE,"II-3 AGE.DIST";#N/A,#N/A,FALSE,"II-4 HH.DIST";#N/A,#N/A,FALSE,"II-5 EMP.INDUS"}</definedName>
    <definedName name="aa" localSheetId="3" hidden="1">{#N/A,#N/A,FALSE,"II-2 POP.HH";#N/A,#N/A,FALSE,"II-3 AGE.DIST";#N/A,#N/A,FALSE,"II-4 HH.DIST";#N/A,#N/A,FALSE,"II-5 EMP.INDUS"}</definedName>
    <definedName name="aa" localSheetId="11" hidden="1">{#N/A,#N/A,FALSE,"II-2 POP.HH";#N/A,#N/A,FALSE,"II-3 AGE.DIST";#N/A,#N/A,FALSE,"II-4 HH.DIST";#N/A,#N/A,FALSE,"II-5 EMP.INDUS"}</definedName>
    <definedName name="aa" localSheetId="9" hidden="1">{#N/A,#N/A,FALSE,"II-2 POP.HH";#N/A,#N/A,FALSE,"II-3 AGE.DIST";#N/A,#N/A,FALSE,"II-4 HH.DIST";#N/A,#N/A,FALSE,"II-5 EMP.INDUS"}</definedName>
    <definedName name="aa" localSheetId="5" hidden="1">{#N/A,#N/A,FALSE,"II-2 POP.HH";#N/A,#N/A,FALSE,"II-3 AGE.DIST";#N/A,#N/A,FALSE,"II-4 HH.DIST";#N/A,#N/A,FALSE,"II-5 EMP.INDUS"}</definedName>
    <definedName name="aa" localSheetId="17" hidden="1">{#N/A,#N/A,FALSE,"II-2 POP.HH";#N/A,#N/A,FALSE,"II-3 AGE.DIST";#N/A,#N/A,FALSE,"II-4 HH.DIST";#N/A,#N/A,FALSE,"II-5 EMP.INDUS"}</definedName>
    <definedName name="aa" localSheetId="15" hidden="1">{#N/A,#N/A,FALSE,"II-2 POP.HH";#N/A,#N/A,FALSE,"II-3 AGE.DIST";#N/A,#N/A,FALSE,"II-4 HH.DIST";#N/A,#N/A,FALSE,"II-5 EMP.INDUS"}</definedName>
    <definedName name="aa" localSheetId="13" hidden="1">{#N/A,#N/A,FALSE,"II-2 POP.HH";#N/A,#N/A,FALSE,"II-3 AGE.DIST";#N/A,#N/A,FALSE,"II-4 HH.DIST";#N/A,#N/A,FALSE,"II-5 EMP.INDUS"}</definedName>
    <definedName name="aa" localSheetId="18" hidden="1">{#N/A,#N/A,FALSE,"II-2 POP.HH";#N/A,#N/A,FALSE,"II-3 AGE.DIST";#N/A,#N/A,FALSE,"II-4 HH.DIST";#N/A,#N/A,FALSE,"II-5 EMP.INDUS"}</definedName>
    <definedName name="aa" localSheetId="16" hidden="1">{#N/A,#N/A,FALSE,"II-2 POP.HH";#N/A,#N/A,FALSE,"II-3 AGE.DIST";#N/A,#N/A,FALSE,"II-4 HH.DIST";#N/A,#N/A,FALSE,"II-5 EMP.INDUS"}</definedName>
    <definedName name="aa" localSheetId="20" hidden="1">{#N/A,#N/A,FALSE,"II-2 POP.HH";#N/A,#N/A,FALSE,"II-3 AGE.DIST";#N/A,#N/A,FALSE,"II-4 HH.DIST";#N/A,#N/A,FALSE,"II-5 EMP.INDUS"}</definedName>
    <definedName name="aa" localSheetId="14" hidden="1">{#N/A,#N/A,FALSE,"II-2 POP.HH";#N/A,#N/A,FALSE,"II-3 AGE.DIST";#N/A,#N/A,FALSE,"II-4 HH.DIST";#N/A,#N/A,FALSE,"II-5 EMP.INDUS"}</definedName>
    <definedName name="aa" hidden="1">{#N/A,#N/A,FALSE,"II-2 POP.HH";#N/A,#N/A,FALSE,"II-3 AGE.DIST";#N/A,#N/A,FALSE,"II-4 HH.DIST";#N/A,#N/A,FALSE,"II-5 EMP.INDUS"}</definedName>
    <definedName name="AAA" localSheetId="12" hidden="1">{#N/A,#N/A,FALSE,"AFR-ELC"}</definedName>
    <definedName name="AAA" localSheetId="10" hidden="1">{#N/A,#N/A,FALSE,"AFR-ELC"}</definedName>
    <definedName name="AAA" localSheetId="8" hidden="1">{#N/A,#N/A,FALSE,"AFR-ELC"}</definedName>
    <definedName name="AAA" localSheetId="6" hidden="1">{#N/A,#N/A,FALSE,"AFR-ELC"}</definedName>
    <definedName name="AAA" localSheetId="4" hidden="1">{#N/A,#N/A,FALSE,"AFR-ELC"}</definedName>
    <definedName name="AAA" localSheetId="0" hidden="1">{#N/A,#N/A,FALSE,"AFR-ELC"}</definedName>
    <definedName name="AAA" localSheetId="1" hidden="1">{#N/A,#N/A,FALSE,"AFR-ELC"}</definedName>
    <definedName name="aaa" localSheetId="2">#REF!</definedName>
    <definedName name="AAA" localSheetId="7" hidden="1">{#N/A,#N/A,FALSE,"AFR-ELC"}</definedName>
    <definedName name="AAA" localSheetId="3" hidden="1">{#N/A,#N/A,FALSE,"AFR-ELC"}</definedName>
    <definedName name="AAA" localSheetId="11" hidden="1">{#N/A,#N/A,FALSE,"AFR-ELC"}</definedName>
    <definedName name="AAA" localSheetId="9" hidden="1">{#N/A,#N/A,FALSE,"AFR-ELC"}</definedName>
    <definedName name="AAA" localSheetId="5" hidden="1">{#N/A,#N/A,FALSE,"AFR-ELC"}</definedName>
    <definedName name="AAA" localSheetId="17" hidden="1">{#N/A,#N/A,FALSE,"AFR-ELC"}</definedName>
    <definedName name="AAA" localSheetId="15" hidden="1">{#N/A,#N/A,FALSE,"AFR-ELC"}</definedName>
    <definedName name="AAA" localSheetId="13" hidden="1">{#N/A,#N/A,FALSE,"AFR-ELC"}</definedName>
    <definedName name="AAA" localSheetId="18" hidden="1">{#N/A,#N/A,FALSE,"AFR-ELC"}</definedName>
    <definedName name="AAA" localSheetId="16" hidden="1">{#N/A,#N/A,FALSE,"AFR-ELC"}</definedName>
    <definedName name="AAA" localSheetId="20" hidden="1">{#N/A,#N/A,FALSE,"AFR-ELC"}</definedName>
    <definedName name="AAA" localSheetId="14" hidden="1">{#N/A,#N/A,FALSE,"AFR-ELC"}</definedName>
    <definedName name="AAA" hidden="1">{#N/A,#N/A,FALSE,"AFR-ELC"}</definedName>
    <definedName name="aaaa" localSheetId="12">'[8]MAIN BLD TAKE OFF'!#REF!</definedName>
    <definedName name="aaaa" localSheetId="10">'[8]MAIN BLD TAKE OFF'!#REF!</definedName>
    <definedName name="aaaa" localSheetId="8">'[8]MAIN BLD TAKE OFF'!#REF!</definedName>
    <definedName name="aaaa" localSheetId="6">'[8]MAIN BLD TAKE OFF'!#REF!</definedName>
    <definedName name="aaaa" localSheetId="4">'[8]MAIN BLD TAKE OFF'!#REF!</definedName>
    <definedName name="aaaa" localSheetId="1">'[8]MAIN BLD TAKE OFF'!#REF!</definedName>
    <definedName name="aaaa">'[8]MAIN BLD TAKE OFF'!#REF!</definedName>
    <definedName name="aaaaa" localSheetId="12">{#N/A,#N/A,FALSE,"Variables";#N/A,#N/A,FALSE,"NPV Cashflows NZ$";#N/A,#N/A,FALSE,"Cashflows NZ$"}</definedName>
    <definedName name="aaaaa" localSheetId="10">{#N/A,#N/A,FALSE,"Variables";#N/A,#N/A,FALSE,"NPV Cashflows NZ$";#N/A,#N/A,FALSE,"Cashflows NZ$"}</definedName>
    <definedName name="aaaaa" localSheetId="8">{#N/A,#N/A,FALSE,"Variables";#N/A,#N/A,FALSE,"NPV Cashflows NZ$";#N/A,#N/A,FALSE,"Cashflows NZ$"}</definedName>
    <definedName name="aaaaa" localSheetId="6">{#N/A,#N/A,FALSE,"Variables";#N/A,#N/A,FALSE,"NPV Cashflows NZ$";#N/A,#N/A,FALSE,"Cashflows NZ$"}</definedName>
    <definedName name="aaaaa" localSheetId="4">{#N/A,#N/A,FALSE,"Variables";#N/A,#N/A,FALSE,"NPV Cashflows NZ$";#N/A,#N/A,FALSE,"Cashflows NZ$"}</definedName>
    <definedName name="aaaaa" localSheetId="1">{#N/A,#N/A,FALSE,"Variables";#N/A,#N/A,FALSE,"NPV Cashflows NZ$";#N/A,#N/A,FALSE,"Cashflows NZ$"}</definedName>
    <definedName name="aaaaa" localSheetId="7">{#N/A,#N/A,FALSE,"Variables";#N/A,#N/A,FALSE,"NPV Cashflows NZ$";#N/A,#N/A,FALSE,"Cashflows NZ$"}</definedName>
    <definedName name="aaaaa" localSheetId="3">{#N/A,#N/A,FALSE,"Variables";#N/A,#N/A,FALSE,"NPV Cashflows NZ$";#N/A,#N/A,FALSE,"Cashflows NZ$"}</definedName>
    <definedName name="aaaaa" localSheetId="11">{#N/A,#N/A,FALSE,"Variables";#N/A,#N/A,FALSE,"NPV Cashflows NZ$";#N/A,#N/A,FALSE,"Cashflows NZ$"}</definedName>
    <definedName name="aaaaa" localSheetId="9">{#N/A,#N/A,FALSE,"Variables";#N/A,#N/A,FALSE,"NPV Cashflows NZ$";#N/A,#N/A,FALSE,"Cashflows NZ$"}</definedName>
    <definedName name="aaaaa" localSheetId="5">{#N/A,#N/A,FALSE,"Variables";#N/A,#N/A,FALSE,"NPV Cashflows NZ$";#N/A,#N/A,FALSE,"Cashflows NZ$"}</definedName>
    <definedName name="aaaaa" localSheetId="17">{#N/A,#N/A,FALSE,"Variables";#N/A,#N/A,FALSE,"NPV Cashflows NZ$";#N/A,#N/A,FALSE,"Cashflows NZ$"}</definedName>
    <definedName name="aaaaa" localSheetId="15">{#N/A,#N/A,FALSE,"Variables";#N/A,#N/A,FALSE,"NPV Cashflows NZ$";#N/A,#N/A,FALSE,"Cashflows NZ$"}</definedName>
    <definedName name="aaaaa" localSheetId="13">{#N/A,#N/A,FALSE,"Variables";#N/A,#N/A,FALSE,"NPV Cashflows NZ$";#N/A,#N/A,FALSE,"Cashflows NZ$"}</definedName>
    <definedName name="aaaaa" localSheetId="18">{#N/A,#N/A,FALSE,"Variables";#N/A,#N/A,FALSE,"NPV Cashflows NZ$";#N/A,#N/A,FALSE,"Cashflows NZ$"}</definedName>
    <definedName name="aaaaa" localSheetId="16">{#N/A,#N/A,FALSE,"Variables";#N/A,#N/A,FALSE,"NPV Cashflows NZ$";#N/A,#N/A,FALSE,"Cashflows NZ$"}</definedName>
    <definedName name="aaaaa" localSheetId="20">{#N/A,#N/A,FALSE,"Variables";#N/A,#N/A,FALSE,"NPV Cashflows NZ$";#N/A,#N/A,FALSE,"Cashflows NZ$"}</definedName>
    <definedName name="aaaaa" localSheetId="14">{#N/A,#N/A,FALSE,"Variables";#N/A,#N/A,FALSE,"NPV Cashflows NZ$";#N/A,#N/A,FALSE,"Cashflows NZ$"}</definedName>
    <definedName name="aaaaa">{#N/A,#N/A,FALSE,"Variables";#N/A,#N/A,FALSE,"NPV Cashflows NZ$";#N/A,#N/A,FALSE,"Cashflows NZ$"}</definedName>
    <definedName name="aaaaaaa" localSheetId="12">{#N/A,#N/A,FALSE,"Cashflow"}</definedName>
    <definedName name="aaaaaaa" localSheetId="10">{#N/A,#N/A,FALSE,"Cashflow"}</definedName>
    <definedName name="aaaaaaa" localSheetId="8">{#N/A,#N/A,FALSE,"Cashflow"}</definedName>
    <definedName name="aaaaaaa" localSheetId="6">{#N/A,#N/A,FALSE,"Cashflow"}</definedName>
    <definedName name="aaaaaaa" localSheetId="4">{#N/A,#N/A,FALSE,"Cashflow"}</definedName>
    <definedName name="aaaaaaa" localSheetId="1">{#N/A,#N/A,FALSE,"Cashflow"}</definedName>
    <definedName name="aaaaaaa" localSheetId="2" hidden="1">{#N/A,#N/A,FALSE,"Elect B.O.Q";#N/A,#N/A,FALSE,"Plumbing b.O.Q";#N/A,#N/A,FALSE,"Ac B.O.Q"}</definedName>
    <definedName name="aaaaaaa" localSheetId="7">{#N/A,#N/A,FALSE,"Cashflow"}</definedName>
    <definedName name="aaaaaaa" localSheetId="3">{#N/A,#N/A,FALSE,"Cashflow"}</definedName>
    <definedName name="aaaaaaa" localSheetId="11">{#N/A,#N/A,FALSE,"Cashflow"}</definedName>
    <definedName name="aaaaaaa" localSheetId="9">{#N/A,#N/A,FALSE,"Cashflow"}</definedName>
    <definedName name="aaaaaaa" localSheetId="5">{#N/A,#N/A,FALSE,"Cashflow"}</definedName>
    <definedName name="aaaaaaa" localSheetId="17">{#N/A,#N/A,FALSE,"Cashflow"}</definedName>
    <definedName name="aaaaaaa" localSheetId="15">{#N/A,#N/A,FALSE,"Cashflow"}</definedName>
    <definedName name="aaaaaaa" localSheetId="13">{#N/A,#N/A,FALSE,"Cashflow"}</definedName>
    <definedName name="aaaaaaa" localSheetId="18">{#N/A,#N/A,FALSE,"Cashflow"}</definedName>
    <definedName name="aaaaaaa" localSheetId="16">{#N/A,#N/A,FALSE,"Cashflow"}</definedName>
    <definedName name="aaaaaaa" localSheetId="20">{#N/A,#N/A,FALSE,"Cashflow"}</definedName>
    <definedName name="aaaaaaa" localSheetId="14">{#N/A,#N/A,FALSE,"Cashflow"}</definedName>
    <definedName name="aaaaaaa">{#N/A,#N/A,FALSE,"Cashflow"}</definedName>
    <definedName name="aaaaaaaaaa" localSheetId="12">{#N/A,#N/A,FALSE,"Cashflow"}</definedName>
    <definedName name="aaaaaaaaaa" localSheetId="10">{#N/A,#N/A,FALSE,"Cashflow"}</definedName>
    <definedName name="aaaaaaaaaa" localSheetId="8">{#N/A,#N/A,FALSE,"Cashflow"}</definedName>
    <definedName name="aaaaaaaaaa" localSheetId="6">{#N/A,#N/A,FALSE,"Cashflow"}</definedName>
    <definedName name="aaaaaaaaaa" localSheetId="4">{#N/A,#N/A,FALSE,"Cashflow"}</definedName>
    <definedName name="aaaaaaaaaa" localSheetId="1">{#N/A,#N/A,FALSE,"Cashflow"}</definedName>
    <definedName name="aaaaaaaaaa" localSheetId="7">{#N/A,#N/A,FALSE,"Cashflow"}</definedName>
    <definedName name="aaaaaaaaaa" localSheetId="3">{#N/A,#N/A,FALSE,"Cashflow"}</definedName>
    <definedName name="aaaaaaaaaa" localSheetId="11">{#N/A,#N/A,FALSE,"Cashflow"}</definedName>
    <definedName name="aaaaaaaaaa" localSheetId="9">{#N/A,#N/A,FALSE,"Cashflow"}</definedName>
    <definedName name="aaaaaaaaaa" localSheetId="5">{#N/A,#N/A,FALSE,"Cashflow"}</definedName>
    <definedName name="aaaaaaaaaa" localSheetId="17">{#N/A,#N/A,FALSE,"Cashflow"}</definedName>
    <definedName name="aaaaaaaaaa" localSheetId="15">{#N/A,#N/A,FALSE,"Cashflow"}</definedName>
    <definedName name="aaaaaaaaaa" localSheetId="13">{#N/A,#N/A,FALSE,"Cashflow"}</definedName>
    <definedName name="aaaaaaaaaa" localSheetId="18">{#N/A,#N/A,FALSE,"Cashflow"}</definedName>
    <definedName name="aaaaaaaaaa" localSheetId="16">{#N/A,#N/A,FALSE,"Cashflow"}</definedName>
    <definedName name="aaaaaaaaaa" localSheetId="20">{#N/A,#N/A,FALSE,"Cashflow"}</definedName>
    <definedName name="aaaaaaaaaa" localSheetId="14">{#N/A,#N/A,FALSE,"Cashflow"}</definedName>
    <definedName name="aaaaaaaaaa">{#N/A,#N/A,FALSE,"Cashflow"}</definedName>
    <definedName name="ABU" localSheetId="12">'[8]MAIN BLD TAKE OFF'!#REF!</definedName>
    <definedName name="ABU" localSheetId="10">'[8]MAIN BLD TAKE OFF'!#REF!</definedName>
    <definedName name="ABU" localSheetId="8">'[8]MAIN BLD TAKE OFF'!#REF!</definedName>
    <definedName name="ABU" localSheetId="6">'[8]MAIN BLD TAKE OFF'!#REF!</definedName>
    <definedName name="ABU" localSheetId="4">'[8]MAIN BLD TAKE OFF'!#REF!</definedName>
    <definedName name="ABU" localSheetId="1">'[8]MAIN BLD TAKE OFF'!#REF!</definedName>
    <definedName name="ABU">'[8]MAIN BLD TAKE OFF'!#REF!</definedName>
    <definedName name="AccessDatabase" hidden="1">"H:\MDEVLIN\mdevlin general\Blank BCIS Tender Master.mdb"</definedName>
    <definedName name="ad" localSheetId="12">{0,0,0,0;0,0,0,0;0,0,0,0}</definedName>
    <definedName name="ad" localSheetId="10">{0,0,0,0;0,0,0,0;0,0,0,0}</definedName>
    <definedName name="ad" localSheetId="8">{0,0,0,0;0,0,0,0;0,0,0,0}</definedName>
    <definedName name="ad" localSheetId="6">{0,0,0,0;0,0,0,0;0,0,0,0}</definedName>
    <definedName name="ad" localSheetId="4">{0,0,0,0;0,0,0,0;0,0,0,0}</definedName>
    <definedName name="ad" localSheetId="1">{0,0,0,0;0,0,0,0;0,0,0,0}</definedName>
    <definedName name="ad" localSheetId="7">{0,0,0,0;0,0,0,0;0,0,0,0}</definedName>
    <definedName name="ad" localSheetId="3">{0,0,0,0;0,0,0,0;0,0,0,0}</definedName>
    <definedName name="ad" localSheetId="11">{0,0,0,0;0,0,0,0;0,0,0,0}</definedName>
    <definedName name="ad" localSheetId="9">{0,0,0,0;0,0,0,0;0,0,0,0}</definedName>
    <definedName name="ad" localSheetId="5">{0,0,0,0;0,0,0,0;0,0,0,0}</definedName>
    <definedName name="ad" localSheetId="17">{0,0,0,0;0,0,0,0;0,0,0,0}</definedName>
    <definedName name="ad" localSheetId="15">{0,0,0,0;0,0,0,0;0,0,0,0}</definedName>
    <definedName name="ad" localSheetId="13">{0,0,0,0;0,0,0,0;0,0,0,0}</definedName>
    <definedName name="ad" localSheetId="18">{0,0,0,0;0,0,0,0;0,0,0,0}</definedName>
    <definedName name="ad" localSheetId="16">{0,0,0,0;0,0,0,0;0,0,0,0}</definedName>
    <definedName name="ad" localSheetId="20">{0,0,0,0;0,0,0,0;0,0,0,0}</definedName>
    <definedName name="ad" localSheetId="14">{0,0,0,0;0,0,0,0;0,0,0,0}</definedName>
    <definedName name="ad">{0,0,0,0;0,0,0,0;0,0,0,0}</definedName>
    <definedName name="all" localSheetId="12">'[9]Materials on site'!#REF!</definedName>
    <definedName name="all" localSheetId="10">'[9]Materials on site'!#REF!</definedName>
    <definedName name="all" localSheetId="8">'[9]Materials on site'!#REF!</definedName>
    <definedName name="all" localSheetId="6">'[9]Materials on site'!#REF!</definedName>
    <definedName name="all" localSheetId="4">'[9]Materials on site'!#REF!</definedName>
    <definedName name="all" localSheetId="1">'[9]Materials on site'!#REF!</definedName>
    <definedName name="all">'[9]Materials on site'!#REF!</definedName>
    <definedName name="ALTV">'[10]Base case - condos'!$H$6</definedName>
    <definedName name="Aluminium_roofing_.7_coloured">[11]Prices!$B$15</definedName>
    <definedName name="Amiantus_roof">[11]Prices!$B$77</definedName>
    <definedName name="Amount_Dhs.">"F1"</definedName>
    <definedName name="anscount" hidden="1">1</definedName>
    <definedName name="aq" localSheetId="12">#REF!</definedName>
    <definedName name="aq" localSheetId="10">#REF!</definedName>
    <definedName name="aq" localSheetId="8">#REF!</definedName>
    <definedName name="aq" localSheetId="6">#REF!</definedName>
    <definedName name="aq" localSheetId="4">#REF!</definedName>
    <definedName name="aq" localSheetId="1">#REF!</definedName>
    <definedName name="aq" localSheetId="7">#REF!</definedName>
    <definedName name="aq" localSheetId="3">#REF!</definedName>
    <definedName name="aq" localSheetId="11">#REF!</definedName>
    <definedName name="aq" localSheetId="9">#REF!</definedName>
    <definedName name="aq" localSheetId="5">#REF!</definedName>
    <definedName name="aq" localSheetId="17">#REF!</definedName>
    <definedName name="aq" localSheetId="15">#REF!</definedName>
    <definedName name="aq" localSheetId="13">#REF!</definedName>
    <definedName name="aq" localSheetId="18">#REF!</definedName>
    <definedName name="aq" localSheetId="16">#REF!</definedName>
    <definedName name="aq" localSheetId="20">#REF!</definedName>
    <definedName name="aq" localSheetId="14">#REF!</definedName>
    <definedName name="aq">#REF!</definedName>
    <definedName name="Area">'[12]Exhibit VI-8'!$A$1:$IV$11</definedName>
    <definedName name="Artizan_direct">[11]Prices!$B$79</definedName>
    <definedName name="Artizan_sc">[11]Prices!$B$80</definedName>
    <definedName name="AS2DocOpenMode" hidden="1">"AS2DocumentEdit"</definedName>
    <definedName name="Asbestos_ridge">[11]Prices!$B$85</definedName>
    <definedName name="Asbestos_roof">[11]Prices!$B$83</definedName>
    <definedName name="asdfasfasd" localSheetId="12">{0,0,0,0;0,0,0,0;0,0,0,0}</definedName>
    <definedName name="asdfasfasd" localSheetId="10">{0,0,0,0;0,0,0,0;0,0,0,0}</definedName>
    <definedName name="asdfasfasd" localSheetId="8">{0,0,0,0;0,0,0,0;0,0,0,0}</definedName>
    <definedName name="asdfasfasd" localSheetId="6">{0,0,0,0;0,0,0,0;0,0,0,0}</definedName>
    <definedName name="asdfasfasd" localSheetId="4">{0,0,0,0;0,0,0,0;0,0,0,0}</definedName>
    <definedName name="asdfasfasd" localSheetId="1">{0,0,0,0;0,0,0,0;0,0,0,0}</definedName>
    <definedName name="asdfasfasd" localSheetId="7">{0,0,0,0;0,0,0,0;0,0,0,0}</definedName>
    <definedName name="asdfasfasd" localSheetId="3">{0,0,0,0;0,0,0,0;0,0,0,0}</definedName>
    <definedName name="asdfasfasd" localSheetId="11">{0,0,0,0;0,0,0,0;0,0,0,0}</definedName>
    <definedName name="asdfasfasd" localSheetId="9">{0,0,0,0;0,0,0,0;0,0,0,0}</definedName>
    <definedName name="asdfasfasd" localSheetId="5">{0,0,0,0;0,0,0,0;0,0,0,0}</definedName>
    <definedName name="asdfasfasd" localSheetId="17">{0,0,0,0;0,0,0,0;0,0,0,0}</definedName>
    <definedName name="asdfasfasd" localSheetId="15">{0,0,0,0;0,0,0,0;0,0,0,0}</definedName>
    <definedName name="asdfasfasd" localSheetId="13">{0,0,0,0;0,0,0,0;0,0,0,0}</definedName>
    <definedName name="asdfasfasd" localSheetId="18">{0,0,0,0;0,0,0,0;0,0,0,0}</definedName>
    <definedName name="asdfasfasd" localSheetId="16">{0,0,0,0;0,0,0,0;0,0,0,0}</definedName>
    <definedName name="asdfasfasd" localSheetId="20">{0,0,0,0;0,0,0,0;0,0,0,0}</definedName>
    <definedName name="asdfasfasd" localSheetId="14">{0,0,0,0;0,0,0,0;0,0,0,0}</definedName>
    <definedName name="asdfasfasd">{0,0,0,0;0,0,0,0;0,0,0,0}</definedName>
    <definedName name="ATTACHED" localSheetId="12" hidden="1">{#N/A,#N/A,FALSE,"el.det";#N/A,#N/A,FALSE,"mu.det";#N/A,#N/A,FALSE,"ug.det";#N/A,#N/A,FALSE,"ex.det";#N/A,#N/A,FALSE,"lux.det";#N/A,#N/A,FALSE,"custom.lot";#N/A,#N/A,FALSE,"condo.att";#N/A,#N/A,FALSE,"el.att";#N/A,#N/A,FALSE,"mu.att";#N/A,#N/A,FALSE,"ex.att";#N/A,#N/A,FALSE,"lux.att";#N/A,#N/A,FALSE,"all.by.village"}</definedName>
    <definedName name="ATTACHED" localSheetId="10" hidden="1">{#N/A,#N/A,FALSE,"el.det";#N/A,#N/A,FALSE,"mu.det";#N/A,#N/A,FALSE,"ug.det";#N/A,#N/A,FALSE,"ex.det";#N/A,#N/A,FALSE,"lux.det";#N/A,#N/A,FALSE,"custom.lot";#N/A,#N/A,FALSE,"condo.att";#N/A,#N/A,FALSE,"el.att";#N/A,#N/A,FALSE,"mu.att";#N/A,#N/A,FALSE,"ex.att";#N/A,#N/A,FALSE,"lux.att";#N/A,#N/A,FALSE,"all.by.village"}</definedName>
    <definedName name="ATTACHED" localSheetId="8" hidden="1">{#N/A,#N/A,FALSE,"el.det";#N/A,#N/A,FALSE,"mu.det";#N/A,#N/A,FALSE,"ug.det";#N/A,#N/A,FALSE,"ex.det";#N/A,#N/A,FALSE,"lux.det";#N/A,#N/A,FALSE,"custom.lot";#N/A,#N/A,FALSE,"condo.att";#N/A,#N/A,FALSE,"el.att";#N/A,#N/A,FALSE,"mu.att";#N/A,#N/A,FALSE,"ex.att";#N/A,#N/A,FALSE,"lux.att";#N/A,#N/A,FALSE,"all.by.village"}</definedName>
    <definedName name="ATTACHED" localSheetId="6" hidden="1">{#N/A,#N/A,FALSE,"el.det";#N/A,#N/A,FALSE,"mu.det";#N/A,#N/A,FALSE,"ug.det";#N/A,#N/A,FALSE,"ex.det";#N/A,#N/A,FALSE,"lux.det";#N/A,#N/A,FALSE,"custom.lot";#N/A,#N/A,FALSE,"condo.att";#N/A,#N/A,FALSE,"el.att";#N/A,#N/A,FALSE,"mu.att";#N/A,#N/A,FALSE,"ex.att";#N/A,#N/A,FALSE,"lux.att";#N/A,#N/A,FALSE,"all.by.village"}</definedName>
    <definedName name="ATTACHED" localSheetId="4" hidden="1">{#N/A,#N/A,FALSE,"el.det";#N/A,#N/A,FALSE,"mu.det";#N/A,#N/A,FALSE,"ug.det";#N/A,#N/A,FALSE,"ex.det";#N/A,#N/A,FALSE,"lux.det";#N/A,#N/A,FALSE,"custom.lot";#N/A,#N/A,FALSE,"condo.att";#N/A,#N/A,FALSE,"el.att";#N/A,#N/A,FALSE,"mu.att";#N/A,#N/A,FALSE,"ex.att";#N/A,#N/A,FALSE,"lux.att";#N/A,#N/A,FALSE,"all.by.village"}</definedName>
    <definedName name="ATTACHED" localSheetId="1" hidden="1">{#N/A,#N/A,FALSE,"el.det";#N/A,#N/A,FALSE,"mu.det";#N/A,#N/A,FALSE,"ug.det";#N/A,#N/A,FALSE,"ex.det";#N/A,#N/A,FALSE,"lux.det";#N/A,#N/A,FALSE,"custom.lot";#N/A,#N/A,FALSE,"condo.att";#N/A,#N/A,FALSE,"el.att";#N/A,#N/A,FALSE,"mu.att";#N/A,#N/A,FALSE,"ex.att";#N/A,#N/A,FALSE,"lux.att";#N/A,#N/A,FALSE,"all.by.village"}</definedName>
    <definedName name="ATTACHED" localSheetId="7" hidden="1">{#N/A,#N/A,FALSE,"el.det";#N/A,#N/A,FALSE,"mu.det";#N/A,#N/A,FALSE,"ug.det";#N/A,#N/A,FALSE,"ex.det";#N/A,#N/A,FALSE,"lux.det";#N/A,#N/A,FALSE,"custom.lot";#N/A,#N/A,FALSE,"condo.att";#N/A,#N/A,FALSE,"el.att";#N/A,#N/A,FALSE,"mu.att";#N/A,#N/A,FALSE,"ex.att";#N/A,#N/A,FALSE,"lux.att";#N/A,#N/A,FALSE,"all.by.village"}</definedName>
    <definedName name="ATTACHED" localSheetId="3" hidden="1">{#N/A,#N/A,FALSE,"el.det";#N/A,#N/A,FALSE,"mu.det";#N/A,#N/A,FALSE,"ug.det";#N/A,#N/A,FALSE,"ex.det";#N/A,#N/A,FALSE,"lux.det";#N/A,#N/A,FALSE,"custom.lot";#N/A,#N/A,FALSE,"condo.att";#N/A,#N/A,FALSE,"el.att";#N/A,#N/A,FALSE,"mu.att";#N/A,#N/A,FALSE,"ex.att";#N/A,#N/A,FALSE,"lux.att";#N/A,#N/A,FALSE,"all.by.village"}</definedName>
    <definedName name="ATTACHED" localSheetId="11" hidden="1">{#N/A,#N/A,FALSE,"el.det";#N/A,#N/A,FALSE,"mu.det";#N/A,#N/A,FALSE,"ug.det";#N/A,#N/A,FALSE,"ex.det";#N/A,#N/A,FALSE,"lux.det";#N/A,#N/A,FALSE,"custom.lot";#N/A,#N/A,FALSE,"condo.att";#N/A,#N/A,FALSE,"el.att";#N/A,#N/A,FALSE,"mu.att";#N/A,#N/A,FALSE,"ex.att";#N/A,#N/A,FALSE,"lux.att";#N/A,#N/A,FALSE,"all.by.village"}</definedName>
    <definedName name="ATTACHED" localSheetId="9" hidden="1">{#N/A,#N/A,FALSE,"el.det";#N/A,#N/A,FALSE,"mu.det";#N/A,#N/A,FALSE,"ug.det";#N/A,#N/A,FALSE,"ex.det";#N/A,#N/A,FALSE,"lux.det";#N/A,#N/A,FALSE,"custom.lot";#N/A,#N/A,FALSE,"condo.att";#N/A,#N/A,FALSE,"el.att";#N/A,#N/A,FALSE,"mu.att";#N/A,#N/A,FALSE,"ex.att";#N/A,#N/A,FALSE,"lux.att";#N/A,#N/A,FALSE,"all.by.village"}</definedName>
    <definedName name="ATTACHED" localSheetId="5" hidden="1">{#N/A,#N/A,FALSE,"el.det";#N/A,#N/A,FALSE,"mu.det";#N/A,#N/A,FALSE,"ug.det";#N/A,#N/A,FALSE,"ex.det";#N/A,#N/A,FALSE,"lux.det";#N/A,#N/A,FALSE,"custom.lot";#N/A,#N/A,FALSE,"condo.att";#N/A,#N/A,FALSE,"el.att";#N/A,#N/A,FALSE,"mu.att";#N/A,#N/A,FALSE,"ex.att";#N/A,#N/A,FALSE,"lux.att";#N/A,#N/A,FALSE,"all.by.village"}</definedName>
    <definedName name="ATTACHED" localSheetId="17" hidden="1">{#N/A,#N/A,FALSE,"el.det";#N/A,#N/A,FALSE,"mu.det";#N/A,#N/A,FALSE,"ug.det";#N/A,#N/A,FALSE,"ex.det";#N/A,#N/A,FALSE,"lux.det";#N/A,#N/A,FALSE,"custom.lot";#N/A,#N/A,FALSE,"condo.att";#N/A,#N/A,FALSE,"el.att";#N/A,#N/A,FALSE,"mu.att";#N/A,#N/A,FALSE,"ex.att";#N/A,#N/A,FALSE,"lux.att";#N/A,#N/A,FALSE,"all.by.village"}</definedName>
    <definedName name="ATTACHED" localSheetId="15" hidden="1">{#N/A,#N/A,FALSE,"el.det";#N/A,#N/A,FALSE,"mu.det";#N/A,#N/A,FALSE,"ug.det";#N/A,#N/A,FALSE,"ex.det";#N/A,#N/A,FALSE,"lux.det";#N/A,#N/A,FALSE,"custom.lot";#N/A,#N/A,FALSE,"condo.att";#N/A,#N/A,FALSE,"el.att";#N/A,#N/A,FALSE,"mu.att";#N/A,#N/A,FALSE,"ex.att";#N/A,#N/A,FALSE,"lux.att";#N/A,#N/A,FALSE,"all.by.village"}</definedName>
    <definedName name="ATTACHED" localSheetId="13" hidden="1">{#N/A,#N/A,FALSE,"el.det";#N/A,#N/A,FALSE,"mu.det";#N/A,#N/A,FALSE,"ug.det";#N/A,#N/A,FALSE,"ex.det";#N/A,#N/A,FALSE,"lux.det";#N/A,#N/A,FALSE,"custom.lot";#N/A,#N/A,FALSE,"condo.att";#N/A,#N/A,FALSE,"el.att";#N/A,#N/A,FALSE,"mu.att";#N/A,#N/A,FALSE,"ex.att";#N/A,#N/A,FALSE,"lux.att";#N/A,#N/A,FALSE,"all.by.village"}</definedName>
    <definedName name="ATTACHED" localSheetId="18" hidden="1">{#N/A,#N/A,FALSE,"el.det";#N/A,#N/A,FALSE,"mu.det";#N/A,#N/A,FALSE,"ug.det";#N/A,#N/A,FALSE,"ex.det";#N/A,#N/A,FALSE,"lux.det";#N/A,#N/A,FALSE,"custom.lot";#N/A,#N/A,FALSE,"condo.att";#N/A,#N/A,FALSE,"el.att";#N/A,#N/A,FALSE,"mu.att";#N/A,#N/A,FALSE,"ex.att";#N/A,#N/A,FALSE,"lux.att";#N/A,#N/A,FALSE,"all.by.village"}</definedName>
    <definedName name="ATTACHED" localSheetId="16" hidden="1">{#N/A,#N/A,FALSE,"el.det";#N/A,#N/A,FALSE,"mu.det";#N/A,#N/A,FALSE,"ug.det";#N/A,#N/A,FALSE,"ex.det";#N/A,#N/A,FALSE,"lux.det";#N/A,#N/A,FALSE,"custom.lot";#N/A,#N/A,FALSE,"condo.att";#N/A,#N/A,FALSE,"el.att";#N/A,#N/A,FALSE,"mu.att";#N/A,#N/A,FALSE,"ex.att";#N/A,#N/A,FALSE,"lux.att";#N/A,#N/A,FALSE,"all.by.village"}</definedName>
    <definedName name="ATTACHED" localSheetId="20" hidden="1">{#N/A,#N/A,FALSE,"el.det";#N/A,#N/A,FALSE,"mu.det";#N/A,#N/A,FALSE,"ug.det";#N/A,#N/A,FALSE,"ex.det";#N/A,#N/A,FALSE,"lux.det";#N/A,#N/A,FALSE,"custom.lot";#N/A,#N/A,FALSE,"condo.att";#N/A,#N/A,FALSE,"el.att";#N/A,#N/A,FALSE,"mu.att";#N/A,#N/A,FALSE,"ex.att";#N/A,#N/A,FALSE,"lux.att";#N/A,#N/A,FALSE,"all.by.village"}</definedName>
    <definedName name="ATTACHED" localSheetId="14" hidden="1">{#N/A,#N/A,FALSE,"el.det";#N/A,#N/A,FALSE,"mu.det";#N/A,#N/A,FALSE,"ug.det";#N/A,#N/A,FALSE,"ex.det";#N/A,#N/A,FALSE,"lux.det";#N/A,#N/A,FALSE,"custom.lot";#N/A,#N/A,FALSE,"condo.att";#N/A,#N/A,FALSE,"el.att";#N/A,#N/A,FALSE,"mu.att";#N/A,#N/A,FALSE,"ex.att";#N/A,#N/A,FALSE,"lux.att";#N/A,#N/A,FALSE,"all.by.village"}</definedName>
    <definedName name="ATTACHED" hidden="1">{#N/A,#N/A,FALSE,"el.det";#N/A,#N/A,FALSE,"mu.det";#N/A,#N/A,FALSE,"ug.det";#N/A,#N/A,FALSE,"ex.det";#N/A,#N/A,FALSE,"lux.det";#N/A,#N/A,FALSE,"custom.lot";#N/A,#N/A,FALSE,"condo.att";#N/A,#N/A,FALSE,"el.att";#N/A,#N/A,FALSE,"mu.att";#N/A,#N/A,FALSE,"ex.att";#N/A,#N/A,FALSE,"lux.att";#N/A,#N/A,FALSE,"all.by.village"}</definedName>
    <definedName name="B" localSheetId="12">#REF!</definedName>
    <definedName name="B" localSheetId="10">#REF!</definedName>
    <definedName name="B" localSheetId="8">#REF!</definedName>
    <definedName name="B" localSheetId="6">#REF!</definedName>
    <definedName name="B" localSheetId="4">#REF!</definedName>
    <definedName name="B" localSheetId="1">#REF!</definedName>
    <definedName name="B" localSheetId="2">#REF!</definedName>
    <definedName name="B" localSheetId="7">#REF!</definedName>
    <definedName name="B" localSheetId="3">#REF!</definedName>
    <definedName name="B" localSheetId="11">#REF!</definedName>
    <definedName name="B" localSheetId="9">#REF!</definedName>
    <definedName name="B" localSheetId="5">#REF!</definedName>
    <definedName name="B" localSheetId="17">#REF!</definedName>
    <definedName name="B" localSheetId="15">#REF!</definedName>
    <definedName name="B" localSheetId="13">#REF!</definedName>
    <definedName name="B" localSheetId="18">#REF!</definedName>
    <definedName name="B" localSheetId="16">#REF!</definedName>
    <definedName name="B" localSheetId="20">#REF!</definedName>
    <definedName name="B" localSheetId="14">#REF!</definedName>
    <definedName name="B">#REF!</definedName>
    <definedName name="B1T" localSheetId="12">#REF!</definedName>
    <definedName name="B1T" localSheetId="10">#REF!</definedName>
    <definedName name="B1T" localSheetId="8">#REF!</definedName>
    <definedName name="B1T" localSheetId="6">#REF!</definedName>
    <definedName name="B1T" localSheetId="4">#REF!</definedName>
    <definedName name="B1T" localSheetId="1">#REF!</definedName>
    <definedName name="B1T" localSheetId="7">#REF!</definedName>
    <definedName name="B1T" localSheetId="3">#REF!</definedName>
    <definedName name="B1T" localSheetId="11">#REF!</definedName>
    <definedName name="B1T" localSheetId="9">#REF!</definedName>
    <definedName name="B1T" localSheetId="5">#REF!</definedName>
    <definedName name="B1T" localSheetId="17">#REF!</definedName>
    <definedName name="B1T" localSheetId="15">#REF!</definedName>
    <definedName name="B1T" localSheetId="13">#REF!</definedName>
    <definedName name="B1T" localSheetId="18">#REF!</definedName>
    <definedName name="B1T" localSheetId="16">#REF!</definedName>
    <definedName name="B1T" localSheetId="20">#REF!</definedName>
    <definedName name="B1T" localSheetId="14">#REF!</definedName>
    <definedName name="B1T">#REF!</definedName>
    <definedName name="B2T" localSheetId="12">#REF!</definedName>
    <definedName name="B2T" localSheetId="10">#REF!</definedName>
    <definedName name="B2T" localSheetId="8">#REF!</definedName>
    <definedName name="B2T" localSheetId="6">#REF!</definedName>
    <definedName name="B2T" localSheetId="4">#REF!</definedName>
    <definedName name="B2T" localSheetId="1">#REF!</definedName>
    <definedName name="B2T" localSheetId="7">#REF!</definedName>
    <definedName name="B2T" localSheetId="3">#REF!</definedName>
    <definedName name="B2T" localSheetId="11">#REF!</definedName>
    <definedName name="B2T" localSheetId="9">#REF!</definedName>
    <definedName name="B2T" localSheetId="5">#REF!</definedName>
    <definedName name="B2T" localSheetId="17">#REF!</definedName>
    <definedName name="B2T" localSheetId="15">#REF!</definedName>
    <definedName name="B2T" localSheetId="13">#REF!</definedName>
    <definedName name="B2T" localSheetId="18">#REF!</definedName>
    <definedName name="B2T" localSheetId="16">#REF!</definedName>
    <definedName name="B2T" localSheetId="20">#REF!</definedName>
    <definedName name="B2T" localSheetId="14">#REF!</definedName>
    <definedName name="B2T">#REF!</definedName>
    <definedName name="B3T" localSheetId="12">#REF!</definedName>
    <definedName name="B3T" localSheetId="10">#REF!</definedName>
    <definedName name="B3T" localSheetId="4">#REF!</definedName>
    <definedName name="B3T">#REF!</definedName>
    <definedName name="B4T" localSheetId="12">#REF!</definedName>
    <definedName name="B4T" localSheetId="10">#REF!</definedName>
    <definedName name="B4T" localSheetId="4">#REF!</definedName>
    <definedName name="B4T">#REF!</definedName>
    <definedName name="BACK" localSheetId="12" hidden="1">{#N/A,#N/A,FALSE,"AFR-ELC"}</definedName>
    <definedName name="BACK" localSheetId="10" hidden="1">{#N/A,#N/A,FALSE,"AFR-ELC"}</definedName>
    <definedName name="BACK" localSheetId="8" hidden="1">{#N/A,#N/A,FALSE,"AFR-ELC"}</definedName>
    <definedName name="BACK" localSheetId="6" hidden="1">{#N/A,#N/A,FALSE,"AFR-ELC"}</definedName>
    <definedName name="BACK" localSheetId="4" hidden="1">{#N/A,#N/A,FALSE,"AFR-ELC"}</definedName>
    <definedName name="BACK" localSheetId="1" hidden="1">{#N/A,#N/A,FALSE,"AFR-ELC"}</definedName>
    <definedName name="BACK" localSheetId="7" hidden="1">{#N/A,#N/A,FALSE,"AFR-ELC"}</definedName>
    <definedName name="BACK" localSheetId="3" hidden="1">{#N/A,#N/A,FALSE,"AFR-ELC"}</definedName>
    <definedName name="BACK" localSheetId="11" hidden="1">{#N/A,#N/A,FALSE,"AFR-ELC"}</definedName>
    <definedName name="BACK" localSheetId="9" hidden="1">{#N/A,#N/A,FALSE,"AFR-ELC"}</definedName>
    <definedName name="BACK" localSheetId="5" hidden="1">{#N/A,#N/A,FALSE,"AFR-ELC"}</definedName>
    <definedName name="BACK" localSheetId="17" hidden="1">{#N/A,#N/A,FALSE,"AFR-ELC"}</definedName>
    <definedName name="BACK" localSheetId="15" hidden="1">{#N/A,#N/A,FALSE,"AFR-ELC"}</definedName>
    <definedName name="BACK" localSheetId="13" hidden="1">{#N/A,#N/A,FALSE,"AFR-ELC"}</definedName>
    <definedName name="BACK" localSheetId="18" hidden="1">{#N/A,#N/A,FALSE,"AFR-ELC"}</definedName>
    <definedName name="BACK" localSheetId="16" hidden="1">{#N/A,#N/A,FALSE,"AFR-ELC"}</definedName>
    <definedName name="BACK" localSheetId="20" hidden="1">{#N/A,#N/A,FALSE,"AFR-ELC"}</definedName>
    <definedName name="BACK" localSheetId="14" hidden="1">{#N/A,#N/A,FALSE,"AFR-ELC"}</definedName>
    <definedName name="BACK" hidden="1">{#N/A,#N/A,FALSE,"AFR-ELC"}</definedName>
    <definedName name="BALL" localSheetId="12">{#N/A,#N/A,FALSE,"AFR-ELC"}</definedName>
    <definedName name="BALL" localSheetId="10">{#N/A,#N/A,FALSE,"AFR-ELC"}</definedName>
    <definedName name="BALL" localSheetId="8">{#N/A,#N/A,FALSE,"AFR-ELC"}</definedName>
    <definedName name="BALL" localSheetId="6">{#N/A,#N/A,FALSE,"AFR-ELC"}</definedName>
    <definedName name="BALL" localSheetId="4">{#N/A,#N/A,FALSE,"AFR-ELC"}</definedName>
    <definedName name="BALL" localSheetId="1">{#N/A,#N/A,FALSE,"AFR-ELC"}</definedName>
    <definedName name="BALL" localSheetId="7">{#N/A,#N/A,FALSE,"AFR-ELC"}</definedName>
    <definedName name="BALL" localSheetId="3">{#N/A,#N/A,FALSE,"AFR-ELC"}</definedName>
    <definedName name="BALL" localSheetId="11">{#N/A,#N/A,FALSE,"AFR-ELC"}</definedName>
    <definedName name="BALL" localSheetId="9">{#N/A,#N/A,FALSE,"AFR-ELC"}</definedName>
    <definedName name="BALL" localSheetId="5">{#N/A,#N/A,FALSE,"AFR-ELC"}</definedName>
    <definedName name="BALL" localSheetId="17">{#N/A,#N/A,FALSE,"AFR-ELC"}</definedName>
    <definedName name="BALL" localSheetId="15">{#N/A,#N/A,FALSE,"AFR-ELC"}</definedName>
    <definedName name="BALL" localSheetId="13">{#N/A,#N/A,FALSE,"AFR-ELC"}</definedName>
    <definedName name="BALL" localSheetId="18">{#N/A,#N/A,FALSE,"AFR-ELC"}</definedName>
    <definedName name="BALL" localSheetId="16">{#N/A,#N/A,FALSE,"AFR-ELC"}</definedName>
    <definedName name="BALL" localSheetId="20">{#N/A,#N/A,FALSE,"AFR-ELC"}</definedName>
    <definedName name="BALL" localSheetId="14">{#N/A,#N/A,FALSE,"AFR-ELC"}</definedName>
    <definedName name="BALL">{#N/A,#N/A,FALSE,"AFR-ELC"}</definedName>
    <definedName name="bank" localSheetId="12">{#N/A,#N/A,FALSE,"AFR-ELC"}</definedName>
    <definedName name="bank" localSheetId="10">{#N/A,#N/A,FALSE,"AFR-ELC"}</definedName>
    <definedName name="bank" localSheetId="8">{#N/A,#N/A,FALSE,"AFR-ELC"}</definedName>
    <definedName name="bank" localSheetId="6">{#N/A,#N/A,FALSE,"AFR-ELC"}</definedName>
    <definedName name="bank" localSheetId="4">{#N/A,#N/A,FALSE,"AFR-ELC"}</definedName>
    <definedName name="bank" localSheetId="1">{#N/A,#N/A,FALSE,"AFR-ELC"}</definedName>
    <definedName name="bank" localSheetId="7">{#N/A,#N/A,FALSE,"AFR-ELC"}</definedName>
    <definedName name="bank" localSheetId="3">{#N/A,#N/A,FALSE,"AFR-ELC"}</definedName>
    <definedName name="bank" localSheetId="11">{#N/A,#N/A,FALSE,"AFR-ELC"}</definedName>
    <definedName name="bank" localSheetId="9">{#N/A,#N/A,FALSE,"AFR-ELC"}</definedName>
    <definedName name="bank" localSheetId="5">{#N/A,#N/A,FALSE,"AFR-ELC"}</definedName>
    <definedName name="bank" localSheetId="17">{#N/A,#N/A,FALSE,"AFR-ELC"}</definedName>
    <definedName name="bank" localSheetId="15">{#N/A,#N/A,FALSE,"AFR-ELC"}</definedName>
    <definedName name="bank" localSheetId="13">{#N/A,#N/A,FALSE,"AFR-ELC"}</definedName>
    <definedName name="bank" localSheetId="18">{#N/A,#N/A,FALSE,"AFR-ELC"}</definedName>
    <definedName name="bank" localSheetId="16">{#N/A,#N/A,FALSE,"AFR-ELC"}</definedName>
    <definedName name="bank" localSheetId="20">{#N/A,#N/A,FALSE,"AFR-ELC"}</definedName>
    <definedName name="bank" localSheetId="14">{#N/A,#N/A,FALSE,"AFR-ELC"}</definedName>
    <definedName name="bank">{#N/A,#N/A,FALSE,"AFR-ELC"}</definedName>
    <definedName name="bargroup1" hidden="1">OR([13]SCHEDULE!$J1=0,[13]SCHEDULE!$J1=99)</definedName>
    <definedName name="bargroup2" hidden="1">OR([13]SCHEDULE!$J1=11,[13]SCHEDULE!$J1=33)</definedName>
    <definedName name="bargroup3" hidden="1">OR([13]SCHEDULE!$J1=21,[13]SCHEDULE!$J1=15,[13]SCHEDULE!$J1=13,[13]SCHEDULE!$J1=51,[13]SCHEDULE!$J1=77)</definedName>
    <definedName name="bargroup4" hidden="1">OR([13]SCHEDULE!$J1=26,[13]SCHEDULE!$J1=31)</definedName>
    <definedName name="bargroup5" hidden="1">OR([13]SCHEDULE!$J1=46,[13]SCHEDULE!$J1=25,[13]SCHEDULE!$J1=44,[13]SCHEDULE!$J1=41)</definedName>
    <definedName name="bargroup6" hidden="1">[13]SCHEDULE!$J1=67</definedName>
    <definedName name="bargroup7" hidden="1">[13]SCHEDULE!$J1=12</definedName>
    <definedName name="Barracks" localSheetId="12" hidden="1">{#N/A,#N/A,FALSE,"AFR-ELC"}</definedName>
    <definedName name="Barracks" localSheetId="10" hidden="1">{#N/A,#N/A,FALSE,"AFR-ELC"}</definedName>
    <definedName name="Barracks" localSheetId="8" hidden="1">{#N/A,#N/A,FALSE,"AFR-ELC"}</definedName>
    <definedName name="Barracks" localSheetId="6" hidden="1">{#N/A,#N/A,FALSE,"AFR-ELC"}</definedName>
    <definedName name="Barracks" localSheetId="4" hidden="1">{#N/A,#N/A,FALSE,"AFR-ELC"}</definedName>
    <definedName name="Barracks" localSheetId="0" hidden="1">{#N/A,#N/A,FALSE,"AFR-ELC"}</definedName>
    <definedName name="Barracks" localSheetId="1" hidden="1">{#N/A,#N/A,FALSE,"AFR-ELC"}</definedName>
    <definedName name="Barracks" localSheetId="2" hidden="1">{#N/A,#N/A,FALSE,"AFR-ELC"}</definedName>
    <definedName name="Barracks" localSheetId="7" hidden="1">{#N/A,#N/A,FALSE,"AFR-ELC"}</definedName>
    <definedName name="Barracks" localSheetId="3" hidden="1">{#N/A,#N/A,FALSE,"AFR-ELC"}</definedName>
    <definedName name="Barracks" localSheetId="11" hidden="1">{#N/A,#N/A,FALSE,"AFR-ELC"}</definedName>
    <definedName name="Barracks" localSheetId="9" hidden="1">{#N/A,#N/A,FALSE,"AFR-ELC"}</definedName>
    <definedName name="Barracks" localSheetId="5" hidden="1">{#N/A,#N/A,FALSE,"AFR-ELC"}</definedName>
    <definedName name="Barracks" localSheetId="17" hidden="1">{#N/A,#N/A,FALSE,"AFR-ELC"}</definedName>
    <definedName name="Barracks" localSheetId="15" hidden="1">{#N/A,#N/A,FALSE,"AFR-ELC"}</definedName>
    <definedName name="Barracks" localSheetId="13" hidden="1">{#N/A,#N/A,FALSE,"AFR-ELC"}</definedName>
    <definedName name="Barracks" localSheetId="18" hidden="1">{#N/A,#N/A,FALSE,"AFR-ELC"}</definedName>
    <definedName name="Barracks" localSheetId="16" hidden="1">{#N/A,#N/A,FALSE,"AFR-ELC"}</definedName>
    <definedName name="Barracks" localSheetId="20" hidden="1">{#N/A,#N/A,FALSE,"AFR-ELC"}</definedName>
    <definedName name="Barracks" localSheetId="14" hidden="1">{#N/A,#N/A,FALSE,"AFR-ELC"}</definedName>
    <definedName name="Barracks" hidden="1">{#N/A,#N/A,FALSE,"AFR-ELC"}</definedName>
    <definedName name="bbb">#REF!</definedName>
    <definedName name="Beg_Bal" localSheetId="12">#REF!</definedName>
    <definedName name="Beg_Bal" localSheetId="10">#REF!</definedName>
    <definedName name="Beg_Bal" localSheetId="8">#REF!</definedName>
    <definedName name="Beg_Bal" localSheetId="6">#REF!</definedName>
    <definedName name="Beg_Bal" localSheetId="4">#REF!</definedName>
    <definedName name="Beg_Bal" localSheetId="1">#REF!</definedName>
    <definedName name="Beg_Bal" localSheetId="7">#REF!</definedName>
    <definedName name="Beg_Bal" localSheetId="3">#REF!</definedName>
    <definedName name="Beg_Bal" localSheetId="11">#REF!</definedName>
    <definedName name="Beg_Bal" localSheetId="9">#REF!</definedName>
    <definedName name="Beg_Bal" localSheetId="5">#REF!</definedName>
    <definedName name="Beg_Bal" localSheetId="17">#REF!</definedName>
    <definedName name="Beg_Bal" localSheetId="15">#REF!</definedName>
    <definedName name="Beg_Bal" localSheetId="13">#REF!</definedName>
    <definedName name="Beg_Bal" localSheetId="18">#REF!</definedName>
    <definedName name="Beg_Bal" localSheetId="16">#REF!</definedName>
    <definedName name="Beg_Bal" localSheetId="20">#REF!</definedName>
    <definedName name="Beg_Bal" localSheetId="14">#REF!</definedName>
    <definedName name="Beg_Bal">#REF!</definedName>
    <definedName name="BILL1" localSheetId="12">#REF!</definedName>
    <definedName name="BILL1" localSheetId="10">#REF!</definedName>
    <definedName name="BILL1" localSheetId="8">#REF!</definedName>
    <definedName name="BILL1" localSheetId="6">#REF!</definedName>
    <definedName name="BILL1" localSheetId="4">#REF!</definedName>
    <definedName name="BILL1" localSheetId="1">#REF!</definedName>
    <definedName name="BILL1" localSheetId="7">#REF!</definedName>
    <definedName name="BILL1" localSheetId="3">#REF!</definedName>
    <definedName name="BILL1" localSheetId="11">#REF!</definedName>
    <definedName name="BILL1" localSheetId="9">#REF!</definedName>
    <definedName name="BILL1" localSheetId="5">#REF!</definedName>
    <definedName name="BILL1" localSheetId="17">#REF!</definedName>
    <definedName name="BILL1" localSheetId="15">#REF!</definedName>
    <definedName name="BILL1" localSheetId="13">#REF!</definedName>
    <definedName name="BILL1" localSheetId="18">#REF!</definedName>
    <definedName name="BILL1" localSheetId="16">#REF!</definedName>
    <definedName name="BILL1" localSheetId="20">#REF!</definedName>
    <definedName name="BILL1" localSheetId="14">#REF!</definedName>
    <definedName name="BILL1">#REF!</definedName>
    <definedName name="Block_100">[11]Prices!$B$99</definedName>
    <definedName name="Block_150">[11]Prices!$B$100</definedName>
    <definedName name="Block_230">[11]Prices!$B$101</definedName>
    <definedName name="Blockwork_100">[11]Rates!$A$118</definedName>
    <definedName name="Blockwork_150">[11]Rates!$A$119</definedName>
    <definedName name="Blockwork_230">[11]Rates!$A$120</definedName>
    <definedName name="BOQ" localSheetId="12">#REF!</definedName>
    <definedName name="BOQ" localSheetId="10">#REF!</definedName>
    <definedName name="BOQ" localSheetId="8">#REF!</definedName>
    <definedName name="BOQ" localSheetId="6">#REF!</definedName>
    <definedName name="BOQ" localSheetId="4">#REF!</definedName>
    <definedName name="BOQ" localSheetId="1">#REF!</definedName>
    <definedName name="BOQ" localSheetId="2">#REF!</definedName>
    <definedName name="BOQ" localSheetId="7">#REF!</definedName>
    <definedName name="BOQ" localSheetId="3">#REF!</definedName>
    <definedName name="BOQ" localSheetId="11">#REF!</definedName>
    <definedName name="BOQ" localSheetId="9">#REF!</definedName>
    <definedName name="BOQ" localSheetId="5">#REF!</definedName>
    <definedName name="BOQ" localSheetId="17">#REF!</definedName>
    <definedName name="BOQ" localSheetId="15">#REF!</definedName>
    <definedName name="BOQ" localSheetId="13">#REF!</definedName>
    <definedName name="BOQ" localSheetId="18">#REF!</definedName>
    <definedName name="BOQ" localSheetId="16">#REF!</definedName>
    <definedName name="BOQ" localSheetId="20">#REF!</definedName>
    <definedName name="BOQ" localSheetId="14">#REF!</definedName>
    <definedName name="BOQ">#REF!</definedName>
    <definedName name="Brick_floor_pot_200x400x250">[11]Prices!$B$114</definedName>
    <definedName name="Brick_roofing">[11]Prices!$B$115</definedName>
    <definedName name="Brick_tiles">[11]Prices!$B$109</definedName>
    <definedName name="Bricks_100mm">[11]Prices!$B$104</definedName>
    <definedName name="Bricks_150mm">[11]Prices!$B$105</definedName>
    <definedName name="Bricks_230mm">[11]Prices!$B$106</definedName>
    <definedName name="builder" localSheetId="12" hidden="1">{#N/A,#N/A,FALSE,"el.det";#N/A,#N/A,FALSE,"mu.det";#N/A,#N/A,FALSE,"ug.det";#N/A,#N/A,FALSE,"ex.det";#N/A,#N/A,FALSE,"lux.det";#N/A,#N/A,FALSE,"custom.lot";#N/A,#N/A,FALSE,"condo.att";#N/A,#N/A,FALSE,"el.att";#N/A,#N/A,FALSE,"mu.att";#N/A,#N/A,FALSE,"ex.att";#N/A,#N/A,FALSE,"lux.att";#N/A,#N/A,FALSE,"all.by.village"}</definedName>
    <definedName name="builder" localSheetId="10" hidden="1">{#N/A,#N/A,FALSE,"el.det";#N/A,#N/A,FALSE,"mu.det";#N/A,#N/A,FALSE,"ug.det";#N/A,#N/A,FALSE,"ex.det";#N/A,#N/A,FALSE,"lux.det";#N/A,#N/A,FALSE,"custom.lot";#N/A,#N/A,FALSE,"condo.att";#N/A,#N/A,FALSE,"el.att";#N/A,#N/A,FALSE,"mu.att";#N/A,#N/A,FALSE,"ex.att";#N/A,#N/A,FALSE,"lux.att";#N/A,#N/A,FALSE,"all.by.village"}</definedName>
    <definedName name="builder" localSheetId="8" hidden="1">{#N/A,#N/A,FALSE,"el.det";#N/A,#N/A,FALSE,"mu.det";#N/A,#N/A,FALSE,"ug.det";#N/A,#N/A,FALSE,"ex.det";#N/A,#N/A,FALSE,"lux.det";#N/A,#N/A,FALSE,"custom.lot";#N/A,#N/A,FALSE,"condo.att";#N/A,#N/A,FALSE,"el.att";#N/A,#N/A,FALSE,"mu.att";#N/A,#N/A,FALSE,"ex.att";#N/A,#N/A,FALSE,"lux.att";#N/A,#N/A,FALSE,"all.by.village"}</definedName>
    <definedName name="builder" localSheetId="6" hidden="1">{#N/A,#N/A,FALSE,"el.det";#N/A,#N/A,FALSE,"mu.det";#N/A,#N/A,FALSE,"ug.det";#N/A,#N/A,FALSE,"ex.det";#N/A,#N/A,FALSE,"lux.det";#N/A,#N/A,FALSE,"custom.lot";#N/A,#N/A,FALSE,"condo.att";#N/A,#N/A,FALSE,"el.att";#N/A,#N/A,FALSE,"mu.att";#N/A,#N/A,FALSE,"ex.att";#N/A,#N/A,FALSE,"lux.att";#N/A,#N/A,FALSE,"all.by.village"}</definedName>
    <definedName name="builder" localSheetId="4" hidden="1">{#N/A,#N/A,FALSE,"el.det";#N/A,#N/A,FALSE,"mu.det";#N/A,#N/A,FALSE,"ug.det";#N/A,#N/A,FALSE,"ex.det";#N/A,#N/A,FALSE,"lux.det";#N/A,#N/A,FALSE,"custom.lot";#N/A,#N/A,FALSE,"condo.att";#N/A,#N/A,FALSE,"el.att";#N/A,#N/A,FALSE,"mu.att";#N/A,#N/A,FALSE,"ex.att";#N/A,#N/A,FALSE,"lux.att";#N/A,#N/A,FALSE,"all.by.village"}</definedName>
    <definedName name="builder" localSheetId="1" hidden="1">{#N/A,#N/A,FALSE,"el.det";#N/A,#N/A,FALSE,"mu.det";#N/A,#N/A,FALSE,"ug.det";#N/A,#N/A,FALSE,"ex.det";#N/A,#N/A,FALSE,"lux.det";#N/A,#N/A,FALSE,"custom.lot";#N/A,#N/A,FALSE,"condo.att";#N/A,#N/A,FALSE,"el.att";#N/A,#N/A,FALSE,"mu.att";#N/A,#N/A,FALSE,"ex.att";#N/A,#N/A,FALSE,"lux.att";#N/A,#N/A,FALSE,"all.by.village"}</definedName>
    <definedName name="builder" localSheetId="7" hidden="1">{#N/A,#N/A,FALSE,"el.det";#N/A,#N/A,FALSE,"mu.det";#N/A,#N/A,FALSE,"ug.det";#N/A,#N/A,FALSE,"ex.det";#N/A,#N/A,FALSE,"lux.det";#N/A,#N/A,FALSE,"custom.lot";#N/A,#N/A,FALSE,"condo.att";#N/A,#N/A,FALSE,"el.att";#N/A,#N/A,FALSE,"mu.att";#N/A,#N/A,FALSE,"ex.att";#N/A,#N/A,FALSE,"lux.att";#N/A,#N/A,FALSE,"all.by.village"}</definedName>
    <definedName name="builder" localSheetId="3" hidden="1">{#N/A,#N/A,FALSE,"el.det";#N/A,#N/A,FALSE,"mu.det";#N/A,#N/A,FALSE,"ug.det";#N/A,#N/A,FALSE,"ex.det";#N/A,#N/A,FALSE,"lux.det";#N/A,#N/A,FALSE,"custom.lot";#N/A,#N/A,FALSE,"condo.att";#N/A,#N/A,FALSE,"el.att";#N/A,#N/A,FALSE,"mu.att";#N/A,#N/A,FALSE,"ex.att";#N/A,#N/A,FALSE,"lux.att";#N/A,#N/A,FALSE,"all.by.village"}</definedName>
    <definedName name="builder" localSheetId="11" hidden="1">{#N/A,#N/A,FALSE,"el.det";#N/A,#N/A,FALSE,"mu.det";#N/A,#N/A,FALSE,"ug.det";#N/A,#N/A,FALSE,"ex.det";#N/A,#N/A,FALSE,"lux.det";#N/A,#N/A,FALSE,"custom.lot";#N/A,#N/A,FALSE,"condo.att";#N/A,#N/A,FALSE,"el.att";#N/A,#N/A,FALSE,"mu.att";#N/A,#N/A,FALSE,"ex.att";#N/A,#N/A,FALSE,"lux.att";#N/A,#N/A,FALSE,"all.by.village"}</definedName>
    <definedName name="builder" localSheetId="9" hidden="1">{#N/A,#N/A,FALSE,"el.det";#N/A,#N/A,FALSE,"mu.det";#N/A,#N/A,FALSE,"ug.det";#N/A,#N/A,FALSE,"ex.det";#N/A,#N/A,FALSE,"lux.det";#N/A,#N/A,FALSE,"custom.lot";#N/A,#N/A,FALSE,"condo.att";#N/A,#N/A,FALSE,"el.att";#N/A,#N/A,FALSE,"mu.att";#N/A,#N/A,FALSE,"ex.att";#N/A,#N/A,FALSE,"lux.att";#N/A,#N/A,FALSE,"all.by.village"}</definedName>
    <definedName name="builder" localSheetId="5" hidden="1">{#N/A,#N/A,FALSE,"el.det";#N/A,#N/A,FALSE,"mu.det";#N/A,#N/A,FALSE,"ug.det";#N/A,#N/A,FALSE,"ex.det";#N/A,#N/A,FALSE,"lux.det";#N/A,#N/A,FALSE,"custom.lot";#N/A,#N/A,FALSE,"condo.att";#N/A,#N/A,FALSE,"el.att";#N/A,#N/A,FALSE,"mu.att";#N/A,#N/A,FALSE,"ex.att";#N/A,#N/A,FALSE,"lux.att";#N/A,#N/A,FALSE,"all.by.village"}</definedName>
    <definedName name="builder" localSheetId="17" hidden="1">{#N/A,#N/A,FALSE,"el.det";#N/A,#N/A,FALSE,"mu.det";#N/A,#N/A,FALSE,"ug.det";#N/A,#N/A,FALSE,"ex.det";#N/A,#N/A,FALSE,"lux.det";#N/A,#N/A,FALSE,"custom.lot";#N/A,#N/A,FALSE,"condo.att";#N/A,#N/A,FALSE,"el.att";#N/A,#N/A,FALSE,"mu.att";#N/A,#N/A,FALSE,"ex.att";#N/A,#N/A,FALSE,"lux.att";#N/A,#N/A,FALSE,"all.by.village"}</definedName>
    <definedName name="builder" localSheetId="15" hidden="1">{#N/A,#N/A,FALSE,"el.det";#N/A,#N/A,FALSE,"mu.det";#N/A,#N/A,FALSE,"ug.det";#N/A,#N/A,FALSE,"ex.det";#N/A,#N/A,FALSE,"lux.det";#N/A,#N/A,FALSE,"custom.lot";#N/A,#N/A,FALSE,"condo.att";#N/A,#N/A,FALSE,"el.att";#N/A,#N/A,FALSE,"mu.att";#N/A,#N/A,FALSE,"ex.att";#N/A,#N/A,FALSE,"lux.att";#N/A,#N/A,FALSE,"all.by.village"}</definedName>
    <definedName name="builder" localSheetId="13" hidden="1">{#N/A,#N/A,FALSE,"el.det";#N/A,#N/A,FALSE,"mu.det";#N/A,#N/A,FALSE,"ug.det";#N/A,#N/A,FALSE,"ex.det";#N/A,#N/A,FALSE,"lux.det";#N/A,#N/A,FALSE,"custom.lot";#N/A,#N/A,FALSE,"condo.att";#N/A,#N/A,FALSE,"el.att";#N/A,#N/A,FALSE,"mu.att";#N/A,#N/A,FALSE,"ex.att";#N/A,#N/A,FALSE,"lux.att";#N/A,#N/A,FALSE,"all.by.village"}</definedName>
    <definedName name="builder" localSheetId="18" hidden="1">{#N/A,#N/A,FALSE,"el.det";#N/A,#N/A,FALSE,"mu.det";#N/A,#N/A,FALSE,"ug.det";#N/A,#N/A,FALSE,"ex.det";#N/A,#N/A,FALSE,"lux.det";#N/A,#N/A,FALSE,"custom.lot";#N/A,#N/A,FALSE,"condo.att";#N/A,#N/A,FALSE,"el.att";#N/A,#N/A,FALSE,"mu.att";#N/A,#N/A,FALSE,"ex.att";#N/A,#N/A,FALSE,"lux.att";#N/A,#N/A,FALSE,"all.by.village"}</definedName>
    <definedName name="builder" localSheetId="16" hidden="1">{#N/A,#N/A,FALSE,"el.det";#N/A,#N/A,FALSE,"mu.det";#N/A,#N/A,FALSE,"ug.det";#N/A,#N/A,FALSE,"ex.det";#N/A,#N/A,FALSE,"lux.det";#N/A,#N/A,FALSE,"custom.lot";#N/A,#N/A,FALSE,"condo.att";#N/A,#N/A,FALSE,"el.att";#N/A,#N/A,FALSE,"mu.att";#N/A,#N/A,FALSE,"ex.att";#N/A,#N/A,FALSE,"lux.att";#N/A,#N/A,FALSE,"all.by.village"}</definedName>
    <definedName name="builder" localSheetId="20" hidden="1">{#N/A,#N/A,FALSE,"el.det";#N/A,#N/A,FALSE,"mu.det";#N/A,#N/A,FALSE,"ug.det";#N/A,#N/A,FALSE,"ex.det";#N/A,#N/A,FALSE,"lux.det";#N/A,#N/A,FALSE,"custom.lot";#N/A,#N/A,FALSE,"condo.att";#N/A,#N/A,FALSE,"el.att";#N/A,#N/A,FALSE,"mu.att";#N/A,#N/A,FALSE,"ex.att";#N/A,#N/A,FALSE,"lux.att";#N/A,#N/A,FALSE,"all.by.village"}</definedName>
    <definedName name="builder" localSheetId="14" hidden="1">{#N/A,#N/A,FALSE,"el.det";#N/A,#N/A,FALSE,"mu.det";#N/A,#N/A,FALSE,"ug.det";#N/A,#N/A,FALSE,"ex.det";#N/A,#N/A,FALSE,"lux.det";#N/A,#N/A,FALSE,"custom.lot";#N/A,#N/A,FALSE,"condo.att";#N/A,#N/A,FALSE,"el.att";#N/A,#N/A,FALSE,"mu.att";#N/A,#N/A,FALSE,"ex.att";#N/A,#N/A,FALSE,"lux.att";#N/A,#N/A,FALSE,"all.by.village"}</definedName>
    <definedName name="builder" hidden="1">{#N/A,#N/A,FALSE,"el.det";#N/A,#N/A,FALSE,"mu.det";#N/A,#N/A,FALSE,"ug.det";#N/A,#N/A,FALSE,"ex.det";#N/A,#N/A,FALSE,"lux.det";#N/A,#N/A,FALSE,"custom.lot";#N/A,#N/A,FALSE,"condo.att";#N/A,#N/A,FALSE,"el.att";#N/A,#N/A,FALSE,"mu.att";#N/A,#N/A,FALSE,"ex.att";#N/A,#N/A,FALSE,"lux.att";#N/A,#N/A,FALSE,"all.by.village"}</definedName>
    <definedName name="building" localSheetId="12">'[14]Materials on site'!#REF!</definedName>
    <definedName name="building" localSheetId="10">'[14]Materials on site'!#REF!</definedName>
    <definedName name="building" localSheetId="8">'[14]Materials on site'!#REF!</definedName>
    <definedName name="building" localSheetId="6">'[14]Materials on site'!#REF!</definedName>
    <definedName name="building" localSheetId="4">'[14]Materials on site'!#REF!</definedName>
    <definedName name="building" localSheetId="1">'[14]Materials on site'!#REF!</definedName>
    <definedName name="building">'[14]Materials on site'!#REF!</definedName>
    <definedName name="C_" localSheetId="12">#REF!</definedName>
    <definedName name="C_" localSheetId="10">#REF!</definedName>
    <definedName name="C_" localSheetId="8">#REF!</definedName>
    <definedName name="C_" localSheetId="6">#REF!</definedName>
    <definedName name="C_" localSheetId="4">#REF!</definedName>
    <definedName name="C_" localSheetId="1">#REF!</definedName>
    <definedName name="C_" localSheetId="2">#REF!</definedName>
    <definedName name="C_" localSheetId="7">#REF!</definedName>
    <definedName name="C_" localSheetId="3">#REF!</definedName>
    <definedName name="C_" localSheetId="11">#REF!</definedName>
    <definedName name="C_" localSheetId="9">#REF!</definedName>
    <definedName name="C_" localSheetId="5">#REF!</definedName>
    <definedName name="C_" localSheetId="17">#REF!</definedName>
    <definedName name="C_" localSheetId="15">#REF!</definedName>
    <definedName name="C_" localSheetId="13">#REF!</definedName>
    <definedName name="C_" localSheetId="18">#REF!</definedName>
    <definedName name="C_" localSheetId="16">#REF!</definedName>
    <definedName name="C_" localSheetId="20">#REF!</definedName>
    <definedName name="C_" localSheetId="14">#REF!</definedName>
    <definedName name="C_">#REF!</definedName>
    <definedName name="C_s_trowelled_bed_50mm">[15]Rates!$A$200</definedName>
    <definedName name="CA" localSheetId="12">#REF!</definedName>
    <definedName name="CA" localSheetId="10">#REF!</definedName>
    <definedName name="CA" localSheetId="8">#REF!</definedName>
    <definedName name="CA" localSheetId="6">#REF!</definedName>
    <definedName name="CA" localSheetId="4">#REF!</definedName>
    <definedName name="CA" localSheetId="1">#REF!</definedName>
    <definedName name="CA" localSheetId="2">#REF!</definedName>
    <definedName name="CA" localSheetId="7">#REF!</definedName>
    <definedName name="CA" localSheetId="3">#REF!</definedName>
    <definedName name="CA" localSheetId="11">#REF!</definedName>
    <definedName name="CA" localSheetId="9">#REF!</definedName>
    <definedName name="CA" localSheetId="5">#REF!</definedName>
    <definedName name="CA" localSheetId="17">#REF!</definedName>
    <definedName name="CA" localSheetId="15">#REF!</definedName>
    <definedName name="CA" localSheetId="13">#REF!</definedName>
    <definedName name="CA" localSheetId="18">#REF!</definedName>
    <definedName name="CA" localSheetId="16">#REF!</definedName>
    <definedName name="CA" localSheetId="20">#REF!</definedName>
    <definedName name="CA" localSheetId="14">#REF!</definedName>
    <definedName name="CA">#REF!</definedName>
    <definedName name="CA0" localSheetId="12">#REF!</definedName>
    <definedName name="CA0" localSheetId="10">#REF!</definedName>
    <definedName name="CA0" localSheetId="8">#REF!</definedName>
    <definedName name="CA0" localSheetId="6">#REF!</definedName>
    <definedName name="CA0" localSheetId="4">#REF!</definedName>
    <definedName name="CA0" localSheetId="1">#REF!</definedName>
    <definedName name="CA0" localSheetId="7">#REF!</definedName>
    <definedName name="CA0" localSheetId="3">#REF!</definedName>
    <definedName name="CA0" localSheetId="11">#REF!</definedName>
    <definedName name="CA0" localSheetId="9">#REF!</definedName>
    <definedName name="CA0" localSheetId="5">#REF!</definedName>
    <definedName name="CA0" localSheetId="17">#REF!</definedName>
    <definedName name="CA0" localSheetId="15">#REF!</definedName>
    <definedName name="CA0" localSheetId="13">#REF!</definedName>
    <definedName name="CA0" localSheetId="18">#REF!</definedName>
    <definedName name="CA0" localSheetId="16">#REF!</definedName>
    <definedName name="CA0" localSheetId="20">#REF!</definedName>
    <definedName name="CA0" localSheetId="14">#REF!</definedName>
    <definedName name="CA0">#REF!</definedName>
    <definedName name="Carpet">[11]Prices!$B$116</definedName>
    <definedName name="CBBD1" localSheetId="12">#REF!</definedName>
    <definedName name="CBBD1" localSheetId="10">#REF!</definedName>
    <definedName name="CBBD1" localSheetId="6">#REF!</definedName>
    <definedName name="CBBD1" localSheetId="4">#REF!</definedName>
    <definedName name="CBBD1">#REF!</definedName>
    <definedName name="ccc" localSheetId="12">#REF!</definedName>
    <definedName name="ccc" localSheetId="10">#REF!</definedName>
    <definedName name="ccc" localSheetId="6">#REF!</definedName>
    <definedName name="ccc" localSheetId="4">#REF!</definedName>
    <definedName name="ccc">#REF!</definedName>
    <definedName name="Cement">[11]Prices!$B$130</definedName>
    <definedName name="Ceramic_floor_tiles_HQ">[11]Prices!$B$132</definedName>
    <definedName name="Ceramic_flooring">[15]Rates!$A$209</definedName>
    <definedName name="Ceramic_wall_tiling_white">[15]Rates!$A$227</definedName>
    <definedName name="Ceramic_wall_white">[11]Prices!$B$140</definedName>
    <definedName name="cf" localSheetId="12">{#N/A,#N/A,FALSE,"AFR-ELC"}</definedName>
    <definedName name="cf" localSheetId="10">{#N/A,#N/A,FALSE,"AFR-ELC"}</definedName>
    <definedName name="cf" localSheetId="8">{#N/A,#N/A,FALSE,"AFR-ELC"}</definedName>
    <definedName name="cf" localSheetId="6">{#N/A,#N/A,FALSE,"AFR-ELC"}</definedName>
    <definedName name="cf" localSheetId="4">{#N/A,#N/A,FALSE,"AFR-ELC"}</definedName>
    <definedName name="cf" localSheetId="1">{#N/A,#N/A,FALSE,"AFR-ELC"}</definedName>
    <definedName name="cf" localSheetId="2">#REF!</definedName>
    <definedName name="cf" localSheetId="7">{#N/A,#N/A,FALSE,"AFR-ELC"}</definedName>
    <definedName name="cf" localSheetId="3">{#N/A,#N/A,FALSE,"AFR-ELC"}</definedName>
    <definedName name="cf" localSheetId="11">{#N/A,#N/A,FALSE,"AFR-ELC"}</definedName>
    <definedName name="cf" localSheetId="9">{#N/A,#N/A,FALSE,"AFR-ELC"}</definedName>
    <definedName name="cf" localSheetId="5">{#N/A,#N/A,FALSE,"AFR-ELC"}</definedName>
    <definedName name="cf" localSheetId="17">{#N/A,#N/A,FALSE,"AFR-ELC"}</definedName>
    <definedName name="cf" localSheetId="15">{#N/A,#N/A,FALSE,"AFR-ELC"}</definedName>
    <definedName name="cf" localSheetId="13">{#N/A,#N/A,FALSE,"AFR-ELC"}</definedName>
    <definedName name="cf" localSheetId="18">{#N/A,#N/A,FALSE,"AFR-ELC"}</definedName>
    <definedName name="cf" localSheetId="16">{#N/A,#N/A,FALSE,"AFR-ELC"}</definedName>
    <definedName name="cf" localSheetId="20">{#N/A,#N/A,FALSE,"AFR-ELC"}</definedName>
    <definedName name="cf" localSheetId="14">{#N/A,#N/A,FALSE,"AFR-ELC"}</definedName>
    <definedName name="cf">{#N/A,#N/A,FALSE,"AFR-ELC"}</definedName>
    <definedName name="cfin">#REF!</definedName>
    <definedName name="CI" localSheetId="12">#REF!</definedName>
    <definedName name="CI" localSheetId="10">#REF!</definedName>
    <definedName name="CI" localSheetId="8">#REF!</definedName>
    <definedName name="CI" localSheetId="6">#REF!</definedName>
    <definedName name="CI" localSheetId="4">#REF!</definedName>
    <definedName name="CI" localSheetId="1">#REF!</definedName>
    <definedName name="CI" localSheetId="2">#REF!</definedName>
    <definedName name="CI" localSheetId="7">#REF!</definedName>
    <definedName name="CI" localSheetId="3">#REF!</definedName>
    <definedName name="CI" localSheetId="11">#REF!</definedName>
    <definedName name="CI" localSheetId="9">#REF!</definedName>
    <definedName name="CI" localSheetId="5">#REF!</definedName>
    <definedName name="CI" localSheetId="17">#REF!</definedName>
    <definedName name="CI" localSheetId="15">#REF!</definedName>
    <definedName name="CI" localSheetId="13">#REF!</definedName>
    <definedName name="CI" localSheetId="18">#REF!</definedName>
    <definedName name="CI" localSheetId="16">#REF!</definedName>
    <definedName name="CI" localSheetId="20">#REF!</definedName>
    <definedName name="CI" localSheetId="14">#REF!</definedName>
    <definedName name="CI">#REF!</definedName>
    <definedName name="CI0" localSheetId="12">#REF!</definedName>
    <definedName name="CI0" localSheetId="10">#REF!</definedName>
    <definedName name="CI0" localSheetId="8">#REF!</definedName>
    <definedName name="CI0" localSheetId="6">#REF!</definedName>
    <definedName name="CI0" localSheetId="4">#REF!</definedName>
    <definedName name="CI0" localSheetId="1">#REF!</definedName>
    <definedName name="CI0" localSheetId="7">#REF!</definedName>
    <definedName name="CI0" localSheetId="3">#REF!</definedName>
    <definedName name="CI0" localSheetId="11">#REF!</definedName>
    <definedName name="CI0" localSheetId="9">#REF!</definedName>
    <definedName name="CI0" localSheetId="5">#REF!</definedName>
    <definedName name="CI0" localSheetId="17">#REF!</definedName>
    <definedName name="CI0" localSheetId="15">#REF!</definedName>
    <definedName name="CI0" localSheetId="13">#REF!</definedName>
    <definedName name="CI0" localSheetId="18">#REF!</definedName>
    <definedName name="CI0" localSheetId="16">#REF!</definedName>
    <definedName name="CI0" localSheetId="20">#REF!</definedName>
    <definedName name="CI0" localSheetId="14">#REF!</definedName>
    <definedName name="CI0">#REF!</definedName>
    <definedName name="Circular_Columns" localSheetId="12">#REF!</definedName>
    <definedName name="Circular_Columns" localSheetId="10">#REF!</definedName>
    <definedName name="Circular_Columns" localSheetId="4">#REF!</definedName>
    <definedName name="Circular_Columns">#REF!</definedName>
    <definedName name="Circular_Columns_14" localSheetId="12">#REF!</definedName>
    <definedName name="Circular_Columns_14" localSheetId="10">#REF!</definedName>
    <definedName name="Circular_Columns_14" localSheetId="4">#REF!</definedName>
    <definedName name="Circular_Columns_14">#REF!</definedName>
    <definedName name="Circular_Columns_16" localSheetId="12">#REF!</definedName>
    <definedName name="Circular_Columns_16" localSheetId="10">#REF!</definedName>
    <definedName name="Circular_Columns_16" localSheetId="4">#REF!</definedName>
    <definedName name="Circular_Columns_16">#REF!</definedName>
    <definedName name="Circular_Columns_17" localSheetId="12">#REF!</definedName>
    <definedName name="Circular_Columns_17" localSheetId="10">#REF!</definedName>
    <definedName name="Circular_Columns_17" localSheetId="4">#REF!</definedName>
    <definedName name="Circular_Columns_17">#REF!</definedName>
    <definedName name="Claustra_block">[11]Prices!$B$147</definedName>
    <definedName name="Clearing">[11]Rates!$A$52</definedName>
    <definedName name="CLIENT" localSheetId="12">#REF!</definedName>
    <definedName name="CLIENT" localSheetId="10">#REF!</definedName>
    <definedName name="CLIENT" localSheetId="8">#REF!</definedName>
    <definedName name="CLIENT" localSheetId="6">#REF!</definedName>
    <definedName name="CLIENT" localSheetId="4">#REF!</definedName>
    <definedName name="CLIENT" localSheetId="1">#REF!</definedName>
    <definedName name="CLIENT" localSheetId="2">#REF!</definedName>
    <definedName name="CLIENT" localSheetId="7">#REF!</definedName>
    <definedName name="CLIENT" localSheetId="3">#REF!</definedName>
    <definedName name="CLIENT" localSheetId="11">#REF!</definedName>
    <definedName name="CLIENT" localSheetId="9">#REF!</definedName>
    <definedName name="CLIENT" localSheetId="5">#REF!</definedName>
    <definedName name="CLIENT" localSheetId="17">#REF!</definedName>
    <definedName name="CLIENT" localSheetId="15">#REF!</definedName>
    <definedName name="CLIENT" localSheetId="13">#REF!</definedName>
    <definedName name="CLIENT" localSheetId="18">#REF!</definedName>
    <definedName name="CLIENT" localSheetId="16">#REF!</definedName>
    <definedName name="CLIENT" localSheetId="20">#REF!</definedName>
    <definedName name="CLIENT" localSheetId="14">#REF!</definedName>
    <definedName name="CLIENT">#REF!</definedName>
    <definedName name="CLTV">'[10]Base case - condos'!$H$7</definedName>
    <definedName name="Coffered_slab_formwork">[11]Prices!$B$148</definedName>
    <definedName name="cogtaz_Query_from_wizard" localSheetId="12">#REF!</definedName>
    <definedName name="cogtaz_Query_from_wizard" localSheetId="10">#REF!</definedName>
    <definedName name="cogtaz_Query_from_wizard" localSheetId="8">#REF!</definedName>
    <definedName name="cogtaz_Query_from_wizard" localSheetId="6">#REF!</definedName>
    <definedName name="cogtaz_Query_from_wizard" localSheetId="4">#REF!</definedName>
    <definedName name="cogtaz_Query_from_wizard" localSheetId="1">#REF!</definedName>
    <definedName name="cogtaz_Query_from_wizard" localSheetId="7">#REF!</definedName>
    <definedName name="cogtaz_Query_from_wizard" localSheetId="3">#REF!</definedName>
    <definedName name="cogtaz_Query_from_wizard" localSheetId="11">#REF!</definedName>
    <definedName name="cogtaz_Query_from_wizard" localSheetId="9">#REF!</definedName>
    <definedName name="cogtaz_Query_from_wizard" localSheetId="5">#REF!</definedName>
    <definedName name="cogtaz_Query_from_wizard" localSheetId="17">#REF!</definedName>
    <definedName name="cogtaz_Query_from_wizard" localSheetId="15">#REF!</definedName>
    <definedName name="cogtaz_Query_from_wizard" localSheetId="13">#REF!</definedName>
    <definedName name="cogtaz_Query_from_wizard" localSheetId="18">#REF!</definedName>
    <definedName name="cogtaz_Query_from_wizard" localSheetId="16">#REF!</definedName>
    <definedName name="cogtaz_Query_from_wizard" localSheetId="20">#REF!</definedName>
    <definedName name="cogtaz_Query_from_wizard" localSheetId="14">#REF!</definedName>
    <definedName name="cogtaz_Query_from_wizard">#REF!</definedName>
    <definedName name="COLDWATER_TOTAL" localSheetId="12">#REF!</definedName>
    <definedName name="COLDWATER_TOTAL" localSheetId="10">#REF!</definedName>
    <definedName name="COLDWATER_TOTAL" localSheetId="4">#REF!</definedName>
    <definedName name="COLDWATER_TOTAL">#REF!</definedName>
    <definedName name="COLDWATERTOTAL" localSheetId="12">#REF!</definedName>
    <definedName name="COLDWATERTOTAL" localSheetId="10">#REF!</definedName>
    <definedName name="COLDWATERTOTAL" localSheetId="4">#REF!</definedName>
    <definedName name="COLDWATERTOTAL">#REF!</definedName>
    <definedName name="Compressor">[11]Prices!$B$150</definedName>
    <definedName name="CON" localSheetId="12">#REF!</definedName>
    <definedName name="CON" localSheetId="10">#REF!</definedName>
    <definedName name="CON" localSheetId="8">#REF!</definedName>
    <definedName name="CON" localSheetId="6">#REF!</definedName>
    <definedName name="CON" localSheetId="4">#REF!</definedName>
    <definedName name="CON" localSheetId="1">#REF!</definedName>
    <definedName name="CON" localSheetId="2">#REF!</definedName>
    <definedName name="CON" localSheetId="7">#REF!</definedName>
    <definedName name="CON" localSheetId="3">#REF!</definedName>
    <definedName name="CON" localSheetId="11">#REF!</definedName>
    <definedName name="CON" localSheetId="9">#REF!</definedName>
    <definedName name="CON" localSheetId="5">#REF!</definedName>
    <definedName name="CON" localSheetId="17">#REF!</definedName>
    <definedName name="CON" localSheetId="15">#REF!</definedName>
    <definedName name="CON" localSheetId="13">#REF!</definedName>
    <definedName name="CON" localSheetId="18">#REF!</definedName>
    <definedName name="CON" localSheetId="16">#REF!</definedName>
    <definedName name="CON" localSheetId="20">#REF!</definedName>
    <definedName name="CON" localSheetId="14">#REF!</definedName>
    <definedName name="CON">#REF!</definedName>
    <definedName name="Concrete_N11">[11]Rates!$A$66</definedName>
    <definedName name="Concrete_N21_in_column_bases">[11]Rates!$A$71</definedName>
    <definedName name="Concrete_N21_in_ground_beams">[11]Rates!$A$70</definedName>
    <definedName name="Concrete_N25_in_slab_on_grade">[15]Rates!$A$78</definedName>
    <definedName name="contract">'[16]Val Details'!$C$50</definedName>
    <definedName name="ContractName">'[16]Val Details'!$C$51</definedName>
    <definedName name="conv">[17]Assumptions!$C$9</definedName>
    <definedName name="Cover" localSheetId="12" hidden="1">{#N/A,#N/A,FALSE,"Aging Summary";#N/A,#N/A,FALSE,"Ratio Analysis";#N/A,#N/A,FALSE,"Test 120 Day Accts";#N/A,#N/A,FALSE,"Tickmarks"}</definedName>
    <definedName name="Cover" localSheetId="10" hidden="1">{#N/A,#N/A,FALSE,"Aging Summary";#N/A,#N/A,FALSE,"Ratio Analysis";#N/A,#N/A,FALSE,"Test 120 Day Accts";#N/A,#N/A,FALSE,"Tickmarks"}</definedName>
    <definedName name="Cover" localSheetId="8" hidden="1">{#N/A,#N/A,FALSE,"Aging Summary";#N/A,#N/A,FALSE,"Ratio Analysis";#N/A,#N/A,FALSE,"Test 120 Day Accts";#N/A,#N/A,FALSE,"Tickmarks"}</definedName>
    <definedName name="Cover" localSheetId="6" hidden="1">{#N/A,#N/A,FALSE,"Aging Summary";#N/A,#N/A,FALSE,"Ratio Analysis";#N/A,#N/A,FALSE,"Test 120 Day Accts";#N/A,#N/A,FALSE,"Tickmarks"}</definedName>
    <definedName name="Cover" localSheetId="4" hidden="1">{#N/A,#N/A,FALSE,"Aging Summary";#N/A,#N/A,FALSE,"Ratio Analysis";#N/A,#N/A,FALSE,"Test 120 Day Accts";#N/A,#N/A,FALSE,"Tickmarks"}</definedName>
    <definedName name="Cover" localSheetId="1" hidden="1">{#N/A,#N/A,FALSE,"Aging Summary";#N/A,#N/A,FALSE,"Ratio Analysis";#N/A,#N/A,FALSE,"Test 120 Day Accts";#N/A,#N/A,FALSE,"Tickmarks"}</definedName>
    <definedName name="Cover" localSheetId="7" hidden="1">{#N/A,#N/A,FALSE,"Aging Summary";#N/A,#N/A,FALSE,"Ratio Analysis";#N/A,#N/A,FALSE,"Test 120 Day Accts";#N/A,#N/A,FALSE,"Tickmarks"}</definedName>
    <definedName name="Cover" localSheetId="3" hidden="1">{#N/A,#N/A,FALSE,"Aging Summary";#N/A,#N/A,FALSE,"Ratio Analysis";#N/A,#N/A,FALSE,"Test 120 Day Accts";#N/A,#N/A,FALSE,"Tickmarks"}</definedName>
    <definedName name="Cover" localSheetId="11" hidden="1">{#N/A,#N/A,FALSE,"Aging Summary";#N/A,#N/A,FALSE,"Ratio Analysis";#N/A,#N/A,FALSE,"Test 120 Day Accts";#N/A,#N/A,FALSE,"Tickmarks"}</definedName>
    <definedName name="Cover" localSheetId="9" hidden="1">{#N/A,#N/A,FALSE,"Aging Summary";#N/A,#N/A,FALSE,"Ratio Analysis";#N/A,#N/A,FALSE,"Test 120 Day Accts";#N/A,#N/A,FALSE,"Tickmarks"}</definedName>
    <definedName name="Cover" localSheetId="5" hidden="1">{#N/A,#N/A,FALSE,"Aging Summary";#N/A,#N/A,FALSE,"Ratio Analysis";#N/A,#N/A,FALSE,"Test 120 Day Accts";#N/A,#N/A,FALSE,"Tickmarks"}</definedName>
    <definedName name="Cover" localSheetId="17" hidden="1">{#N/A,#N/A,FALSE,"Aging Summary";#N/A,#N/A,FALSE,"Ratio Analysis";#N/A,#N/A,FALSE,"Test 120 Day Accts";#N/A,#N/A,FALSE,"Tickmarks"}</definedName>
    <definedName name="Cover" localSheetId="15" hidden="1">{#N/A,#N/A,FALSE,"Aging Summary";#N/A,#N/A,FALSE,"Ratio Analysis";#N/A,#N/A,FALSE,"Test 120 Day Accts";#N/A,#N/A,FALSE,"Tickmarks"}</definedName>
    <definedName name="Cover" localSheetId="13" hidden="1">{#N/A,#N/A,FALSE,"Aging Summary";#N/A,#N/A,FALSE,"Ratio Analysis";#N/A,#N/A,FALSE,"Test 120 Day Accts";#N/A,#N/A,FALSE,"Tickmarks"}</definedName>
    <definedName name="Cover" localSheetId="18" hidden="1">{#N/A,#N/A,FALSE,"Aging Summary";#N/A,#N/A,FALSE,"Ratio Analysis";#N/A,#N/A,FALSE,"Test 120 Day Accts";#N/A,#N/A,FALSE,"Tickmarks"}</definedName>
    <definedName name="Cover" localSheetId="16" hidden="1">{#N/A,#N/A,FALSE,"Aging Summary";#N/A,#N/A,FALSE,"Ratio Analysis";#N/A,#N/A,FALSE,"Test 120 Day Accts";#N/A,#N/A,FALSE,"Tickmarks"}</definedName>
    <definedName name="Cover" localSheetId="20" hidden="1">{#N/A,#N/A,FALSE,"Aging Summary";#N/A,#N/A,FALSE,"Ratio Analysis";#N/A,#N/A,FALSE,"Test 120 Day Accts";#N/A,#N/A,FALSE,"Tickmarks"}</definedName>
    <definedName name="Cover" localSheetId="14" hidden="1">{#N/A,#N/A,FALSE,"Aging Summary";#N/A,#N/A,FALSE,"Ratio Analysis";#N/A,#N/A,FALSE,"Test 120 Day Accts";#N/A,#N/A,FALSE,"Tickmarks"}</definedName>
    <definedName name="Cover" hidden="1">{#N/A,#N/A,FALSE,"Aging Summary";#N/A,#N/A,FALSE,"Ratio Analysis";#N/A,#N/A,FALSE,"Test 120 Day Accts";#N/A,#N/A,FALSE,"Tickmarks"}</definedName>
    <definedName name="CTO">#REF!</definedName>
    <definedName name="CTY" localSheetId="12">#REF!</definedName>
    <definedName name="CTY" localSheetId="10">#REF!</definedName>
    <definedName name="CTY" localSheetId="6">#REF!</definedName>
    <definedName name="CTY" localSheetId="4">#REF!</definedName>
    <definedName name="CTY">#REF!</definedName>
    <definedName name="Cum_Int" localSheetId="12">#REF!</definedName>
    <definedName name="Cum_Int" localSheetId="10">#REF!</definedName>
    <definedName name="Cum_Int" localSheetId="8">#REF!</definedName>
    <definedName name="Cum_Int" localSheetId="6">#REF!</definedName>
    <definedName name="Cum_Int" localSheetId="4">#REF!</definedName>
    <definedName name="Cum_Int" localSheetId="1">#REF!</definedName>
    <definedName name="Cum_Int" localSheetId="7">#REF!</definedName>
    <definedName name="Cum_Int" localSheetId="3">#REF!</definedName>
    <definedName name="Cum_Int" localSheetId="11">#REF!</definedName>
    <definedName name="Cum_Int" localSheetId="9">#REF!</definedName>
    <definedName name="Cum_Int" localSheetId="5">#REF!</definedName>
    <definedName name="Cum_Int" localSheetId="17">#REF!</definedName>
    <definedName name="Cum_Int" localSheetId="15">#REF!</definedName>
    <definedName name="Cum_Int" localSheetId="13">#REF!</definedName>
    <definedName name="Cum_Int" localSheetId="18">#REF!</definedName>
    <definedName name="Cum_Int" localSheetId="16">#REF!</definedName>
    <definedName name="Cum_Int" localSheetId="20">#REF!</definedName>
    <definedName name="Cum_Int" localSheetId="14">#REF!</definedName>
    <definedName name="Cum_Int">#REF!</definedName>
    <definedName name="CUSTOMER" localSheetId="12">#REF!</definedName>
    <definedName name="CUSTOMER" localSheetId="10">#REF!</definedName>
    <definedName name="CUSTOMER" localSheetId="8">#REF!</definedName>
    <definedName name="CUSTOMER" localSheetId="6">#REF!</definedName>
    <definedName name="CUSTOMER" localSheetId="4">#REF!</definedName>
    <definedName name="CUSTOMER" localSheetId="1">#REF!</definedName>
    <definedName name="CUSTOMER" localSheetId="7">#REF!</definedName>
    <definedName name="CUSTOMER" localSheetId="3">#REF!</definedName>
    <definedName name="CUSTOMER" localSheetId="11">#REF!</definedName>
    <definedName name="CUSTOMER" localSheetId="9">#REF!</definedName>
    <definedName name="CUSTOMER" localSheetId="5">#REF!</definedName>
    <definedName name="CUSTOMER" localSheetId="17">#REF!</definedName>
    <definedName name="CUSTOMER" localSheetId="15">#REF!</definedName>
    <definedName name="CUSTOMER" localSheetId="13">#REF!</definedName>
    <definedName name="CUSTOMER" localSheetId="18">#REF!</definedName>
    <definedName name="CUSTOMER" localSheetId="16">#REF!</definedName>
    <definedName name="CUSTOMER" localSheetId="20">#REF!</definedName>
    <definedName name="CUSTOMER" localSheetId="14">#REF!</definedName>
    <definedName name="CUSTOMER">#REF!</definedName>
    <definedName name="D" localSheetId="12">#REF!</definedName>
    <definedName name="D" localSheetId="10">#REF!</definedName>
    <definedName name="D" localSheetId="8">#REF!</definedName>
    <definedName name="D" localSheetId="6">#REF!</definedName>
    <definedName name="D" localSheetId="4">#REF!</definedName>
    <definedName name="D" localSheetId="1">#REF!</definedName>
    <definedName name="D" localSheetId="7">#REF!</definedName>
    <definedName name="D" localSheetId="3">#REF!</definedName>
    <definedName name="D" localSheetId="11">#REF!</definedName>
    <definedName name="D" localSheetId="9">#REF!</definedName>
    <definedName name="D" localSheetId="5">#REF!</definedName>
    <definedName name="D" localSheetId="17">#REF!</definedName>
    <definedName name="D" localSheetId="15">#REF!</definedName>
    <definedName name="D" localSheetId="13">#REF!</definedName>
    <definedName name="D" localSheetId="18">#REF!</definedName>
    <definedName name="D" localSheetId="16">#REF!</definedName>
    <definedName name="D" localSheetId="20">#REF!</definedName>
    <definedName name="D" localSheetId="14">#REF!</definedName>
    <definedName name="D">#REF!</definedName>
    <definedName name="Data" localSheetId="12">#REF!</definedName>
    <definedName name="Data" localSheetId="10">#REF!</definedName>
    <definedName name="Data" localSheetId="4">#REF!</definedName>
    <definedName name="Data">#REF!</definedName>
    <definedName name="_xlnm.Database" localSheetId="12">#REF!</definedName>
    <definedName name="_xlnm.Database" localSheetId="10">#REF!</definedName>
    <definedName name="_xlnm.Database" localSheetId="4">#REF!</definedName>
    <definedName name="_xlnm.Database">#REF!</definedName>
    <definedName name="DATE" localSheetId="12">#REF!</definedName>
    <definedName name="DATE" localSheetId="10">#REF!</definedName>
    <definedName name="DATE" localSheetId="4">#REF!</definedName>
    <definedName name="DATE">#REF!</definedName>
    <definedName name="ddd" localSheetId="12">#REF!</definedName>
    <definedName name="ddd" localSheetId="10">#REF!</definedName>
    <definedName name="ddd" localSheetId="4">#REF!</definedName>
    <definedName name="ddd">#REF!</definedName>
    <definedName name="demolition" localSheetId="12">#REF!</definedName>
    <definedName name="demolition" localSheetId="10">#REF!</definedName>
    <definedName name="demolition" localSheetId="4">#REF!</definedName>
    <definedName name="demolition">#REF!</definedName>
    <definedName name="des" localSheetId="12">#REF!</definedName>
    <definedName name="des" localSheetId="10">#REF!</definedName>
    <definedName name="des" localSheetId="4">#REF!</definedName>
    <definedName name="des">#REF!</definedName>
    <definedName name="Description">"B1"</definedName>
    <definedName name="dfr" localSheetId="12">'[8]MAIN BLD TAKE OFF'!#REF!</definedName>
    <definedName name="dfr" localSheetId="10">'[8]MAIN BLD TAKE OFF'!#REF!</definedName>
    <definedName name="dfr" localSheetId="8">'[8]MAIN BLD TAKE OFF'!#REF!</definedName>
    <definedName name="dfr" localSheetId="6">'[8]MAIN BLD TAKE OFF'!#REF!</definedName>
    <definedName name="dfr" localSheetId="4">'[8]MAIN BLD TAKE OFF'!#REF!</definedName>
    <definedName name="dfr" localSheetId="1">'[8]MAIN BLD TAKE OFF'!#REF!</definedName>
    <definedName name="dfr">'[8]MAIN BLD TAKE OFF'!#REF!</definedName>
    <definedName name="Disposal_excavated_material">[11]Rates!$A$61</definedName>
    <definedName name="Division" localSheetId="12">#REF!</definedName>
    <definedName name="Division" localSheetId="10">#REF!</definedName>
    <definedName name="Division" localSheetId="8">#REF!</definedName>
    <definedName name="Division" localSheetId="6">#REF!</definedName>
    <definedName name="Division" localSheetId="4">#REF!</definedName>
    <definedName name="Division" localSheetId="1">#REF!</definedName>
    <definedName name="Division" localSheetId="7">#REF!</definedName>
    <definedName name="Division" localSheetId="3">#REF!</definedName>
    <definedName name="Division" localSheetId="11">#REF!</definedName>
    <definedName name="Division" localSheetId="9">#REF!</definedName>
    <definedName name="Division" localSheetId="5">#REF!</definedName>
    <definedName name="Division" localSheetId="17">#REF!</definedName>
    <definedName name="Division" localSheetId="15">#REF!</definedName>
    <definedName name="Division" localSheetId="13">#REF!</definedName>
    <definedName name="Division" localSheetId="18">#REF!</definedName>
    <definedName name="Division" localSheetId="16">#REF!</definedName>
    <definedName name="Division" localSheetId="20">#REF!</definedName>
    <definedName name="Division" localSheetId="14">#REF!</definedName>
    <definedName name="Division">#REF!</definedName>
    <definedName name="don" localSheetId="12">{#N/A,#N/A,FALSE,"AFR-ELC"}</definedName>
    <definedName name="don" localSheetId="10">{#N/A,#N/A,FALSE,"AFR-ELC"}</definedName>
    <definedName name="don" localSheetId="8">{#N/A,#N/A,FALSE,"AFR-ELC"}</definedName>
    <definedName name="don" localSheetId="6">{#N/A,#N/A,FALSE,"AFR-ELC"}</definedName>
    <definedName name="don" localSheetId="4">{#N/A,#N/A,FALSE,"AFR-ELC"}</definedName>
    <definedName name="don" localSheetId="1">{#N/A,#N/A,FALSE,"AFR-ELC"}</definedName>
    <definedName name="don" localSheetId="7">{#N/A,#N/A,FALSE,"AFR-ELC"}</definedName>
    <definedName name="don" localSheetId="3">{#N/A,#N/A,FALSE,"AFR-ELC"}</definedName>
    <definedName name="don" localSheetId="11">{#N/A,#N/A,FALSE,"AFR-ELC"}</definedName>
    <definedName name="don" localSheetId="9">{#N/A,#N/A,FALSE,"AFR-ELC"}</definedName>
    <definedName name="don" localSheetId="5">{#N/A,#N/A,FALSE,"AFR-ELC"}</definedName>
    <definedName name="don" localSheetId="17">{#N/A,#N/A,FALSE,"AFR-ELC"}</definedName>
    <definedName name="don" localSheetId="15">{#N/A,#N/A,FALSE,"AFR-ELC"}</definedName>
    <definedName name="don" localSheetId="13">{#N/A,#N/A,FALSE,"AFR-ELC"}</definedName>
    <definedName name="don" localSheetId="18">{#N/A,#N/A,FALSE,"AFR-ELC"}</definedName>
    <definedName name="don" localSheetId="16">{#N/A,#N/A,FALSE,"AFR-ELC"}</definedName>
    <definedName name="don" localSheetId="20">{#N/A,#N/A,FALSE,"AFR-ELC"}</definedName>
    <definedName name="don" localSheetId="14">{#N/A,#N/A,FALSE,"AFR-ELC"}</definedName>
    <definedName name="don">{#N/A,#N/A,FALSE,"AFR-ELC"}</definedName>
    <definedName name="dor">#REF!</definedName>
    <definedName name="Dozer_hire">[11]Prices!$B$174</definedName>
    <definedName name="dr" localSheetId="12">#REF!</definedName>
    <definedName name="dr" localSheetId="10">#REF!</definedName>
    <definedName name="dr" localSheetId="6">#REF!</definedName>
    <definedName name="dr" localSheetId="4">#REF!</definedName>
    <definedName name="dr">#REF!</definedName>
    <definedName name="drainage" localSheetId="12">#REF!</definedName>
    <definedName name="drainage" localSheetId="10">#REF!</definedName>
    <definedName name="drainage" localSheetId="6">#REF!</definedName>
    <definedName name="drainage" localSheetId="4">#REF!</definedName>
    <definedName name="drainage">#REF!</definedName>
    <definedName name="drg" localSheetId="12">#REF!</definedName>
    <definedName name="drg" localSheetId="10">#REF!</definedName>
    <definedName name="drg" localSheetId="6">#REF!</definedName>
    <definedName name="drg" localSheetId="4">#REF!</definedName>
    <definedName name="drg">#REF!</definedName>
    <definedName name="drgex" localSheetId="12">#REF!</definedName>
    <definedName name="drgex" localSheetId="10">#REF!</definedName>
    <definedName name="drgex" localSheetId="4">#REF!</definedName>
    <definedName name="drgex">#REF!</definedName>
    <definedName name="dsa" localSheetId="12" hidden="1">{#N/A,#N/A,FALSE,"AFR-ELC"}</definedName>
    <definedName name="dsa" localSheetId="10" hidden="1">{#N/A,#N/A,FALSE,"AFR-ELC"}</definedName>
    <definedName name="dsa" localSheetId="8" hidden="1">{#N/A,#N/A,FALSE,"AFR-ELC"}</definedName>
    <definedName name="dsa" localSheetId="6" hidden="1">{#N/A,#N/A,FALSE,"AFR-ELC"}</definedName>
    <definedName name="dsa" localSheetId="4" hidden="1">{#N/A,#N/A,FALSE,"AFR-ELC"}</definedName>
    <definedName name="dsa" localSheetId="1" hidden="1">{#N/A,#N/A,FALSE,"AFR-ELC"}</definedName>
    <definedName name="dsa" localSheetId="7" hidden="1">{#N/A,#N/A,FALSE,"AFR-ELC"}</definedName>
    <definedName name="dsa" localSheetId="3" hidden="1">{#N/A,#N/A,FALSE,"AFR-ELC"}</definedName>
    <definedName name="dsa" localSheetId="11" hidden="1">{#N/A,#N/A,FALSE,"AFR-ELC"}</definedName>
    <definedName name="dsa" localSheetId="9" hidden="1">{#N/A,#N/A,FALSE,"AFR-ELC"}</definedName>
    <definedName name="dsa" localSheetId="5" hidden="1">{#N/A,#N/A,FALSE,"AFR-ELC"}</definedName>
    <definedName name="dsa" localSheetId="17" hidden="1">{#N/A,#N/A,FALSE,"AFR-ELC"}</definedName>
    <definedName name="dsa" localSheetId="15" hidden="1">{#N/A,#N/A,FALSE,"AFR-ELC"}</definedName>
    <definedName name="dsa" localSheetId="13" hidden="1">{#N/A,#N/A,FALSE,"AFR-ELC"}</definedName>
    <definedName name="dsa" localSheetId="18" hidden="1">{#N/A,#N/A,FALSE,"AFR-ELC"}</definedName>
    <definedName name="dsa" localSheetId="16" hidden="1">{#N/A,#N/A,FALSE,"AFR-ELC"}</definedName>
    <definedName name="dsa" localSheetId="20" hidden="1">{#N/A,#N/A,FALSE,"AFR-ELC"}</definedName>
    <definedName name="dsa" localSheetId="14" hidden="1">{#N/A,#N/A,FALSE,"AFR-ELC"}</definedName>
    <definedName name="dsa" hidden="1">{#N/A,#N/A,FALSE,"AFR-ELC"}</definedName>
    <definedName name="dwq">#REF!</definedName>
    <definedName name="E" localSheetId="12">#REF!</definedName>
    <definedName name="E" localSheetId="10">#REF!</definedName>
    <definedName name="E" localSheetId="8">#REF!</definedName>
    <definedName name="E" localSheetId="6">#REF!</definedName>
    <definedName name="E" localSheetId="4">#REF!</definedName>
    <definedName name="E" localSheetId="1">#REF!</definedName>
    <definedName name="E" localSheetId="2">#REF!</definedName>
    <definedName name="E" localSheetId="7">#REF!</definedName>
    <definedName name="E" localSheetId="3">#REF!</definedName>
    <definedName name="E" localSheetId="11">#REF!</definedName>
    <definedName name="E" localSheetId="9">#REF!</definedName>
    <definedName name="E" localSheetId="5">#REF!</definedName>
    <definedName name="E" localSheetId="17">#REF!</definedName>
    <definedName name="E" localSheetId="15">#REF!</definedName>
    <definedName name="E" localSheetId="13">#REF!</definedName>
    <definedName name="E" localSheetId="18">#REF!</definedName>
    <definedName name="E" localSheetId="16">#REF!</definedName>
    <definedName name="E" localSheetId="20">#REF!</definedName>
    <definedName name="E" localSheetId="14">#REF!</definedName>
    <definedName name="E">#REF!</definedName>
    <definedName name="eee" localSheetId="12">#REF!</definedName>
    <definedName name="eee" localSheetId="10">#REF!</definedName>
    <definedName name="eee" localSheetId="4">#REF!</definedName>
    <definedName name="eee">#REF!</definedName>
    <definedName name="EFFIONG" localSheetId="12" hidden="1">{#N/A,#N/A,FALSE,"AFR-ELC"}</definedName>
    <definedName name="EFFIONG" localSheetId="10" hidden="1">{#N/A,#N/A,FALSE,"AFR-ELC"}</definedName>
    <definedName name="EFFIONG" localSheetId="8" hidden="1">{#N/A,#N/A,FALSE,"AFR-ELC"}</definedName>
    <definedName name="EFFIONG" localSheetId="6" hidden="1">{#N/A,#N/A,FALSE,"AFR-ELC"}</definedName>
    <definedName name="EFFIONG" localSheetId="4" hidden="1">{#N/A,#N/A,FALSE,"AFR-ELC"}</definedName>
    <definedName name="EFFIONG" localSheetId="0" hidden="1">{#N/A,#N/A,FALSE,"AFR-ELC"}</definedName>
    <definedName name="EFFIONG" localSheetId="1" hidden="1">{#N/A,#N/A,FALSE,"AFR-ELC"}</definedName>
    <definedName name="EFFIONG" localSheetId="2" hidden="1">{#N/A,#N/A,FALSE,"AFR-ELC"}</definedName>
    <definedName name="EFFIONG" localSheetId="7" hidden="1">{#N/A,#N/A,FALSE,"AFR-ELC"}</definedName>
    <definedName name="EFFIONG" localSheetId="3" hidden="1">{#N/A,#N/A,FALSE,"AFR-ELC"}</definedName>
    <definedName name="EFFIONG" localSheetId="11" hidden="1">{#N/A,#N/A,FALSE,"AFR-ELC"}</definedName>
    <definedName name="EFFIONG" localSheetId="9" hidden="1">{#N/A,#N/A,FALSE,"AFR-ELC"}</definedName>
    <definedName name="EFFIONG" localSheetId="5" hidden="1">{#N/A,#N/A,FALSE,"AFR-ELC"}</definedName>
    <definedName name="EFFIONG" localSheetId="17" hidden="1">{#N/A,#N/A,FALSE,"AFR-ELC"}</definedName>
    <definedName name="EFFIONG" localSheetId="15" hidden="1">{#N/A,#N/A,FALSE,"AFR-ELC"}</definedName>
    <definedName name="EFFIONG" localSheetId="13" hidden="1">{#N/A,#N/A,FALSE,"AFR-ELC"}</definedName>
    <definedName name="EFFIONG" localSheetId="18" hidden="1">{#N/A,#N/A,FALSE,"AFR-ELC"}</definedName>
    <definedName name="EFFIONG" localSheetId="16" hidden="1">{#N/A,#N/A,FALSE,"AFR-ELC"}</definedName>
    <definedName name="EFFIONG" localSheetId="20" hidden="1">{#N/A,#N/A,FALSE,"AFR-ELC"}</definedName>
    <definedName name="EFFIONG" localSheetId="14" hidden="1">{#N/A,#N/A,FALSE,"AFR-ELC"}</definedName>
    <definedName name="EFFIONG" hidden="1">{#N/A,#N/A,FALSE,"AFR-ELC"}</definedName>
    <definedName name="Ele.3">#REF!</definedName>
    <definedName name="elect" localSheetId="12">#REF!</definedName>
    <definedName name="elect" localSheetId="10">#REF!</definedName>
    <definedName name="elect" localSheetId="6">#REF!</definedName>
    <definedName name="elect" localSheetId="4">#REF!</definedName>
    <definedName name="elect">#REF!</definedName>
    <definedName name="elect1" localSheetId="12">#REF!</definedName>
    <definedName name="elect1" localSheetId="10">#REF!</definedName>
    <definedName name="elect1" localSheetId="6">#REF!</definedName>
    <definedName name="elect1" localSheetId="4">#REF!</definedName>
    <definedName name="elect1">#REF!</definedName>
    <definedName name="elect2" localSheetId="12">#REF!</definedName>
    <definedName name="elect2" localSheetId="10">#REF!</definedName>
    <definedName name="elect2" localSheetId="4">#REF!</definedName>
    <definedName name="elect2">#REF!</definedName>
    <definedName name="elect3" localSheetId="12">#REF!</definedName>
    <definedName name="elect3" localSheetId="10">#REF!</definedName>
    <definedName name="elect3" localSheetId="4">#REF!</definedName>
    <definedName name="elect3">#REF!</definedName>
    <definedName name="electrical" localSheetId="12">#REF!</definedName>
    <definedName name="electrical" localSheetId="10">#REF!</definedName>
    <definedName name="electrical" localSheetId="4">#REF!</definedName>
    <definedName name="electrical">#REF!</definedName>
    <definedName name="Elem.1" localSheetId="12">#REF!</definedName>
    <definedName name="Elem.1" localSheetId="10">#REF!</definedName>
    <definedName name="Elem.1" localSheetId="4">#REF!</definedName>
    <definedName name="Elem.1">#REF!</definedName>
    <definedName name="Elem.10" localSheetId="12">#REF!</definedName>
    <definedName name="Elem.10" localSheetId="10">#REF!</definedName>
    <definedName name="Elem.10" localSheetId="4">#REF!</definedName>
    <definedName name="Elem.10">#REF!</definedName>
    <definedName name="Elem.11" localSheetId="12">#REF!</definedName>
    <definedName name="Elem.11" localSheetId="10">#REF!</definedName>
    <definedName name="Elem.11" localSheetId="4">#REF!</definedName>
    <definedName name="Elem.11">#REF!</definedName>
    <definedName name="Elem.12" localSheetId="12">#REF!</definedName>
    <definedName name="Elem.12" localSheetId="10">#REF!</definedName>
    <definedName name="Elem.12" localSheetId="4">#REF!</definedName>
    <definedName name="Elem.12">#REF!</definedName>
    <definedName name="Elem.13" localSheetId="12">#REF!</definedName>
    <definedName name="Elem.13" localSheetId="10">#REF!</definedName>
    <definedName name="Elem.13" localSheetId="4">#REF!</definedName>
    <definedName name="Elem.13">#REF!</definedName>
    <definedName name="Elem.2" localSheetId="12">#REF!</definedName>
    <definedName name="Elem.2" localSheetId="10">#REF!</definedName>
    <definedName name="Elem.2" localSheetId="4">#REF!</definedName>
    <definedName name="Elem.2">#REF!</definedName>
    <definedName name="Elem.4" localSheetId="12">#REF!</definedName>
    <definedName name="Elem.4" localSheetId="10">#REF!</definedName>
    <definedName name="Elem.4" localSheetId="4">#REF!</definedName>
    <definedName name="Elem.4">#REF!</definedName>
    <definedName name="Elem.5" localSheetId="12">#REF!</definedName>
    <definedName name="Elem.5" localSheetId="10">#REF!</definedName>
    <definedName name="Elem.5" localSheetId="4">#REF!</definedName>
    <definedName name="Elem.5">#REF!</definedName>
    <definedName name="Elem.6" localSheetId="12">#REF!</definedName>
    <definedName name="Elem.6" localSheetId="10">#REF!</definedName>
    <definedName name="Elem.6" localSheetId="4">#REF!</definedName>
    <definedName name="Elem.6">#REF!</definedName>
    <definedName name="Elem.7" localSheetId="12">#REF!</definedName>
    <definedName name="Elem.7" localSheetId="10">#REF!</definedName>
    <definedName name="Elem.7" localSheetId="4">#REF!</definedName>
    <definedName name="Elem.7">#REF!</definedName>
    <definedName name="Elem.8" localSheetId="12">#REF!</definedName>
    <definedName name="Elem.8" localSheetId="10">#REF!</definedName>
    <definedName name="Elem.8" localSheetId="4">#REF!</definedName>
    <definedName name="Elem.8">#REF!</definedName>
    <definedName name="Elem.9" localSheetId="12">#REF!</definedName>
    <definedName name="Elem.9" localSheetId="10">#REF!</definedName>
    <definedName name="Elem.9" localSheetId="4">#REF!</definedName>
    <definedName name="Elem.9">#REF!</definedName>
    <definedName name="Emulsion_paint">[11]Prices!$B$178</definedName>
    <definedName name="Emulsion_paint_contractors">[11]Prices!$B$179</definedName>
    <definedName name="Emulsion_painting">[11]Rates!$A$237</definedName>
    <definedName name="End_Bal" localSheetId="12">#REF!</definedName>
    <definedName name="End_Bal" localSheetId="10">#REF!</definedName>
    <definedName name="End_Bal" localSheetId="8">#REF!</definedName>
    <definedName name="End_Bal" localSheetId="6">#REF!</definedName>
    <definedName name="End_Bal" localSheetId="4">#REF!</definedName>
    <definedName name="End_Bal" localSheetId="1">#REF!</definedName>
    <definedName name="End_Bal" localSheetId="7">#REF!</definedName>
    <definedName name="End_Bal" localSheetId="3">#REF!</definedName>
    <definedName name="End_Bal" localSheetId="11">#REF!</definedName>
    <definedName name="End_Bal" localSheetId="9">#REF!</definedName>
    <definedName name="End_Bal" localSheetId="5">#REF!</definedName>
    <definedName name="End_Bal" localSheetId="17">#REF!</definedName>
    <definedName name="End_Bal" localSheetId="15">#REF!</definedName>
    <definedName name="End_Bal" localSheetId="13">#REF!</definedName>
    <definedName name="End_Bal" localSheetId="18">#REF!</definedName>
    <definedName name="End_Bal" localSheetId="16">#REF!</definedName>
    <definedName name="End_Bal" localSheetId="20">#REF!</definedName>
    <definedName name="End_Bal" localSheetId="14">#REF!</definedName>
    <definedName name="End_Bal">#REF!</definedName>
    <definedName name="ENGINEER" localSheetId="12">#REF!</definedName>
    <definedName name="ENGINEER" localSheetId="10">#REF!</definedName>
    <definedName name="ENGINEER" localSheetId="8">#REF!</definedName>
    <definedName name="ENGINEER" localSheetId="6">#REF!</definedName>
    <definedName name="ENGINEER" localSheetId="4">#REF!</definedName>
    <definedName name="ENGINEER" localSheetId="1">#REF!</definedName>
    <definedName name="ENGINEER" localSheetId="2">#REF!</definedName>
    <definedName name="ENGINEER" localSheetId="7">#REF!</definedName>
    <definedName name="ENGINEER" localSheetId="3">#REF!</definedName>
    <definedName name="ENGINEER" localSheetId="11">#REF!</definedName>
    <definedName name="ENGINEER" localSheetId="9">#REF!</definedName>
    <definedName name="ENGINEER" localSheetId="5">#REF!</definedName>
    <definedName name="ENGINEER" localSheetId="17">#REF!</definedName>
    <definedName name="ENGINEER" localSheetId="15">#REF!</definedName>
    <definedName name="ENGINEER" localSheetId="13">#REF!</definedName>
    <definedName name="ENGINEER" localSheetId="18">#REF!</definedName>
    <definedName name="ENGINEER" localSheetId="16">#REF!</definedName>
    <definedName name="ENGINEER" localSheetId="20">#REF!</definedName>
    <definedName name="ENGINEER" localSheetId="14">#REF!</definedName>
    <definedName name="ENGINEER">#REF!</definedName>
    <definedName name="Entrance" localSheetId="12" hidden="1">{#N/A,#N/A,FALSE,"AFR-ELC"}</definedName>
    <definedName name="Entrance" localSheetId="10" hidden="1">{#N/A,#N/A,FALSE,"AFR-ELC"}</definedName>
    <definedName name="Entrance" localSheetId="6" hidden="1">{#N/A,#N/A,FALSE,"AFR-ELC"}</definedName>
    <definedName name="Entrance" localSheetId="4" hidden="1">{#N/A,#N/A,FALSE,"AFR-ELC"}</definedName>
    <definedName name="Entrance" localSheetId="1" hidden="1">{#N/A,#N/A,FALSE,"AFR-ELC"}</definedName>
    <definedName name="Entrance" localSheetId="7" hidden="1">{#N/A,#N/A,FALSE,"AFR-ELC"}</definedName>
    <definedName name="Entrance" localSheetId="3" hidden="1">{#N/A,#N/A,FALSE,"AFR-ELC"}</definedName>
    <definedName name="Entrance" localSheetId="11" hidden="1">{#N/A,#N/A,FALSE,"AFR-ELC"}</definedName>
    <definedName name="Entrance" localSheetId="9" hidden="1">{#N/A,#N/A,FALSE,"AFR-ELC"}</definedName>
    <definedName name="Entrance" localSheetId="5" hidden="1">{#N/A,#N/A,FALSE,"AFR-ELC"}</definedName>
    <definedName name="Entrance" localSheetId="17" hidden="1">{#N/A,#N/A,FALSE,"AFR-ELC"}</definedName>
    <definedName name="Entrance" localSheetId="15" hidden="1">{#N/A,#N/A,FALSE,"AFR-ELC"}</definedName>
    <definedName name="Entrance" localSheetId="13" hidden="1">{#N/A,#N/A,FALSE,"AFR-ELC"}</definedName>
    <definedName name="Entrance" localSheetId="18" hidden="1">{#N/A,#N/A,FALSE,"AFR-ELC"}</definedName>
    <definedName name="Entrance" localSheetId="16" hidden="1">{#N/A,#N/A,FALSE,"AFR-ELC"}</definedName>
    <definedName name="Entrance" localSheetId="20" hidden="1">{#N/A,#N/A,FALSE,"AFR-ELC"}</definedName>
    <definedName name="Entrance" localSheetId="14" hidden="1">{#N/A,#N/A,FALSE,"AFR-ELC"}</definedName>
    <definedName name="Entrance" hidden="1">{#N/A,#N/A,FALSE,"AFR-ELC"}</definedName>
    <definedName name="Epoxy_floor_finish">[11]Prices!$B$177</definedName>
    <definedName name="es" localSheetId="12">#REF!</definedName>
    <definedName name="es" localSheetId="10">#REF!</definedName>
    <definedName name="es" localSheetId="6">#REF!</definedName>
    <definedName name="es" localSheetId="4">#REF!</definedName>
    <definedName name="es">#REF!</definedName>
    <definedName name="EW.1" localSheetId="12">#REF!</definedName>
    <definedName name="EW.1" localSheetId="10">#REF!</definedName>
    <definedName name="EW.1" localSheetId="6">#REF!</definedName>
    <definedName name="EW.1" localSheetId="4">#REF!</definedName>
    <definedName name="EW.1">#REF!</definedName>
    <definedName name="EW.2" localSheetId="12">#REF!</definedName>
    <definedName name="EW.2" localSheetId="10">#REF!</definedName>
    <definedName name="EW.2" localSheetId="6">#REF!</definedName>
    <definedName name="EW.2" localSheetId="4">#REF!</definedName>
    <definedName name="EW.2">#REF!</definedName>
    <definedName name="EW.3" localSheetId="12">#REF!</definedName>
    <definedName name="EW.3" localSheetId="10">#REF!</definedName>
    <definedName name="EW.3" localSheetId="4">#REF!</definedName>
    <definedName name="EW.3">#REF!</definedName>
    <definedName name="EW.4" localSheetId="12">#REF!</definedName>
    <definedName name="EW.4" localSheetId="10">#REF!</definedName>
    <definedName name="EW.4" localSheetId="4">#REF!</definedName>
    <definedName name="EW.4">#REF!</definedName>
    <definedName name="Excavator_hire">[11]Prices!$B$182</definedName>
    <definedName name="Excel_BuiltIn_Print_Area_1" localSheetId="12">#REF!</definedName>
    <definedName name="Excel_BuiltIn_Print_Area_1" localSheetId="10">#REF!</definedName>
    <definedName name="Excel_BuiltIn_Print_Area_1" localSheetId="6">#REF!</definedName>
    <definedName name="Excel_BuiltIn_Print_Area_1" localSheetId="4">#REF!</definedName>
    <definedName name="Excel_BuiltIn_Print_Area_1">#REF!</definedName>
    <definedName name="Excel_BuiltIn_Print_Area_1_1" localSheetId="12">#REF!</definedName>
    <definedName name="Excel_BuiltIn_Print_Area_1_1" localSheetId="10">#REF!</definedName>
    <definedName name="Excel_BuiltIn_Print_Area_1_1" localSheetId="8">#REF!</definedName>
    <definedName name="Excel_BuiltIn_Print_Area_1_1" localSheetId="6">#REF!</definedName>
    <definedName name="Excel_BuiltIn_Print_Area_1_1" localSheetId="4">#REF!</definedName>
    <definedName name="Excel_BuiltIn_Print_Area_1_1" localSheetId="1">#REF!</definedName>
    <definedName name="Excel_BuiltIn_Print_Area_1_1" localSheetId="2">#REF!</definedName>
    <definedName name="Excel_BuiltIn_Print_Area_1_1" localSheetId="7">#REF!</definedName>
    <definedName name="Excel_BuiltIn_Print_Area_1_1" localSheetId="3">#REF!</definedName>
    <definedName name="Excel_BuiltIn_Print_Area_1_1" localSheetId="11">#REF!</definedName>
    <definedName name="Excel_BuiltIn_Print_Area_1_1" localSheetId="9">#REF!</definedName>
    <definedName name="Excel_BuiltIn_Print_Area_1_1" localSheetId="5">#REF!</definedName>
    <definedName name="Excel_BuiltIn_Print_Area_1_1" localSheetId="17">#REF!</definedName>
    <definedName name="Excel_BuiltIn_Print_Area_1_1" localSheetId="15">#REF!</definedName>
    <definedName name="Excel_BuiltIn_Print_Area_1_1" localSheetId="13">#REF!</definedName>
    <definedName name="Excel_BuiltIn_Print_Area_1_1" localSheetId="18">#REF!</definedName>
    <definedName name="Excel_BuiltIn_Print_Area_1_1" localSheetId="16">#REF!</definedName>
    <definedName name="Excel_BuiltIn_Print_Area_1_1" localSheetId="20">#REF!</definedName>
    <definedName name="Excel_BuiltIn_Print_Area_1_1" localSheetId="14">#REF!</definedName>
    <definedName name="Excel_BuiltIn_Print_Area_1_1">#REF!</definedName>
    <definedName name="Excel_BuiltIn_Print_Area_1_1_1" localSheetId="12">#REF!</definedName>
    <definedName name="Excel_BuiltIn_Print_Area_1_1_1" localSheetId="10">#REF!</definedName>
    <definedName name="Excel_BuiltIn_Print_Area_1_1_1" localSheetId="4">#REF!</definedName>
    <definedName name="Excel_BuiltIn_Print_Area_1_1_1" localSheetId="7">#REF!</definedName>
    <definedName name="Excel_BuiltIn_Print_Area_1_1_1" localSheetId="3">#REF!</definedName>
    <definedName name="Excel_BuiltIn_Print_Area_1_1_1" localSheetId="11">#REF!</definedName>
    <definedName name="Excel_BuiltIn_Print_Area_1_1_1" localSheetId="9">#REF!</definedName>
    <definedName name="Excel_BuiltIn_Print_Area_1_1_1" localSheetId="5">#REF!</definedName>
    <definedName name="Excel_BuiltIn_Print_Area_1_1_1" localSheetId="17">#REF!</definedName>
    <definedName name="Excel_BuiltIn_Print_Area_1_1_1" localSheetId="15">#REF!</definedName>
    <definedName name="Excel_BuiltIn_Print_Area_1_1_1" localSheetId="13">#REF!</definedName>
    <definedName name="Excel_BuiltIn_Print_Area_1_1_1" localSheetId="18">#REF!</definedName>
    <definedName name="Excel_BuiltIn_Print_Area_1_1_1" localSheetId="16">#REF!</definedName>
    <definedName name="Excel_BuiltIn_Print_Area_1_1_1" localSheetId="20">#REF!</definedName>
    <definedName name="Excel_BuiltIn_Print_Area_1_1_1" localSheetId="14">#REF!</definedName>
    <definedName name="Excel_BuiltIn_Print_Area_1_1_1">#REF!</definedName>
    <definedName name="Excel_BuiltIn_Print_Area_1_1_1_1" localSheetId="12">#REF!</definedName>
    <definedName name="Excel_BuiltIn_Print_Area_1_1_1_1" localSheetId="10">#REF!</definedName>
    <definedName name="Excel_BuiltIn_Print_Area_1_1_1_1" localSheetId="4">#REF!</definedName>
    <definedName name="Excel_BuiltIn_Print_Area_1_1_1_1" localSheetId="7">#REF!</definedName>
    <definedName name="Excel_BuiltIn_Print_Area_1_1_1_1" localSheetId="3">#REF!</definedName>
    <definedName name="Excel_BuiltIn_Print_Area_1_1_1_1" localSheetId="11">#REF!</definedName>
    <definedName name="Excel_BuiltIn_Print_Area_1_1_1_1" localSheetId="9">#REF!</definedName>
    <definedName name="Excel_BuiltIn_Print_Area_1_1_1_1" localSheetId="5">#REF!</definedName>
    <definedName name="Excel_BuiltIn_Print_Area_1_1_1_1" localSheetId="17">#REF!</definedName>
    <definedName name="Excel_BuiltIn_Print_Area_1_1_1_1" localSheetId="15">#REF!</definedName>
    <definedName name="Excel_BuiltIn_Print_Area_1_1_1_1" localSheetId="13">#REF!</definedName>
    <definedName name="Excel_BuiltIn_Print_Area_1_1_1_1" localSheetId="18">#REF!</definedName>
    <definedName name="Excel_BuiltIn_Print_Area_1_1_1_1" localSheetId="16">#REF!</definedName>
    <definedName name="Excel_BuiltIn_Print_Area_1_1_1_1" localSheetId="20">#REF!</definedName>
    <definedName name="Excel_BuiltIn_Print_Area_1_1_1_1" localSheetId="14">#REF!</definedName>
    <definedName name="Excel_BuiltIn_Print_Area_1_1_1_1">#REF!</definedName>
    <definedName name="Excel_BuiltIn_Print_Area_1_1_1_1_1" localSheetId="12">#REF!</definedName>
    <definedName name="Excel_BuiltIn_Print_Area_1_1_1_1_1" localSheetId="10">#REF!</definedName>
    <definedName name="Excel_BuiltIn_Print_Area_1_1_1_1_1" localSheetId="4">#REF!</definedName>
    <definedName name="Excel_BuiltIn_Print_Area_1_1_1_1_1">#REF!</definedName>
    <definedName name="Excel_BuiltIn_Print_Area_1_1_1_1_1_1" localSheetId="12">#REF!</definedName>
    <definedName name="Excel_BuiltIn_Print_Area_1_1_1_1_1_1" localSheetId="10">#REF!</definedName>
    <definedName name="Excel_BuiltIn_Print_Area_1_1_1_1_1_1" localSheetId="4">#REF!</definedName>
    <definedName name="Excel_BuiltIn_Print_Area_1_1_1_1_1_1">#REF!</definedName>
    <definedName name="EXHIBIT" localSheetId="12">#REF!</definedName>
    <definedName name="EXHIBIT" localSheetId="10">#REF!</definedName>
    <definedName name="EXHIBIT" localSheetId="4">#REF!</definedName>
    <definedName name="EXHIBIT">#REF!</definedName>
    <definedName name="EXIT" localSheetId="12">#REF!</definedName>
    <definedName name="EXIT" localSheetId="10">#REF!</definedName>
    <definedName name="EXIT" localSheetId="4">#REF!</definedName>
    <definedName name="EXIT">#REF!</definedName>
    <definedName name="Expansion_joint">[11]Rates!$A$86</definedName>
    <definedName name="Exrate">[11]Prices!$B$183</definedName>
    <definedName name="exserv" localSheetId="12">#REF!</definedName>
    <definedName name="exserv" localSheetId="10">#REF!</definedName>
    <definedName name="exserv" localSheetId="6">#REF!</definedName>
    <definedName name="exserv" localSheetId="4">#REF!</definedName>
    <definedName name="exserv">#REF!</definedName>
    <definedName name="exserv1" localSheetId="12">#REF!</definedName>
    <definedName name="exserv1" localSheetId="10">#REF!</definedName>
    <definedName name="exserv1" localSheetId="6">#REF!</definedName>
    <definedName name="exserv1" localSheetId="4">#REF!</definedName>
    <definedName name="exserv1">#REF!</definedName>
    <definedName name="exserv2" localSheetId="12">#REF!</definedName>
    <definedName name="exserv2" localSheetId="10">#REF!</definedName>
    <definedName name="exserv2" localSheetId="6">#REF!</definedName>
    <definedName name="exserv2" localSheetId="4">#REF!</definedName>
    <definedName name="exserv2">#REF!</definedName>
    <definedName name="EXTERNALWORKS" localSheetId="12">#REF!</definedName>
    <definedName name="EXTERNALWORKS" localSheetId="10">#REF!</definedName>
    <definedName name="EXTERNALWORKS" localSheetId="4">#REF!</definedName>
    <definedName name="EXTERNALWORKS">#REF!</definedName>
    <definedName name="Extra_Pay" localSheetId="12">#REF!</definedName>
    <definedName name="Extra_Pay" localSheetId="10">#REF!</definedName>
    <definedName name="Extra_Pay" localSheetId="4">#REF!</definedName>
    <definedName name="Extra_Pay">#REF!</definedName>
    <definedName name="F" localSheetId="12">#REF!</definedName>
    <definedName name="F" localSheetId="10">#REF!</definedName>
    <definedName name="F" localSheetId="4">#REF!</definedName>
    <definedName name="F">#REF!</definedName>
    <definedName name="fac" localSheetId="12">#REF!</definedName>
    <definedName name="fac" localSheetId="10">#REF!</definedName>
    <definedName name="fac" localSheetId="4">#REF!</definedName>
    <definedName name="fac">#REF!</definedName>
    <definedName name="FACELIFT" localSheetId="12" hidden="1">{#N/A,#N/A,FALSE,"AFR-ELC"}</definedName>
    <definedName name="FACELIFT" localSheetId="10" hidden="1">{#N/A,#N/A,FALSE,"AFR-ELC"}</definedName>
    <definedName name="FACELIFT" localSheetId="6" hidden="1">{#N/A,#N/A,FALSE,"AFR-ELC"}</definedName>
    <definedName name="FACELIFT" localSheetId="4" hidden="1">{#N/A,#N/A,FALSE,"AFR-ELC"}</definedName>
    <definedName name="FACELIFT" localSheetId="1" hidden="1">{#N/A,#N/A,FALSE,"AFR-ELC"}</definedName>
    <definedName name="FACELIFT" localSheetId="2" hidden="1">{#N/A,#N/A,FALSE,"AFR-ELC"}</definedName>
    <definedName name="FACELIFT" localSheetId="7" hidden="1">{#N/A,#N/A,FALSE,"AFR-ELC"}</definedName>
    <definedName name="FACELIFT" localSheetId="3" hidden="1">{#N/A,#N/A,FALSE,"AFR-ELC"}</definedName>
    <definedName name="FACELIFT" localSheetId="11" hidden="1">{#N/A,#N/A,FALSE,"AFR-ELC"}</definedName>
    <definedName name="FACELIFT" localSheetId="9" hidden="1">{#N/A,#N/A,FALSE,"AFR-ELC"}</definedName>
    <definedName name="FACELIFT" localSheetId="5" hidden="1">{#N/A,#N/A,FALSE,"AFR-ELC"}</definedName>
    <definedName name="FACELIFT" localSheetId="17" hidden="1">{#N/A,#N/A,FALSE,"AFR-ELC"}</definedName>
    <definedName name="FACELIFT" localSheetId="15" hidden="1">{#N/A,#N/A,FALSE,"AFR-ELC"}</definedName>
    <definedName name="FACELIFT" localSheetId="13" hidden="1">{#N/A,#N/A,FALSE,"AFR-ELC"}</definedName>
    <definedName name="FACELIFT" localSheetId="18" hidden="1">{#N/A,#N/A,FALSE,"AFR-ELC"}</definedName>
    <definedName name="FACELIFT" localSheetId="16" hidden="1">{#N/A,#N/A,FALSE,"AFR-ELC"}</definedName>
    <definedName name="FACELIFT" localSheetId="20" hidden="1">{#N/A,#N/A,FALSE,"AFR-ELC"}</definedName>
    <definedName name="FACELIFT" localSheetId="14" hidden="1">{#N/A,#N/A,FALSE,"AFR-ELC"}</definedName>
    <definedName name="FACELIFT" hidden="1">{#N/A,#N/A,FALSE,"AFR-ELC"}</definedName>
    <definedName name="faf">#REF!</definedName>
    <definedName name="fenchuck" localSheetId="12" hidden="1">{#N/A,#N/A,FALSE,"el.det";#N/A,#N/A,FALSE,"mu.det";#N/A,#N/A,FALSE,"ug.det";#N/A,#N/A,FALSE,"ex.det";#N/A,#N/A,FALSE,"lux.det";#N/A,#N/A,FALSE,"custom.lot";#N/A,#N/A,FALSE,"condo.att";#N/A,#N/A,FALSE,"el.att";#N/A,#N/A,FALSE,"mu.att";#N/A,#N/A,FALSE,"ex.att";#N/A,#N/A,FALSE,"lux.att";#N/A,#N/A,FALSE,"all.by.village"}</definedName>
    <definedName name="fenchuck" localSheetId="10" hidden="1">{#N/A,#N/A,FALSE,"el.det";#N/A,#N/A,FALSE,"mu.det";#N/A,#N/A,FALSE,"ug.det";#N/A,#N/A,FALSE,"ex.det";#N/A,#N/A,FALSE,"lux.det";#N/A,#N/A,FALSE,"custom.lot";#N/A,#N/A,FALSE,"condo.att";#N/A,#N/A,FALSE,"el.att";#N/A,#N/A,FALSE,"mu.att";#N/A,#N/A,FALSE,"ex.att";#N/A,#N/A,FALSE,"lux.att";#N/A,#N/A,FALSE,"all.by.village"}</definedName>
    <definedName name="fenchuck" localSheetId="8" hidden="1">{#N/A,#N/A,FALSE,"el.det";#N/A,#N/A,FALSE,"mu.det";#N/A,#N/A,FALSE,"ug.det";#N/A,#N/A,FALSE,"ex.det";#N/A,#N/A,FALSE,"lux.det";#N/A,#N/A,FALSE,"custom.lot";#N/A,#N/A,FALSE,"condo.att";#N/A,#N/A,FALSE,"el.att";#N/A,#N/A,FALSE,"mu.att";#N/A,#N/A,FALSE,"ex.att";#N/A,#N/A,FALSE,"lux.att";#N/A,#N/A,FALSE,"all.by.village"}</definedName>
    <definedName name="fenchuck" localSheetId="6" hidden="1">{#N/A,#N/A,FALSE,"el.det";#N/A,#N/A,FALSE,"mu.det";#N/A,#N/A,FALSE,"ug.det";#N/A,#N/A,FALSE,"ex.det";#N/A,#N/A,FALSE,"lux.det";#N/A,#N/A,FALSE,"custom.lot";#N/A,#N/A,FALSE,"condo.att";#N/A,#N/A,FALSE,"el.att";#N/A,#N/A,FALSE,"mu.att";#N/A,#N/A,FALSE,"ex.att";#N/A,#N/A,FALSE,"lux.att";#N/A,#N/A,FALSE,"all.by.village"}</definedName>
    <definedName name="fenchuck" localSheetId="4" hidden="1">{#N/A,#N/A,FALSE,"el.det";#N/A,#N/A,FALSE,"mu.det";#N/A,#N/A,FALSE,"ug.det";#N/A,#N/A,FALSE,"ex.det";#N/A,#N/A,FALSE,"lux.det";#N/A,#N/A,FALSE,"custom.lot";#N/A,#N/A,FALSE,"condo.att";#N/A,#N/A,FALSE,"el.att";#N/A,#N/A,FALSE,"mu.att";#N/A,#N/A,FALSE,"ex.att";#N/A,#N/A,FALSE,"lux.att";#N/A,#N/A,FALSE,"all.by.village"}</definedName>
    <definedName name="fenchuck" localSheetId="1" hidden="1">{#N/A,#N/A,FALSE,"el.det";#N/A,#N/A,FALSE,"mu.det";#N/A,#N/A,FALSE,"ug.det";#N/A,#N/A,FALSE,"ex.det";#N/A,#N/A,FALSE,"lux.det";#N/A,#N/A,FALSE,"custom.lot";#N/A,#N/A,FALSE,"condo.att";#N/A,#N/A,FALSE,"el.att";#N/A,#N/A,FALSE,"mu.att";#N/A,#N/A,FALSE,"ex.att";#N/A,#N/A,FALSE,"lux.att";#N/A,#N/A,FALSE,"all.by.village"}</definedName>
    <definedName name="fenchuck" localSheetId="7" hidden="1">{#N/A,#N/A,FALSE,"el.det";#N/A,#N/A,FALSE,"mu.det";#N/A,#N/A,FALSE,"ug.det";#N/A,#N/A,FALSE,"ex.det";#N/A,#N/A,FALSE,"lux.det";#N/A,#N/A,FALSE,"custom.lot";#N/A,#N/A,FALSE,"condo.att";#N/A,#N/A,FALSE,"el.att";#N/A,#N/A,FALSE,"mu.att";#N/A,#N/A,FALSE,"ex.att";#N/A,#N/A,FALSE,"lux.att";#N/A,#N/A,FALSE,"all.by.village"}</definedName>
    <definedName name="fenchuck" localSheetId="3" hidden="1">{#N/A,#N/A,FALSE,"el.det";#N/A,#N/A,FALSE,"mu.det";#N/A,#N/A,FALSE,"ug.det";#N/A,#N/A,FALSE,"ex.det";#N/A,#N/A,FALSE,"lux.det";#N/A,#N/A,FALSE,"custom.lot";#N/A,#N/A,FALSE,"condo.att";#N/A,#N/A,FALSE,"el.att";#N/A,#N/A,FALSE,"mu.att";#N/A,#N/A,FALSE,"ex.att";#N/A,#N/A,FALSE,"lux.att";#N/A,#N/A,FALSE,"all.by.village"}</definedName>
    <definedName name="fenchuck" localSheetId="11" hidden="1">{#N/A,#N/A,FALSE,"el.det";#N/A,#N/A,FALSE,"mu.det";#N/A,#N/A,FALSE,"ug.det";#N/A,#N/A,FALSE,"ex.det";#N/A,#N/A,FALSE,"lux.det";#N/A,#N/A,FALSE,"custom.lot";#N/A,#N/A,FALSE,"condo.att";#N/A,#N/A,FALSE,"el.att";#N/A,#N/A,FALSE,"mu.att";#N/A,#N/A,FALSE,"ex.att";#N/A,#N/A,FALSE,"lux.att";#N/A,#N/A,FALSE,"all.by.village"}</definedName>
    <definedName name="fenchuck" localSheetId="9" hidden="1">{#N/A,#N/A,FALSE,"el.det";#N/A,#N/A,FALSE,"mu.det";#N/A,#N/A,FALSE,"ug.det";#N/A,#N/A,FALSE,"ex.det";#N/A,#N/A,FALSE,"lux.det";#N/A,#N/A,FALSE,"custom.lot";#N/A,#N/A,FALSE,"condo.att";#N/A,#N/A,FALSE,"el.att";#N/A,#N/A,FALSE,"mu.att";#N/A,#N/A,FALSE,"ex.att";#N/A,#N/A,FALSE,"lux.att";#N/A,#N/A,FALSE,"all.by.village"}</definedName>
    <definedName name="fenchuck" localSheetId="5" hidden="1">{#N/A,#N/A,FALSE,"el.det";#N/A,#N/A,FALSE,"mu.det";#N/A,#N/A,FALSE,"ug.det";#N/A,#N/A,FALSE,"ex.det";#N/A,#N/A,FALSE,"lux.det";#N/A,#N/A,FALSE,"custom.lot";#N/A,#N/A,FALSE,"condo.att";#N/A,#N/A,FALSE,"el.att";#N/A,#N/A,FALSE,"mu.att";#N/A,#N/A,FALSE,"ex.att";#N/A,#N/A,FALSE,"lux.att";#N/A,#N/A,FALSE,"all.by.village"}</definedName>
    <definedName name="fenchuck" localSheetId="17" hidden="1">{#N/A,#N/A,FALSE,"el.det";#N/A,#N/A,FALSE,"mu.det";#N/A,#N/A,FALSE,"ug.det";#N/A,#N/A,FALSE,"ex.det";#N/A,#N/A,FALSE,"lux.det";#N/A,#N/A,FALSE,"custom.lot";#N/A,#N/A,FALSE,"condo.att";#N/A,#N/A,FALSE,"el.att";#N/A,#N/A,FALSE,"mu.att";#N/A,#N/A,FALSE,"ex.att";#N/A,#N/A,FALSE,"lux.att";#N/A,#N/A,FALSE,"all.by.village"}</definedName>
    <definedName name="fenchuck" localSheetId="15" hidden="1">{#N/A,#N/A,FALSE,"el.det";#N/A,#N/A,FALSE,"mu.det";#N/A,#N/A,FALSE,"ug.det";#N/A,#N/A,FALSE,"ex.det";#N/A,#N/A,FALSE,"lux.det";#N/A,#N/A,FALSE,"custom.lot";#N/A,#N/A,FALSE,"condo.att";#N/A,#N/A,FALSE,"el.att";#N/A,#N/A,FALSE,"mu.att";#N/A,#N/A,FALSE,"ex.att";#N/A,#N/A,FALSE,"lux.att";#N/A,#N/A,FALSE,"all.by.village"}</definedName>
    <definedName name="fenchuck" localSheetId="13" hidden="1">{#N/A,#N/A,FALSE,"el.det";#N/A,#N/A,FALSE,"mu.det";#N/A,#N/A,FALSE,"ug.det";#N/A,#N/A,FALSE,"ex.det";#N/A,#N/A,FALSE,"lux.det";#N/A,#N/A,FALSE,"custom.lot";#N/A,#N/A,FALSE,"condo.att";#N/A,#N/A,FALSE,"el.att";#N/A,#N/A,FALSE,"mu.att";#N/A,#N/A,FALSE,"ex.att";#N/A,#N/A,FALSE,"lux.att";#N/A,#N/A,FALSE,"all.by.village"}</definedName>
    <definedName name="fenchuck" localSheetId="18" hidden="1">{#N/A,#N/A,FALSE,"el.det";#N/A,#N/A,FALSE,"mu.det";#N/A,#N/A,FALSE,"ug.det";#N/A,#N/A,FALSE,"ex.det";#N/A,#N/A,FALSE,"lux.det";#N/A,#N/A,FALSE,"custom.lot";#N/A,#N/A,FALSE,"condo.att";#N/A,#N/A,FALSE,"el.att";#N/A,#N/A,FALSE,"mu.att";#N/A,#N/A,FALSE,"ex.att";#N/A,#N/A,FALSE,"lux.att";#N/A,#N/A,FALSE,"all.by.village"}</definedName>
    <definedName name="fenchuck" localSheetId="16" hidden="1">{#N/A,#N/A,FALSE,"el.det";#N/A,#N/A,FALSE,"mu.det";#N/A,#N/A,FALSE,"ug.det";#N/A,#N/A,FALSE,"ex.det";#N/A,#N/A,FALSE,"lux.det";#N/A,#N/A,FALSE,"custom.lot";#N/A,#N/A,FALSE,"condo.att";#N/A,#N/A,FALSE,"el.att";#N/A,#N/A,FALSE,"mu.att";#N/A,#N/A,FALSE,"ex.att";#N/A,#N/A,FALSE,"lux.att";#N/A,#N/A,FALSE,"all.by.village"}</definedName>
    <definedName name="fenchuck" localSheetId="20" hidden="1">{#N/A,#N/A,FALSE,"el.det";#N/A,#N/A,FALSE,"mu.det";#N/A,#N/A,FALSE,"ug.det";#N/A,#N/A,FALSE,"ex.det";#N/A,#N/A,FALSE,"lux.det";#N/A,#N/A,FALSE,"custom.lot";#N/A,#N/A,FALSE,"condo.att";#N/A,#N/A,FALSE,"el.att";#N/A,#N/A,FALSE,"mu.att";#N/A,#N/A,FALSE,"ex.att";#N/A,#N/A,FALSE,"lux.att";#N/A,#N/A,FALSE,"all.by.village"}</definedName>
    <definedName name="fenchuck" localSheetId="14" hidden="1">{#N/A,#N/A,FALSE,"el.det";#N/A,#N/A,FALSE,"mu.det";#N/A,#N/A,FALSE,"ug.det";#N/A,#N/A,FALSE,"ex.det";#N/A,#N/A,FALSE,"lux.det";#N/A,#N/A,FALSE,"custom.lot";#N/A,#N/A,FALSE,"condo.att";#N/A,#N/A,FALSE,"el.att";#N/A,#N/A,FALSE,"mu.att";#N/A,#N/A,FALSE,"ex.att";#N/A,#N/A,FALSE,"lux.att";#N/A,#N/A,FALSE,"all.by.village"}</definedName>
    <definedName name="fenchuck" hidden="1">{#N/A,#N/A,FALSE,"el.det";#N/A,#N/A,FALSE,"mu.det";#N/A,#N/A,FALSE,"ug.det";#N/A,#N/A,FALSE,"ex.det";#N/A,#N/A,FALSE,"lux.det";#N/A,#N/A,FALSE,"custom.lot";#N/A,#N/A,FALSE,"condo.att";#N/A,#N/A,FALSE,"el.att";#N/A,#N/A,FALSE,"mu.att";#N/A,#N/A,FALSE,"ex.att";#N/A,#N/A,FALSE,"lux.att";#N/A,#N/A,FALSE,"all.by.village"}</definedName>
    <definedName name="ff">#REF!</definedName>
    <definedName name="fff" localSheetId="12">#REF!</definedName>
    <definedName name="fff" localSheetId="10">#REF!</definedName>
    <definedName name="fff" localSheetId="6">#REF!</definedName>
    <definedName name="fff" localSheetId="4">#REF!</definedName>
    <definedName name="fff">#REF!</definedName>
    <definedName name="ffin" localSheetId="12">#REF!</definedName>
    <definedName name="ffin" localSheetId="10">#REF!</definedName>
    <definedName name="ffin" localSheetId="6">#REF!</definedName>
    <definedName name="ffin" localSheetId="4">#REF!</definedName>
    <definedName name="ffin">#REF!</definedName>
    <definedName name="Fill" localSheetId="12" hidden="1">#REF!</definedName>
    <definedName name="Fill" localSheetId="10" hidden="1">#REF!</definedName>
    <definedName name="Fill" localSheetId="8" hidden="1">#REF!</definedName>
    <definedName name="Fill" localSheetId="6" hidden="1">#REF!</definedName>
    <definedName name="Fill" localSheetId="4" hidden="1">#REF!</definedName>
    <definedName name="Fill" localSheetId="1" hidden="1">#REF!</definedName>
    <definedName name="Fill" localSheetId="7" hidden="1">#REF!</definedName>
    <definedName name="Fill" localSheetId="3" hidden="1">#REF!</definedName>
    <definedName name="Fill" localSheetId="11" hidden="1">#REF!</definedName>
    <definedName name="Fill" localSheetId="9" hidden="1">#REF!</definedName>
    <definedName name="Fill" localSheetId="5" hidden="1">#REF!</definedName>
    <definedName name="Fill" localSheetId="17" hidden="1">#REF!</definedName>
    <definedName name="Fill" localSheetId="15" hidden="1">#REF!</definedName>
    <definedName name="Fill" localSheetId="13" hidden="1">#REF!</definedName>
    <definedName name="Fill" localSheetId="18" hidden="1">#REF!</definedName>
    <definedName name="Fill" localSheetId="16" hidden="1">#REF!</definedName>
    <definedName name="Fill" localSheetId="20" hidden="1">#REF!</definedName>
    <definedName name="Fill" localSheetId="14" hidden="1">#REF!</definedName>
    <definedName name="Fill" hidden="1">#REF!</definedName>
    <definedName name="Filling_sand">[11]Prices!$B$188</definedName>
    <definedName name="fin" localSheetId="12">#REF!</definedName>
    <definedName name="fin" localSheetId="10">#REF!</definedName>
    <definedName name="fin" localSheetId="6">#REF!</definedName>
    <definedName name="fin" localSheetId="4">#REF!</definedName>
    <definedName name="fin">#REF!</definedName>
    <definedName name="finishings" localSheetId="12">#REF!</definedName>
    <definedName name="finishings" localSheetId="10">#REF!</definedName>
    <definedName name="finishings" localSheetId="6">#REF!</definedName>
    <definedName name="finishings" localSheetId="4">#REF!</definedName>
    <definedName name="finishings">#REF!</definedName>
    <definedName name="FIRE_TOTAL" localSheetId="12">#REF!</definedName>
    <definedName name="FIRE_TOTAL" localSheetId="10">#REF!</definedName>
    <definedName name="FIRE_TOTAL" localSheetId="6">#REF!</definedName>
    <definedName name="FIRE_TOTAL" localSheetId="4">#REF!</definedName>
    <definedName name="FIRE_TOTAL">#REF!</definedName>
    <definedName name="FIRETOTAL" localSheetId="12">#REF!</definedName>
    <definedName name="FIRETOTAL" localSheetId="10">#REF!</definedName>
    <definedName name="FIRETOTAL" localSheetId="4">#REF!</definedName>
    <definedName name="FIRETOTAL">#REF!</definedName>
    <definedName name="Fixed_Costs">[18]BEP!$C$8</definedName>
    <definedName name="fl" localSheetId="12">{#N/A,#N/A,FALSE,"Variables";#N/A,#N/A,FALSE,"NPV Cashflows NZ$";#N/A,#N/A,FALSE,"Cashflows NZ$"}</definedName>
    <definedName name="fl" localSheetId="10">{#N/A,#N/A,FALSE,"Variables";#N/A,#N/A,FALSE,"NPV Cashflows NZ$";#N/A,#N/A,FALSE,"Cashflows NZ$"}</definedName>
    <definedName name="fl" localSheetId="8">{#N/A,#N/A,FALSE,"Variables";#N/A,#N/A,FALSE,"NPV Cashflows NZ$";#N/A,#N/A,FALSE,"Cashflows NZ$"}</definedName>
    <definedName name="fl" localSheetId="6">{#N/A,#N/A,FALSE,"Variables";#N/A,#N/A,FALSE,"NPV Cashflows NZ$";#N/A,#N/A,FALSE,"Cashflows NZ$"}</definedName>
    <definedName name="fl" localSheetId="4">{#N/A,#N/A,FALSE,"Variables";#N/A,#N/A,FALSE,"NPV Cashflows NZ$";#N/A,#N/A,FALSE,"Cashflows NZ$"}</definedName>
    <definedName name="fl" localSheetId="1">{#N/A,#N/A,FALSE,"Variables";#N/A,#N/A,FALSE,"NPV Cashflows NZ$";#N/A,#N/A,FALSE,"Cashflows NZ$"}</definedName>
    <definedName name="fl" localSheetId="7">{#N/A,#N/A,FALSE,"Variables";#N/A,#N/A,FALSE,"NPV Cashflows NZ$";#N/A,#N/A,FALSE,"Cashflows NZ$"}</definedName>
    <definedName name="fl" localSheetId="3">{#N/A,#N/A,FALSE,"Variables";#N/A,#N/A,FALSE,"NPV Cashflows NZ$";#N/A,#N/A,FALSE,"Cashflows NZ$"}</definedName>
    <definedName name="fl" localSheetId="11">{#N/A,#N/A,FALSE,"Variables";#N/A,#N/A,FALSE,"NPV Cashflows NZ$";#N/A,#N/A,FALSE,"Cashflows NZ$"}</definedName>
    <definedName name="fl" localSheetId="9">{#N/A,#N/A,FALSE,"Variables";#N/A,#N/A,FALSE,"NPV Cashflows NZ$";#N/A,#N/A,FALSE,"Cashflows NZ$"}</definedName>
    <definedName name="fl" localSheetId="5">{#N/A,#N/A,FALSE,"Variables";#N/A,#N/A,FALSE,"NPV Cashflows NZ$";#N/A,#N/A,FALSE,"Cashflows NZ$"}</definedName>
    <definedName name="fl" localSheetId="17">{#N/A,#N/A,FALSE,"Variables";#N/A,#N/A,FALSE,"NPV Cashflows NZ$";#N/A,#N/A,FALSE,"Cashflows NZ$"}</definedName>
    <definedName name="fl" localSheetId="15">{#N/A,#N/A,FALSE,"Variables";#N/A,#N/A,FALSE,"NPV Cashflows NZ$";#N/A,#N/A,FALSE,"Cashflows NZ$"}</definedName>
    <definedName name="fl" localSheetId="13">{#N/A,#N/A,FALSE,"Variables";#N/A,#N/A,FALSE,"NPV Cashflows NZ$";#N/A,#N/A,FALSE,"Cashflows NZ$"}</definedName>
    <definedName name="fl" localSheetId="18">{#N/A,#N/A,FALSE,"Variables";#N/A,#N/A,FALSE,"NPV Cashflows NZ$";#N/A,#N/A,FALSE,"Cashflows NZ$"}</definedName>
    <definedName name="fl" localSheetId="16">{#N/A,#N/A,FALSE,"Variables";#N/A,#N/A,FALSE,"NPV Cashflows NZ$";#N/A,#N/A,FALSE,"Cashflows NZ$"}</definedName>
    <definedName name="fl" localSheetId="20">{#N/A,#N/A,FALSE,"Variables";#N/A,#N/A,FALSE,"NPV Cashflows NZ$";#N/A,#N/A,FALSE,"Cashflows NZ$"}</definedName>
    <definedName name="fl" localSheetId="14">{#N/A,#N/A,FALSE,"Variables";#N/A,#N/A,FALSE,"NPV Cashflows NZ$";#N/A,#N/A,FALSE,"Cashflows NZ$"}</definedName>
    <definedName name="fl">{#N/A,#N/A,FALSE,"Variables";#N/A,#N/A,FALSE,"NPV Cashflows NZ$";#N/A,#N/A,FALSE,"Cashflows NZ$"}</definedName>
    <definedName name="Flush_door_paint">[11]Prices!$B$196</definedName>
    <definedName name="FMICSubCost">'[16]Sub Contractors'!$N$21</definedName>
    <definedName name="FOIL" localSheetId="12">{#N/A,#N/A,FALSE,"AFR-ELC"}</definedName>
    <definedName name="FOIL" localSheetId="10">{#N/A,#N/A,FALSE,"AFR-ELC"}</definedName>
    <definedName name="FOIL" localSheetId="8">{#N/A,#N/A,FALSE,"AFR-ELC"}</definedName>
    <definedName name="FOIL" localSheetId="6">{#N/A,#N/A,FALSE,"AFR-ELC"}</definedName>
    <definedName name="FOIL" localSheetId="4">{#N/A,#N/A,FALSE,"AFR-ELC"}</definedName>
    <definedName name="FOIL" localSheetId="1">{#N/A,#N/A,FALSE,"AFR-ELC"}</definedName>
    <definedName name="FOIL" localSheetId="7">{#N/A,#N/A,FALSE,"AFR-ELC"}</definedName>
    <definedName name="FOIL" localSheetId="3">{#N/A,#N/A,FALSE,"AFR-ELC"}</definedName>
    <definedName name="FOIL" localSheetId="11">{#N/A,#N/A,FALSE,"AFR-ELC"}</definedName>
    <definedName name="FOIL" localSheetId="9">{#N/A,#N/A,FALSE,"AFR-ELC"}</definedName>
    <definedName name="FOIL" localSheetId="5">{#N/A,#N/A,FALSE,"AFR-ELC"}</definedName>
    <definedName name="FOIL" localSheetId="17">{#N/A,#N/A,FALSE,"AFR-ELC"}</definedName>
    <definedName name="FOIL" localSheetId="15">{#N/A,#N/A,FALSE,"AFR-ELC"}</definedName>
    <definedName name="FOIL" localSheetId="13">{#N/A,#N/A,FALSE,"AFR-ELC"}</definedName>
    <definedName name="FOIL" localSheetId="18">{#N/A,#N/A,FALSE,"AFR-ELC"}</definedName>
    <definedName name="FOIL" localSheetId="16">{#N/A,#N/A,FALSE,"AFR-ELC"}</definedName>
    <definedName name="FOIL" localSheetId="20">{#N/A,#N/A,FALSE,"AFR-ELC"}</definedName>
    <definedName name="FOIL" localSheetId="14">{#N/A,#N/A,FALSE,"AFR-ELC"}</definedName>
    <definedName name="FOIL">{#N/A,#N/A,FALSE,"AFR-ELC"}</definedName>
    <definedName name="Formwork_cycle">[11]Prices!$B$198</definedName>
    <definedName name="Formwork_edge_slab_150">[11]Rates!$A$105</definedName>
    <definedName name="Formwork_sides_columns">[11]Rates!$A$106</definedName>
    <definedName name="Formwork_sides_gound_beams">[15]Rates!$A$102</definedName>
    <definedName name="Formwork_sides_walls_2_5">[11]Rates!$A$108</definedName>
    <definedName name="Formwork_soffit_high_beams">[11]Rates!$A$113</definedName>
    <definedName name="Formwork_soffit_slab">[11]Rates!$A$114</definedName>
    <definedName name="frame1" localSheetId="12">#REF!</definedName>
    <definedName name="frame1" localSheetId="10">#REF!</definedName>
    <definedName name="frame1" localSheetId="6">#REF!</definedName>
    <definedName name="frame1" localSheetId="4">#REF!</definedName>
    <definedName name="frame1">#REF!</definedName>
    <definedName name="ft" localSheetId="12">#REF!</definedName>
    <definedName name="ft" localSheetId="10">#REF!</definedName>
    <definedName name="ft" localSheetId="6">#REF!</definedName>
    <definedName name="ft" localSheetId="4">#REF!</definedName>
    <definedName name="ft">#REF!</definedName>
    <definedName name="Full_Print" localSheetId="12">#REF!</definedName>
    <definedName name="Full_Print" localSheetId="10">#REF!</definedName>
    <definedName name="Full_Print" localSheetId="8">#REF!</definedName>
    <definedName name="Full_Print" localSheetId="6">#REF!</definedName>
    <definedName name="Full_Print" localSheetId="4">#REF!</definedName>
    <definedName name="Full_Print" localSheetId="1">#REF!</definedName>
    <definedName name="Full_Print" localSheetId="7">#REF!</definedName>
    <definedName name="Full_Print" localSheetId="3">#REF!</definedName>
    <definedName name="Full_Print" localSheetId="11">#REF!</definedName>
    <definedName name="Full_Print" localSheetId="9">#REF!</definedName>
    <definedName name="Full_Print" localSheetId="5">#REF!</definedName>
    <definedName name="Full_Print" localSheetId="17">#REF!</definedName>
    <definedName name="Full_Print" localSheetId="15">#REF!</definedName>
    <definedName name="Full_Print" localSheetId="13">#REF!</definedName>
    <definedName name="Full_Print" localSheetId="18">#REF!</definedName>
    <definedName name="Full_Print" localSheetId="16">#REF!</definedName>
    <definedName name="Full_Print" localSheetId="20">#REF!</definedName>
    <definedName name="Full_Print" localSheetId="14">#REF!</definedName>
    <definedName name="Full_Print">#REF!</definedName>
    <definedName name="G" localSheetId="12">#REF!</definedName>
    <definedName name="G" localSheetId="10">#REF!</definedName>
    <definedName name="G" localSheetId="8">#REF!</definedName>
    <definedName name="G" localSheetId="6">#REF!</definedName>
    <definedName name="G" localSheetId="4">#REF!</definedName>
    <definedName name="G" localSheetId="1">#REF!</definedName>
    <definedName name="G" localSheetId="7">#REF!</definedName>
    <definedName name="G" localSheetId="3">#REF!</definedName>
    <definedName name="G" localSheetId="11">#REF!</definedName>
    <definedName name="G" localSheetId="9">#REF!</definedName>
    <definedName name="G" localSheetId="5">#REF!</definedName>
    <definedName name="G" localSheetId="17">#REF!</definedName>
    <definedName name="G" localSheetId="15">#REF!</definedName>
    <definedName name="G" localSheetId="13">#REF!</definedName>
    <definedName name="G" localSheetId="18">#REF!</definedName>
    <definedName name="G" localSheetId="16">#REF!</definedName>
    <definedName name="G" localSheetId="20">#REF!</definedName>
    <definedName name="G" localSheetId="14">#REF!</definedName>
    <definedName name="G">#REF!</definedName>
    <definedName name="GAME" localSheetId="12">{#N/A,#N/A,FALSE,"AFR-ELC"}</definedName>
    <definedName name="GAME" localSheetId="10">{#N/A,#N/A,FALSE,"AFR-ELC"}</definedName>
    <definedName name="GAME" localSheetId="8">{#N/A,#N/A,FALSE,"AFR-ELC"}</definedName>
    <definedName name="GAME" localSheetId="6">{#N/A,#N/A,FALSE,"AFR-ELC"}</definedName>
    <definedName name="GAME" localSheetId="4">{#N/A,#N/A,FALSE,"AFR-ELC"}</definedName>
    <definedName name="GAME" localSheetId="1">{#N/A,#N/A,FALSE,"AFR-ELC"}</definedName>
    <definedName name="GAME" localSheetId="7">{#N/A,#N/A,FALSE,"AFR-ELC"}</definedName>
    <definedName name="GAME" localSheetId="3">{#N/A,#N/A,FALSE,"AFR-ELC"}</definedName>
    <definedName name="GAME" localSheetId="11">{#N/A,#N/A,FALSE,"AFR-ELC"}</definedName>
    <definedName name="GAME" localSheetId="9">{#N/A,#N/A,FALSE,"AFR-ELC"}</definedName>
    <definedName name="GAME" localSheetId="5">{#N/A,#N/A,FALSE,"AFR-ELC"}</definedName>
    <definedName name="GAME" localSheetId="17">{#N/A,#N/A,FALSE,"AFR-ELC"}</definedName>
    <definedName name="GAME" localSheetId="15">{#N/A,#N/A,FALSE,"AFR-ELC"}</definedName>
    <definedName name="GAME" localSheetId="13">{#N/A,#N/A,FALSE,"AFR-ELC"}</definedName>
    <definedName name="GAME" localSheetId="18">{#N/A,#N/A,FALSE,"AFR-ELC"}</definedName>
    <definedName name="GAME" localSheetId="16">{#N/A,#N/A,FALSE,"AFR-ELC"}</definedName>
    <definedName name="GAME" localSheetId="20">{#N/A,#N/A,FALSE,"AFR-ELC"}</definedName>
    <definedName name="GAME" localSheetId="14">{#N/A,#N/A,FALSE,"AFR-ELC"}</definedName>
    <definedName name="GAME">{#N/A,#N/A,FALSE,"AFR-ELC"}</definedName>
    <definedName name="gas" localSheetId="12">{#N/A,#N/A,FALSE,"AFR-ELC"}</definedName>
    <definedName name="gas" localSheetId="10">{#N/A,#N/A,FALSE,"AFR-ELC"}</definedName>
    <definedName name="gas" localSheetId="8">{#N/A,#N/A,FALSE,"AFR-ELC"}</definedName>
    <definedName name="gas" localSheetId="6">{#N/A,#N/A,FALSE,"AFR-ELC"}</definedName>
    <definedName name="gas" localSheetId="4">{#N/A,#N/A,FALSE,"AFR-ELC"}</definedName>
    <definedName name="gas" localSheetId="1">{#N/A,#N/A,FALSE,"AFR-ELC"}</definedName>
    <definedName name="gas" localSheetId="7">{#N/A,#N/A,FALSE,"AFR-ELC"}</definedName>
    <definedName name="gas" localSheetId="3">{#N/A,#N/A,FALSE,"AFR-ELC"}</definedName>
    <definedName name="gas" localSheetId="11">{#N/A,#N/A,FALSE,"AFR-ELC"}</definedName>
    <definedName name="gas" localSheetId="9">{#N/A,#N/A,FALSE,"AFR-ELC"}</definedName>
    <definedName name="gas" localSheetId="5">{#N/A,#N/A,FALSE,"AFR-ELC"}</definedName>
    <definedName name="gas" localSheetId="17">{#N/A,#N/A,FALSE,"AFR-ELC"}</definedName>
    <definedName name="gas" localSheetId="15">{#N/A,#N/A,FALSE,"AFR-ELC"}</definedName>
    <definedName name="gas" localSheetId="13">{#N/A,#N/A,FALSE,"AFR-ELC"}</definedName>
    <definedName name="gas" localSheetId="18">{#N/A,#N/A,FALSE,"AFR-ELC"}</definedName>
    <definedName name="gas" localSheetId="16">{#N/A,#N/A,FALSE,"AFR-ELC"}</definedName>
    <definedName name="gas" localSheetId="20">{#N/A,#N/A,FALSE,"AFR-ELC"}</definedName>
    <definedName name="gas" localSheetId="14">{#N/A,#N/A,FALSE,"AFR-ELC"}</definedName>
    <definedName name="gas">{#N/A,#N/A,FALSE,"AFR-ELC"}</definedName>
    <definedName name="ggg">#REF!</definedName>
    <definedName name="Gi_13">[11]Prices!$B$207</definedName>
    <definedName name="Gi_19">[11]Prices!$B$208</definedName>
    <definedName name="Gi_25">[11]Prices!$B$209</definedName>
    <definedName name="Gi_38">[11]Prices!$B$211</definedName>
    <definedName name="Gi_50">[11]Prices!$B$212</definedName>
    <definedName name="GJ" localSheetId="12">{#N/A,#N/A,FALSE,"AFR-ELC"}</definedName>
    <definedName name="GJ" localSheetId="10">{#N/A,#N/A,FALSE,"AFR-ELC"}</definedName>
    <definedName name="GJ" localSheetId="6">{#N/A,#N/A,FALSE,"AFR-ELC"}</definedName>
    <definedName name="GJ" localSheetId="4">{#N/A,#N/A,FALSE,"AFR-ELC"}</definedName>
    <definedName name="GJ">{#N/A,#N/A,FALSE,"AFR-ELC"}</definedName>
    <definedName name="GJG" localSheetId="12" hidden="1">{#N/A,#N/A,FALSE,"el.det";#N/A,#N/A,FALSE,"mu.det";#N/A,#N/A,FALSE,"ug.det";#N/A,#N/A,FALSE,"ex.det";#N/A,#N/A,FALSE,"lux.det";#N/A,#N/A,FALSE,"custom.lot";#N/A,#N/A,FALSE,"condo.att";#N/A,#N/A,FALSE,"el.att";#N/A,#N/A,FALSE,"mu.att";#N/A,#N/A,FALSE,"ex.att";#N/A,#N/A,FALSE,"lux.att";#N/A,#N/A,FALSE,"all.by.village"}</definedName>
    <definedName name="GJG" localSheetId="10" hidden="1">{#N/A,#N/A,FALSE,"el.det";#N/A,#N/A,FALSE,"mu.det";#N/A,#N/A,FALSE,"ug.det";#N/A,#N/A,FALSE,"ex.det";#N/A,#N/A,FALSE,"lux.det";#N/A,#N/A,FALSE,"custom.lot";#N/A,#N/A,FALSE,"condo.att";#N/A,#N/A,FALSE,"el.att";#N/A,#N/A,FALSE,"mu.att";#N/A,#N/A,FALSE,"ex.att";#N/A,#N/A,FALSE,"lux.att";#N/A,#N/A,FALSE,"all.by.village"}</definedName>
    <definedName name="GJG" localSheetId="6" hidden="1">{#N/A,#N/A,FALSE,"el.det";#N/A,#N/A,FALSE,"mu.det";#N/A,#N/A,FALSE,"ug.det";#N/A,#N/A,FALSE,"ex.det";#N/A,#N/A,FALSE,"lux.det";#N/A,#N/A,FALSE,"custom.lot";#N/A,#N/A,FALSE,"condo.att";#N/A,#N/A,FALSE,"el.att";#N/A,#N/A,FALSE,"mu.att";#N/A,#N/A,FALSE,"ex.att";#N/A,#N/A,FALSE,"lux.att";#N/A,#N/A,FALSE,"all.by.village"}</definedName>
    <definedName name="GJG" localSheetId="4" hidden="1">{#N/A,#N/A,FALSE,"el.det";#N/A,#N/A,FALSE,"mu.det";#N/A,#N/A,FALSE,"ug.det";#N/A,#N/A,FALSE,"ex.det";#N/A,#N/A,FALSE,"lux.det";#N/A,#N/A,FALSE,"custom.lot";#N/A,#N/A,FALSE,"condo.att";#N/A,#N/A,FALSE,"el.att";#N/A,#N/A,FALSE,"mu.att";#N/A,#N/A,FALSE,"ex.att";#N/A,#N/A,FALSE,"lux.att";#N/A,#N/A,FALSE,"all.by.village"}</definedName>
    <definedName name="GJG" hidden="1">{#N/A,#N/A,FALSE,"el.det";#N/A,#N/A,FALSE,"mu.det";#N/A,#N/A,FALSE,"ug.det";#N/A,#N/A,FALSE,"ex.det";#N/A,#N/A,FALSE,"lux.det";#N/A,#N/A,FALSE,"custom.lot";#N/A,#N/A,FALSE,"condo.att";#N/A,#N/A,FALSE,"el.att";#N/A,#N/A,FALSE,"mu.att";#N/A,#N/A,FALSE,"ex.att";#N/A,#N/A,FALSE,"lux.att";#N/A,#N/A,FALSE,"all.by.village"}</definedName>
    <definedName name="globref">INDIRECT("rc",FALSE)</definedName>
    <definedName name="Gloss_paint">[11]Prices!$B$245</definedName>
    <definedName name="Gloss_painting">[11]Rates!$A$238</definedName>
    <definedName name="Gloss_undercoat">[11]Prices!$B$246</definedName>
    <definedName name="Glue">[11]Prices!$B$247</definedName>
    <definedName name="Grader">[11]Prices!$B$248</definedName>
    <definedName name="GRANDTOTAL" localSheetId="12">#REF!</definedName>
    <definedName name="GRANDTOTAL" localSheetId="10">#REF!</definedName>
    <definedName name="GRANDTOTAL" localSheetId="8">#REF!</definedName>
    <definedName name="GRANDTOTAL" localSheetId="6">#REF!</definedName>
    <definedName name="GRANDTOTAL" localSheetId="4">#REF!</definedName>
    <definedName name="GRANDTOTAL" localSheetId="1">#REF!</definedName>
    <definedName name="GRANDTOTAL" localSheetId="2">#REF!</definedName>
    <definedName name="GRANDTOTAL" localSheetId="7">#REF!</definedName>
    <definedName name="GRANDTOTAL" localSheetId="3">#REF!</definedName>
    <definedName name="GRANDTOTAL" localSheetId="11">#REF!</definedName>
    <definedName name="GRANDTOTAL" localSheetId="9">#REF!</definedName>
    <definedName name="GRANDTOTAL" localSheetId="5">#REF!</definedName>
    <definedName name="GRANDTOTAL" localSheetId="17">#REF!</definedName>
    <definedName name="GRANDTOTAL" localSheetId="15">#REF!</definedName>
    <definedName name="GRANDTOTAL" localSheetId="13">#REF!</definedName>
    <definedName name="GRANDTOTAL" localSheetId="18">#REF!</definedName>
    <definedName name="GRANDTOTAL" localSheetId="16">#REF!</definedName>
    <definedName name="GRANDTOTAL" localSheetId="20">#REF!</definedName>
    <definedName name="GRANDTOTAL" localSheetId="14">#REF!</definedName>
    <definedName name="GRANDTOTAL">#REF!</definedName>
    <definedName name="Granite">[11]Prices!$B$249</definedName>
    <definedName name="Granite_6mm">[11]Prices!$B$250</definedName>
    <definedName name="Granite_tiles">[11]Prices!$B$252</definedName>
    <definedName name="Grano_flooring">[15]Rates!$A$202</definedName>
    <definedName name="Gross_Margin">[18]BEP!$C$11</definedName>
    <definedName name="GS.1" localSheetId="12">#REF!</definedName>
    <definedName name="GS.1" localSheetId="10">#REF!</definedName>
    <definedName name="GS.1" localSheetId="6">#REF!</definedName>
    <definedName name="GS.1" localSheetId="4">#REF!</definedName>
    <definedName name="GS.1">#REF!</definedName>
    <definedName name="GS.2" localSheetId="12">#REF!</definedName>
    <definedName name="GS.2" localSheetId="10">#REF!</definedName>
    <definedName name="GS.2" localSheetId="6">#REF!</definedName>
    <definedName name="GS.2" localSheetId="4">#REF!</definedName>
    <definedName name="GS.2">#REF!</definedName>
    <definedName name="GSUB1" localSheetId="12">#REF!</definedName>
    <definedName name="GSUB1" localSheetId="10">#REF!</definedName>
    <definedName name="GSUB1" localSheetId="6">#REF!</definedName>
    <definedName name="GSUB1" localSheetId="4">#REF!</definedName>
    <definedName name="GSUB1">#REF!</definedName>
    <definedName name="GSUB2" localSheetId="12">#REF!</definedName>
    <definedName name="GSUB2" localSheetId="10">#REF!</definedName>
    <definedName name="GSUB2" localSheetId="4">#REF!</definedName>
    <definedName name="GSUB2">#REF!</definedName>
    <definedName name="GSUB3" localSheetId="12">#REF!</definedName>
    <definedName name="GSUB3" localSheetId="10">#REF!</definedName>
    <definedName name="GSUB3" localSheetId="4">#REF!</definedName>
    <definedName name="GSUB3">#REF!</definedName>
    <definedName name="GSUB4" localSheetId="12">#REF!</definedName>
    <definedName name="GSUB4" localSheetId="10">#REF!</definedName>
    <definedName name="GSUB4" localSheetId="4">#REF!</definedName>
    <definedName name="GSUB4">#REF!</definedName>
    <definedName name="GSUB5" localSheetId="12">#REF!</definedName>
    <definedName name="GSUB5" localSheetId="10">#REF!</definedName>
    <definedName name="GSUB5" localSheetId="4">#REF!</definedName>
    <definedName name="GSUB5">#REF!</definedName>
    <definedName name="H" localSheetId="12">#REF!</definedName>
    <definedName name="H" localSheetId="10">#REF!</definedName>
    <definedName name="H" localSheetId="8">#REF!</definedName>
    <definedName name="H" localSheetId="6">#REF!</definedName>
    <definedName name="H" localSheetId="4">#REF!</definedName>
    <definedName name="H" localSheetId="1">#REF!</definedName>
    <definedName name="H" localSheetId="2">#REF!</definedName>
    <definedName name="H" localSheetId="7">#REF!</definedName>
    <definedName name="H" localSheetId="3">#REF!</definedName>
    <definedName name="H" localSheetId="11">#REF!</definedName>
    <definedName name="H" localSheetId="9">#REF!</definedName>
    <definedName name="H" localSheetId="5">#REF!</definedName>
    <definedName name="H" localSheetId="17">#REF!</definedName>
    <definedName name="H" localSheetId="15">#REF!</definedName>
    <definedName name="H" localSheetId="13">#REF!</definedName>
    <definedName name="H" localSheetId="18">#REF!</definedName>
    <definedName name="H" localSheetId="16">#REF!</definedName>
    <definedName name="H" localSheetId="20">#REF!</definedName>
    <definedName name="H" localSheetId="14">#REF!</definedName>
    <definedName name="H">#REF!</definedName>
    <definedName name="Hand_backfill">[11]Rates!$A$56</definedName>
    <definedName name="Hardcore">[11]Prices!$B$256</definedName>
    <definedName name="Hardcore_filling">[11]Rates!$A$63</definedName>
    <definedName name="Hardwood">[11]Prices!$B$257</definedName>
    <definedName name="HC" localSheetId="12">#REF!</definedName>
    <definedName name="HC" localSheetId="10">#REF!</definedName>
    <definedName name="HC" localSheetId="8">#REF!</definedName>
    <definedName name="HC" localSheetId="6">#REF!</definedName>
    <definedName name="HC" localSheetId="4">#REF!</definedName>
    <definedName name="HC" localSheetId="1">#REF!</definedName>
    <definedName name="HC" localSheetId="2">#REF!</definedName>
    <definedName name="HC" localSheetId="7">#REF!</definedName>
    <definedName name="HC" localSheetId="3">#REF!</definedName>
    <definedName name="HC" localSheetId="11">#REF!</definedName>
    <definedName name="HC" localSheetId="9">#REF!</definedName>
    <definedName name="HC" localSheetId="5">#REF!</definedName>
    <definedName name="HC" localSheetId="17">#REF!</definedName>
    <definedName name="HC" localSheetId="15">#REF!</definedName>
    <definedName name="HC" localSheetId="13">#REF!</definedName>
    <definedName name="HC" localSheetId="18">#REF!</definedName>
    <definedName name="HC" localSheetId="16">#REF!</definedName>
    <definedName name="HC" localSheetId="20">#REF!</definedName>
    <definedName name="HC" localSheetId="14">#REF!</definedName>
    <definedName name="HC">#REF!</definedName>
    <definedName name="HC0" localSheetId="12">#REF!</definedName>
    <definedName name="HC0" localSheetId="10">#REF!</definedName>
    <definedName name="HC0" localSheetId="8">#REF!</definedName>
    <definedName name="HC0" localSheetId="6">#REF!</definedName>
    <definedName name="HC0" localSheetId="4">#REF!</definedName>
    <definedName name="HC0" localSheetId="1">#REF!</definedName>
    <definedName name="HC0" localSheetId="7">#REF!</definedName>
    <definedName name="HC0" localSheetId="3">#REF!</definedName>
    <definedName name="HC0" localSheetId="11">#REF!</definedName>
    <definedName name="HC0" localSheetId="9">#REF!</definedName>
    <definedName name="HC0" localSheetId="5">#REF!</definedName>
    <definedName name="HC0" localSheetId="17">#REF!</definedName>
    <definedName name="HC0" localSheetId="15">#REF!</definedName>
    <definedName name="HC0" localSheetId="13">#REF!</definedName>
    <definedName name="HC0" localSheetId="18">#REF!</definedName>
    <definedName name="HC0" localSheetId="16">#REF!</definedName>
    <definedName name="HC0" localSheetId="20">#REF!</definedName>
    <definedName name="HC0" localSheetId="14">#REF!</definedName>
    <definedName name="HC0">#REF!</definedName>
    <definedName name="HC1_" localSheetId="12">#REF!</definedName>
    <definedName name="HC1_" localSheetId="10">#REF!</definedName>
    <definedName name="HC1_" localSheetId="4">#REF!</definedName>
    <definedName name="HC1_">#REF!</definedName>
    <definedName name="Header_Row">ROW(#REF!)</definedName>
    <definedName name="hhh" localSheetId="12">#REF!</definedName>
    <definedName name="hhh" localSheetId="10">#REF!</definedName>
    <definedName name="hhh" localSheetId="4">#REF!</definedName>
    <definedName name="hhh">#REF!</definedName>
    <definedName name="Hinges">[11]Prices!$B$258</definedName>
    <definedName name="HS" localSheetId="12">#REF!</definedName>
    <definedName name="HS" localSheetId="10">#REF!</definedName>
    <definedName name="HS" localSheetId="6">#REF!</definedName>
    <definedName name="HS" localSheetId="4">#REF!</definedName>
    <definedName name="HS" localSheetId="2">#REF!</definedName>
    <definedName name="HS">#REF!</definedName>
    <definedName name="HS0" localSheetId="12">#REF!</definedName>
    <definedName name="HS0" localSheetId="10">#REF!</definedName>
    <definedName name="HS0" localSheetId="6">#REF!</definedName>
    <definedName name="HS0" localSheetId="4">#REF!</definedName>
    <definedName name="HS0">#REF!</definedName>
    <definedName name="HTML_CodePage" hidden="1">1252</definedName>
    <definedName name="HTML_Control" localSheetId="12" hidden="1">{"'Final Summary'!$A$1:$G$86"}</definedName>
    <definedName name="HTML_Control" localSheetId="10" hidden="1">{"'Final Summary'!$A$1:$G$86"}</definedName>
    <definedName name="HTML_Control" localSheetId="8" hidden="1">{"'Final Summary'!$A$1:$G$86"}</definedName>
    <definedName name="HTML_Control" localSheetId="6" hidden="1">{"'Final Summary'!$A$1:$G$86"}</definedName>
    <definedName name="HTML_Control" localSheetId="4" hidden="1">{"'Final Summary'!$A$1:$G$86"}</definedName>
    <definedName name="HTML_Control" localSheetId="1" hidden="1">{"'Final Summary'!$A$1:$G$86"}</definedName>
    <definedName name="HTML_Control" localSheetId="7" hidden="1">{"'Final Summary'!$A$1:$G$86"}</definedName>
    <definedName name="HTML_Control" localSheetId="3" hidden="1">{"'Final Summary'!$A$1:$G$86"}</definedName>
    <definedName name="HTML_Control" localSheetId="11" hidden="1">{"'Final Summary'!$A$1:$G$86"}</definedName>
    <definedName name="HTML_Control" localSheetId="9" hidden="1">{"'Final Summary'!$A$1:$G$86"}</definedName>
    <definedName name="HTML_Control" localSheetId="5" hidden="1">{"'Final Summary'!$A$1:$G$86"}</definedName>
    <definedName name="HTML_Control" localSheetId="17" hidden="1">{"'Final Summary'!$A$1:$G$86"}</definedName>
    <definedName name="HTML_Control" localSheetId="15" hidden="1">{"'Final Summary'!$A$1:$G$86"}</definedName>
    <definedName name="HTML_Control" localSheetId="13" hidden="1">{"'Final Summary'!$A$1:$G$86"}</definedName>
    <definedName name="HTML_Control" localSheetId="18" hidden="1">{"'Final Summary'!$A$1:$G$86"}</definedName>
    <definedName name="HTML_Control" localSheetId="16" hidden="1">{"'Final Summary'!$A$1:$G$86"}</definedName>
    <definedName name="HTML_Control" localSheetId="20" hidden="1">{"'Final Summary'!$A$1:$G$86"}</definedName>
    <definedName name="HTML_Control" localSheetId="14"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uh" localSheetId="12" hidden="1">{#N/A,#N/A,FALSE,"el.det";#N/A,#N/A,FALSE,"mu.det";#N/A,#N/A,FALSE,"ug.det";#N/A,#N/A,FALSE,"ex.det";#N/A,#N/A,FALSE,"lux.det";#N/A,#N/A,FALSE,"custom.lot";#N/A,#N/A,FALSE,"condo.att";#N/A,#N/A,FALSE,"el.att";#N/A,#N/A,FALSE,"mu.att";#N/A,#N/A,FALSE,"ex.att";#N/A,#N/A,FALSE,"lux.att";#N/A,#N/A,FALSE,"all.by.village"}</definedName>
    <definedName name="huh" localSheetId="10" hidden="1">{#N/A,#N/A,FALSE,"el.det";#N/A,#N/A,FALSE,"mu.det";#N/A,#N/A,FALSE,"ug.det";#N/A,#N/A,FALSE,"ex.det";#N/A,#N/A,FALSE,"lux.det";#N/A,#N/A,FALSE,"custom.lot";#N/A,#N/A,FALSE,"condo.att";#N/A,#N/A,FALSE,"el.att";#N/A,#N/A,FALSE,"mu.att";#N/A,#N/A,FALSE,"ex.att";#N/A,#N/A,FALSE,"lux.att";#N/A,#N/A,FALSE,"all.by.village"}</definedName>
    <definedName name="huh" localSheetId="8" hidden="1">{#N/A,#N/A,FALSE,"el.det";#N/A,#N/A,FALSE,"mu.det";#N/A,#N/A,FALSE,"ug.det";#N/A,#N/A,FALSE,"ex.det";#N/A,#N/A,FALSE,"lux.det";#N/A,#N/A,FALSE,"custom.lot";#N/A,#N/A,FALSE,"condo.att";#N/A,#N/A,FALSE,"el.att";#N/A,#N/A,FALSE,"mu.att";#N/A,#N/A,FALSE,"ex.att";#N/A,#N/A,FALSE,"lux.att";#N/A,#N/A,FALSE,"all.by.village"}</definedName>
    <definedName name="huh" localSheetId="6" hidden="1">{#N/A,#N/A,FALSE,"el.det";#N/A,#N/A,FALSE,"mu.det";#N/A,#N/A,FALSE,"ug.det";#N/A,#N/A,FALSE,"ex.det";#N/A,#N/A,FALSE,"lux.det";#N/A,#N/A,FALSE,"custom.lot";#N/A,#N/A,FALSE,"condo.att";#N/A,#N/A,FALSE,"el.att";#N/A,#N/A,FALSE,"mu.att";#N/A,#N/A,FALSE,"ex.att";#N/A,#N/A,FALSE,"lux.att";#N/A,#N/A,FALSE,"all.by.village"}</definedName>
    <definedName name="huh" localSheetId="4" hidden="1">{#N/A,#N/A,FALSE,"el.det";#N/A,#N/A,FALSE,"mu.det";#N/A,#N/A,FALSE,"ug.det";#N/A,#N/A,FALSE,"ex.det";#N/A,#N/A,FALSE,"lux.det";#N/A,#N/A,FALSE,"custom.lot";#N/A,#N/A,FALSE,"condo.att";#N/A,#N/A,FALSE,"el.att";#N/A,#N/A,FALSE,"mu.att";#N/A,#N/A,FALSE,"ex.att";#N/A,#N/A,FALSE,"lux.att";#N/A,#N/A,FALSE,"all.by.village"}</definedName>
    <definedName name="huh" localSheetId="1" hidden="1">{#N/A,#N/A,FALSE,"el.det";#N/A,#N/A,FALSE,"mu.det";#N/A,#N/A,FALSE,"ug.det";#N/A,#N/A,FALSE,"ex.det";#N/A,#N/A,FALSE,"lux.det";#N/A,#N/A,FALSE,"custom.lot";#N/A,#N/A,FALSE,"condo.att";#N/A,#N/A,FALSE,"el.att";#N/A,#N/A,FALSE,"mu.att";#N/A,#N/A,FALSE,"ex.att";#N/A,#N/A,FALSE,"lux.att";#N/A,#N/A,FALSE,"all.by.village"}</definedName>
    <definedName name="huh" localSheetId="7" hidden="1">{#N/A,#N/A,FALSE,"el.det";#N/A,#N/A,FALSE,"mu.det";#N/A,#N/A,FALSE,"ug.det";#N/A,#N/A,FALSE,"ex.det";#N/A,#N/A,FALSE,"lux.det";#N/A,#N/A,FALSE,"custom.lot";#N/A,#N/A,FALSE,"condo.att";#N/A,#N/A,FALSE,"el.att";#N/A,#N/A,FALSE,"mu.att";#N/A,#N/A,FALSE,"ex.att";#N/A,#N/A,FALSE,"lux.att";#N/A,#N/A,FALSE,"all.by.village"}</definedName>
    <definedName name="huh" localSheetId="3" hidden="1">{#N/A,#N/A,FALSE,"el.det";#N/A,#N/A,FALSE,"mu.det";#N/A,#N/A,FALSE,"ug.det";#N/A,#N/A,FALSE,"ex.det";#N/A,#N/A,FALSE,"lux.det";#N/A,#N/A,FALSE,"custom.lot";#N/A,#N/A,FALSE,"condo.att";#N/A,#N/A,FALSE,"el.att";#N/A,#N/A,FALSE,"mu.att";#N/A,#N/A,FALSE,"ex.att";#N/A,#N/A,FALSE,"lux.att";#N/A,#N/A,FALSE,"all.by.village"}</definedName>
    <definedName name="huh" localSheetId="11" hidden="1">{#N/A,#N/A,FALSE,"el.det";#N/A,#N/A,FALSE,"mu.det";#N/A,#N/A,FALSE,"ug.det";#N/A,#N/A,FALSE,"ex.det";#N/A,#N/A,FALSE,"lux.det";#N/A,#N/A,FALSE,"custom.lot";#N/A,#N/A,FALSE,"condo.att";#N/A,#N/A,FALSE,"el.att";#N/A,#N/A,FALSE,"mu.att";#N/A,#N/A,FALSE,"ex.att";#N/A,#N/A,FALSE,"lux.att";#N/A,#N/A,FALSE,"all.by.village"}</definedName>
    <definedName name="huh" localSheetId="9" hidden="1">{#N/A,#N/A,FALSE,"el.det";#N/A,#N/A,FALSE,"mu.det";#N/A,#N/A,FALSE,"ug.det";#N/A,#N/A,FALSE,"ex.det";#N/A,#N/A,FALSE,"lux.det";#N/A,#N/A,FALSE,"custom.lot";#N/A,#N/A,FALSE,"condo.att";#N/A,#N/A,FALSE,"el.att";#N/A,#N/A,FALSE,"mu.att";#N/A,#N/A,FALSE,"ex.att";#N/A,#N/A,FALSE,"lux.att";#N/A,#N/A,FALSE,"all.by.village"}</definedName>
    <definedName name="huh" localSheetId="5" hidden="1">{#N/A,#N/A,FALSE,"el.det";#N/A,#N/A,FALSE,"mu.det";#N/A,#N/A,FALSE,"ug.det";#N/A,#N/A,FALSE,"ex.det";#N/A,#N/A,FALSE,"lux.det";#N/A,#N/A,FALSE,"custom.lot";#N/A,#N/A,FALSE,"condo.att";#N/A,#N/A,FALSE,"el.att";#N/A,#N/A,FALSE,"mu.att";#N/A,#N/A,FALSE,"ex.att";#N/A,#N/A,FALSE,"lux.att";#N/A,#N/A,FALSE,"all.by.village"}</definedName>
    <definedName name="huh" localSheetId="17" hidden="1">{#N/A,#N/A,FALSE,"el.det";#N/A,#N/A,FALSE,"mu.det";#N/A,#N/A,FALSE,"ug.det";#N/A,#N/A,FALSE,"ex.det";#N/A,#N/A,FALSE,"lux.det";#N/A,#N/A,FALSE,"custom.lot";#N/A,#N/A,FALSE,"condo.att";#N/A,#N/A,FALSE,"el.att";#N/A,#N/A,FALSE,"mu.att";#N/A,#N/A,FALSE,"ex.att";#N/A,#N/A,FALSE,"lux.att";#N/A,#N/A,FALSE,"all.by.village"}</definedName>
    <definedName name="huh" localSheetId="15" hidden="1">{#N/A,#N/A,FALSE,"el.det";#N/A,#N/A,FALSE,"mu.det";#N/A,#N/A,FALSE,"ug.det";#N/A,#N/A,FALSE,"ex.det";#N/A,#N/A,FALSE,"lux.det";#N/A,#N/A,FALSE,"custom.lot";#N/A,#N/A,FALSE,"condo.att";#N/A,#N/A,FALSE,"el.att";#N/A,#N/A,FALSE,"mu.att";#N/A,#N/A,FALSE,"ex.att";#N/A,#N/A,FALSE,"lux.att";#N/A,#N/A,FALSE,"all.by.village"}</definedName>
    <definedName name="huh" localSheetId="13" hidden="1">{#N/A,#N/A,FALSE,"el.det";#N/A,#N/A,FALSE,"mu.det";#N/A,#N/A,FALSE,"ug.det";#N/A,#N/A,FALSE,"ex.det";#N/A,#N/A,FALSE,"lux.det";#N/A,#N/A,FALSE,"custom.lot";#N/A,#N/A,FALSE,"condo.att";#N/A,#N/A,FALSE,"el.att";#N/A,#N/A,FALSE,"mu.att";#N/A,#N/A,FALSE,"ex.att";#N/A,#N/A,FALSE,"lux.att";#N/A,#N/A,FALSE,"all.by.village"}</definedName>
    <definedName name="huh" localSheetId="18" hidden="1">{#N/A,#N/A,FALSE,"el.det";#N/A,#N/A,FALSE,"mu.det";#N/A,#N/A,FALSE,"ug.det";#N/A,#N/A,FALSE,"ex.det";#N/A,#N/A,FALSE,"lux.det";#N/A,#N/A,FALSE,"custom.lot";#N/A,#N/A,FALSE,"condo.att";#N/A,#N/A,FALSE,"el.att";#N/A,#N/A,FALSE,"mu.att";#N/A,#N/A,FALSE,"ex.att";#N/A,#N/A,FALSE,"lux.att";#N/A,#N/A,FALSE,"all.by.village"}</definedName>
    <definedName name="huh" localSheetId="16" hidden="1">{#N/A,#N/A,FALSE,"el.det";#N/A,#N/A,FALSE,"mu.det";#N/A,#N/A,FALSE,"ug.det";#N/A,#N/A,FALSE,"ex.det";#N/A,#N/A,FALSE,"lux.det";#N/A,#N/A,FALSE,"custom.lot";#N/A,#N/A,FALSE,"condo.att";#N/A,#N/A,FALSE,"el.att";#N/A,#N/A,FALSE,"mu.att";#N/A,#N/A,FALSE,"ex.att";#N/A,#N/A,FALSE,"lux.att";#N/A,#N/A,FALSE,"all.by.village"}</definedName>
    <definedName name="huh" localSheetId="20" hidden="1">{#N/A,#N/A,FALSE,"el.det";#N/A,#N/A,FALSE,"mu.det";#N/A,#N/A,FALSE,"ug.det";#N/A,#N/A,FALSE,"ex.det";#N/A,#N/A,FALSE,"lux.det";#N/A,#N/A,FALSE,"custom.lot";#N/A,#N/A,FALSE,"condo.att";#N/A,#N/A,FALSE,"el.att";#N/A,#N/A,FALSE,"mu.att";#N/A,#N/A,FALSE,"ex.att";#N/A,#N/A,FALSE,"lux.att";#N/A,#N/A,FALSE,"all.by.village"}</definedName>
    <definedName name="huh" localSheetId="14" hidden="1">{#N/A,#N/A,FALSE,"el.det";#N/A,#N/A,FALSE,"mu.det";#N/A,#N/A,FALSE,"ug.det";#N/A,#N/A,FALSE,"ex.det";#N/A,#N/A,FALSE,"lux.det";#N/A,#N/A,FALSE,"custom.lot";#N/A,#N/A,FALSE,"condo.att";#N/A,#N/A,FALSE,"el.att";#N/A,#N/A,FALSE,"mu.att";#N/A,#N/A,FALSE,"ex.att";#N/A,#N/A,FALSE,"lux.att";#N/A,#N/A,FALSE,"all.by.village"}</definedName>
    <definedName name="huh" hidden="1">{#N/A,#N/A,FALSE,"el.det";#N/A,#N/A,FALSE,"mu.det";#N/A,#N/A,FALSE,"ug.det";#N/A,#N/A,FALSE,"ex.det";#N/A,#N/A,FALSE,"lux.det";#N/A,#N/A,FALSE,"custom.lot";#N/A,#N/A,FALSE,"condo.att";#N/A,#N/A,FALSE,"el.att";#N/A,#N/A,FALSE,"mu.att";#N/A,#N/A,FALSE,"ex.att";#N/A,#N/A,FALSE,"lux.att";#N/A,#N/A,FALSE,"all.by.village"}</definedName>
    <definedName name="Hy_reinforcement">[11]Rates!$A$95</definedName>
    <definedName name="Hy_steel">[11]Prices!$B$259</definedName>
    <definedName name="I" localSheetId="12">#REF!</definedName>
    <definedName name="I" localSheetId="10">#REF!</definedName>
    <definedName name="I" localSheetId="8">#REF!</definedName>
    <definedName name="I" localSheetId="6">#REF!</definedName>
    <definedName name="I" localSheetId="4">#REF!</definedName>
    <definedName name="I" localSheetId="1">#REF!</definedName>
    <definedName name="I" localSheetId="2">#REF!</definedName>
    <definedName name="I" localSheetId="7">#REF!</definedName>
    <definedName name="I" localSheetId="3">#REF!</definedName>
    <definedName name="I" localSheetId="11">#REF!</definedName>
    <definedName name="I" localSheetId="9">#REF!</definedName>
    <definedName name="I" localSheetId="5">#REF!</definedName>
    <definedName name="I" localSheetId="17">#REF!</definedName>
    <definedName name="I" localSheetId="15">#REF!</definedName>
    <definedName name="I" localSheetId="13">#REF!</definedName>
    <definedName name="I" localSheetId="18">#REF!</definedName>
    <definedName name="I" localSheetId="16">#REF!</definedName>
    <definedName name="I" localSheetId="20">#REF!</definedName>
    <definedName name="I" localSheetId="14">#REF!</definedName>
    <definedName name="I">#REF!</definedName>
    <definedName name="iii" localSheetId="12">#REF!</definedName>
    <definedName name="iii" localSheetId="10">#REF!</definedName>
    <definedName name="iii" localSheetId="4">#REF!</definedName>
    <definedName name="iii">#REF!</definedName>
    <definedName name="im" localSheetId="12">[11]BOQ!#REF!</definedName>
    <definedName name="im" localSheetId="10">[11]BOQ!#REF!</definedName>
    <definedName name="im" localSheetId="4">[11]BOQ!#REF!</definedName>
    <definedName name="im">[11]BOQ!#REF!</definedName>
    <definedName name="impxrate">132</definedName>
    <definedName name="IN" localSheetId="12">#REF!</definedName>
    <definedName name="IN" localSheetId="10">#REF!</definedName>
    <definedName name="IN" localSheetId="8">#REF!</definedName>
    <definedName name="IN" localSheetId="6">#REF!</definedName>
    <definedName name="IN" localSheetId="4">#REF!</definedName>
    <definedName name="IN" localSheetId="1">#REF!</definedName>
    <definedName name="IN" localSheetId="2">#REF!</definedName>
    <definedName name="IN" localSheetId="7">#REF!</definedName>
    <definedName name="IN" localSheetId="3">#REF!</definedName>
    <definedName name="IN" localSheetId="11">#REF!</definedName>
    <definedName name="IN" localSheetId="9">#REF!</definedName>
    <definedName name="IN" localSheetId="5">#REF!</definedName>
    <definedName name="IN" localSheetId="17">#REF!</definedName>
    <definedName name="IN" localSheetId="15">#REF!</definedName>
    <definedName name="IN" localSheetId="13">#REF!</definedName>
    <definedName name="IN" localSheetId="18">#REF!</definedName>
    <definedName name="IN" localSheetId="16">#REF!</definedName>
    <definedName name="IN" localSheetId="20">#REF!</definedName>
    <definedName name="IN" localSheetId="14">#REF!</definedName>
    <definedName name="IN">#REF!</definedName>
    <definedName name="IN0" localSheetId="12">#REF!</definedName>
    <definedName name="IN0" localSheetId="10">#REF!</definedName>
    <definedName name="IN0" localSheetId="8">#REF!</definedName>
    <definedName name="IN0" localSheetId="6">#REF!</definedName>
    <definedName name="IN0" localSheetId="4">#REF!</definedName>
    <definedName name="IN0" localSheetId="1">#REF!</definedName>
    <definedName name="IN0" localSheetId="7">#REF!</definedName>
    <definedName name="IN0" localSheetId="3">#REF!</definedName>
    <definedName name="IN0" localSheetId="11">#REF!</definedName>
    <definedName name="IN0" localSheetId="9">#REF!</definedName>
    <definedName name="IN0" localSheetId="5">#REF!</definedName>
    <definedName name="IN0" localSheetId="17">#REF!</definedName>
    <definedName name="IN0" localSheetId="15">#REF!</definedName>
    <definedName name="IN0" localSheetId="13">#REF!</definedName>
    <definedName name="IN0" localSheetId="18">#REF!</definedName>
    <definedName name="IN0" localSheetId="16">#REF!</definedName>
    <definedName name="IN0" localSheetId="20">#REF!</definedName>
    <definedName name="IN0" localSheetId="14">#REF!</definedName>
    <definedName name="IN0">#REF!</definedName>
    <definedName name="Inflation">[19]Summary!$C$31</definedName>
    <definedName name="Int" localSheetId="12">#REF!</definedName>
    <definedName name="Int" localSheetId="10">#REF!</definedName>
    <definedName name="Int" localSheetId="8">#REF!</definedName>
    <definedName name="Int" localSheetId="6">#REF!</definedName>
    <definedName name="Int" localSheetId="4">#REF!</definedName>
    <definedName name="Int" localSheetId="1">#REF!</definedName>
    <definedName name="Int" localSheetId="7">#REF!</definedName>
    <definedName name="Int" localSheetId="3">#REF!</definedName>
    <definedName name="Int" localSheetId="11">#REF!</definedName>
    <definedName name="Int" localSheetId="9">#REF!</definedName>
    <definedName name="Int" localSheetId="5">#REF!</definedName>
    <definedName name="Int" localSheetId="17">#REF!</definedName>
    <definedName name="Int" localSheetId="15">#REF!</definedName>
    <definedName name="Int" localSheetId="13">#REF!</definedName>
    <definedName name="Int" localSheetId="18">#REF!</definedName>
    <definedName name="Int" localSheetId="16">#REF!</definedName>
    <definedName name="Int" localSheetId="20">#REF!</definedName>
    <definedName name="Int" localSheetId="14">#REF!</definedName>
    <definedName name="Int">#REF!</definedName>
    <definedName name="Interest_Rate" localSheetId="12">#REF!</definedName>
    <definedName name="Interest_Rate" localSheetId="10">#REF!</definedName>
    <definedName name="Interest_Rate" localSheetId="8">#REF!</definedName>
    <definedName name="Interest_Rate" localSheetId="6">#REF!</definedName>
    <definedName name="Interest_Rate" localSheetId="4">#REF!</definedName>
    <definedName name="Interest_Rate" localSheetId="1">#REF!</definedName>
    <definedName name="Interest_Rate" localSheetId="7">#REF!</definedName>
    <definedName name="Interest_Rate" localSheetId="3">#REF!</definedName>
    <definedName name="Interest_Rate" localSheetId="11">#REF!</definedName>
    <definedName name="Interest_Rate" localSheetId="9">#REF!</definedName>
    <definedName name="Interest_Rate" localSheetId="5">#REF!</definedName>
    <definedName name="Interest_Rate" localSheetId="17">#REF!</definedName>
    <definedName name="Interest_Rate" localSheetId="15">#REF!</definedName>
    <definedName name="Interest_Rate" localSheetId="13">#REF!</definedName>
    <definedName name="Interest_Rate" localSheetId="18">#REF!</definedName>
    <definedName name="Interest_Rate" localSheetId="16">#REF!</definedName>
    <definedName name="Interest_Rate" localSheetId="20">#REF!</definedName>
    <definedName name="Interest_Rate" localSheetId="14">#REF!</definedName>
    <definedName name="Interest_Rate">#REF!</definedName>
    <definedName name="Internal_plaster_15mm_1_4">[11]Rates!$A$216</definedName>
    <definedName name="Internal_plaster_15mm_1_4_ceiling">[15]Rates!$A$217</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100000</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"10/27/2016 13:42:33"</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50000</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jamb" localSheetId="12" hidden="1">{#N/A,#N/A,FALSE,"AFR-ELC"}</definedName>
    <definedName name="jamb" localSheetId="10" hidden="1">{#N/A,#N/A,FALSE,"AFR-ELC"}</definedName>
    <definedName name="jamb" localSheetId="8" hidden="1">{#N/A,#N/A,FALSE,"AFR-ELC"}</definedName>
    <definedName name="jamb" localSheetId="6" hidden="1">{#N/A,#N/A,FALSE,"AFR-ELC"}</definedName>
    <definedName name="jamb" localSheetId="4" hidden="1">{#N/A,#N/A,FALSE,"AFR-ELC"}</definedName>
    <definedName name="jamb" localSheetId="1" hidden="1">{#N/A,#N/A,FALSE,"AFR-ELC"}</definedName>
    <definedName name="jamb" localSheetId="7" hidden="1">{#N/A,#N/A,FALSE,"AFR-ELC"}</definedName>
    <definedName name="jamb" localSheetId="3" hidden="1">{#N/A,#N/A,FALSE,"AFR-ELC"}</definedName>
    <definedName name="jamb" localSheetId="11" hidden="1">{#N/A,#N/A,FALSE,"AFR-ELC"}</definedName>
    <definedName name="jamb" localSheetId="9" hidden="1">{#N/A,#N/A,FALSE,"AFR-ELC"}</definedName>
    <definedName name="jamb" localSheetId="5" hidden="1">{#N/A,#N/A,FALSE,"AFR-ELC"}</definedName>
    <definedName name="jamb" localSheetId="17" hidden="1">{#N/A,#N/A,FALSE,"AFR-ELC"}</definedName>
    <definedName name="jamb" localSheetId="15" hidden="1">{#N/A,#N/A,FALSE,"AFR-ELC"}</definedName>
    <definedName name="jamb" localSheetId="13" hidden="1">{#N/A,#N/A,FALSE,"AFR-ELC"}</definedName>
    <definedName name="jamb" localSheetId="18" hidden="1">{#N/A,#N/A,FALSE,"AFR-ELC"}</definedName>
    <definedName name="jamb" localSheetId="16" hidden="1">{#N/A,#N/A,FALSE,"AFR-ELC"}</definedName>
    <definedName name="jamb" localSheetId="20" hidden="1">{#N/A,#N/A,FALSE,"AFR-ELC"}</definedName>
    <definedName name="jamb" localSheetId="14" hidden="1">{#N/A,#N/A,FALSE,"AFR-ELC"}</definedName>
    <definedName name="jamb" hidden="1">{#N/A,#N/A,FALSE,"AFR-ELC"}</definedName>
    <definedName name="jjj">#REF!</definedName>
    <definedName name="K" localSheetId="12">#REF!</definedName>
    <definedName name="K" localSheetId="10">#REF!</definedName>
    <definedName name="K" localSheetId="8">#REF!</definedName>
    <definedName name="K" localSheetId="6">#REF!</definedName>
    <definedName name="K" localSheetId="4">#REF!</definedName>
    <definedName name="K" localSheetId="1">#REF!</definedName>
    <definedName name="K" localSheetId="2">#REF!</definedName>
    <definedName name="K" localSheetId="7">#REF!</definedName>
    <definedName name="K" localSheetId="3">#REF!</definedName>
    <definedName name="K" localSheetId="11">#REF!</definedName>
    <definedName name="K" localSheetId="9">#REF!</definedName>
    <definedName name="K" localSheetId="5">#REF!</definedName>
    <definedName name="K" localSheetId="17">#REF!</definedName>
    <definedName name="K" localSheetId="15">#REF!</definedName>
    <definedName name="K" localSheetId="13">#REF!</definedName>
    <definedName name="K" localSheetId="18">#REF!</definedName>
    <definedName name="K" localSheetId="16">#REF!</definedName>
    <definedName name="K" localSheetId="20">#REF!</definedName>
    <definedName name="K" localSheetId="14">#REF!</definedName>
    <definedName name="K">#REF!</definedName>
    <definedName name="kat" localSheetId="12" hidden="1">{#N/A,#N/A,FALSE,"Elect B.O.Q";#N/A,#N/A,FALSE,"Plumbing b.O.Q";#N/A,#N/A,FALSE,"Ac B.O.Q"}</definedName>
    <definedName name="kat" localSheetId="10" hidden="1">{#N/A,#N/A,FALSE,"Elect B.O.Q";#N/A,#N/A,FALSE,"Plumbing b.O.Q";#N/A,#N/A,FALSE,"Ac B.O.Q"}</definedName>
    <definedName name="kat" localSheetId="6" hidden="1">{#N/A,#N/A,FALSE,"Elect B.O.Q";#N/A,#N/A,FALSE,"Plumbing b.O.Q";#N/A,#N/A,FALSE,"Ac B.O.Q"}</definedName>
    <definedName name="kat" localSheetId="4" hidden="1">{#N/A,#N/A,FALSE,"Elect B.O.Q";#N/A,#N/A,FALSE,"Plumbing b.O.Q";#N/A,#N/A,FALSE,"Ac B.O.Q"}</definedName>
    <definedName name="kat" localSheetId="2" hidden="1">{#N/A,#N/A,FALSE,"Elect B.O.Q";#N/A,#N/A,FALSE,"Plumbing b.O.Q";#N/A,#N/A,FALSE,"Ac B.O.Q"}</definedName>
    <definedName name="kat" hidden="1">{#N/A,#N/A,FALSE,"Elect B.O.Q";#N/A,#N/A,FALSE,"Plumbing b.O.Q";#N/A,#N/A,FALSE,"Ac B.O.Q"}</definedName>
    <definedName name="katsina" localSheetId="12" hidden="1">{#N/A,#N/A,FALSE,"Elect B.O.Q";#N/A,#N/A,FALSE,"Plumbing b.O.Q";#N/A,#N/A,FALSE,"Ac B.O.Q"}</definedName>
    <definedName name="katsina" localSheetId="10" hidden="1">{#N/A,#N/A,FALSE,"Elect B.O.Q";#N/A,#N/A,FALSE,"Plumbing b.O.Q";#N/A,#N/A,FALSE,"Ac B.O.Q"}</definedName>
    <definedName name="katsina" localSheetId="6" hidden="1">{#N/A,#N/A,FALSE,"Elect B.O.Q";#N/A,#N/A,FALSE,"Plumbing b.O.Q";#N/A,#N/A,FALSE,"Ac B.O.Q"}</definedName>
    <definedName name="katsina" localSheetId="4" hidden="1">{#N/A,#N/A,FALSE,"Elect B.O.Q";#N/A,#N/A,FALSE,"Plumbing b.O.Q";#N/A,#N/A,FALSE,"Ac B.O.Q"}</definedName>
    <definedName name="katsina" localSheetId="2" hidden="1">{#N/A,#N/A,FALSE,"Elect B.O.Q";#N/A,#N/A,FALSE,"Plumbing b.O.Q";#N/A,#N/A,FALSE,"Ac B.O.Q"}</definedName>
    <definedName name="katsina" hidden="1">{#N/A,#N/A,FALSE,"Elect B.O.Q";#N/A,#N/A,FALSE,"Plumbing b.O.Q";#N/A,#N/A,FALSE,"Ac B.O.Q"}</definedName>
    <definedName name="kkk">#REF!</definedName>
    <definedName name="L" localSheetId="12">#REF!</definedName>
    <definedName name="L" localSheetId="10">#REF!</definedName>
    <definedName name="L" localSheetId="8">#REF!</definedName>
    <definedName name="L" localSheetId="6">#REF!</definedName>
    <definedName name="L" localSheetId="4">#REF!</definedName>
    <definedName name="L" localSheetId="1">#REF!</definedName>
    <definedName name="L" localSheetId="7">#REF!</definedName>
    <definedName name="L" localSheetId="3">#REF!</definedName>
    <definedName name="L" localSheetId="11">#REF!</definedName>
    <definedName name="L" localSheetId="9">#REF!</definedName>
    <definedName name="L" localSheetId="5">#REF!</definedName>
    <definedName name="L" localSheetId="17">#REF!</definedName>
    <definedName name="L" localSheetId="15">#REF!</definedName>
    <definedName name="L" localSheetId="13">#REF!</definedName>
    <definedName name="L" localSheetId="18">#REF!</definedName>
    <definedName name="L" localSheetId="16">#REF!</definedName>
    <definedName name="L" localSheetId="20">#REF!</definedName>
    <definedName name="L" localSheetId="14">#REF!</definedName>
    <definedName name="L">#REF!</definedName>
    <definedName name="Labour_direct">[11]Prices!$B$264</definedName>
    <definedName name="Labour_sc">[11]Prices!$B$265</definedName>
    <definedName name="Land_Residual" localSheetId="12">#REF!</definedName>
    <definedName name="Land_Residual" localSheetId="10">#REF!</definedName>
    <definedName name="Land_Residual" localSheetId="8">#REF!</definedName>
    <definedName name="Land_Residual" localSheetId="6">#REF!</definedName>
    <definedName name="Land_Residual" localSheetId="4">#REF!</definedName>
    <definedName name="Land_Residual" localSheetId="1">#REF!</definedName>
    <definedName name="Land_Residual" localSheetId="7">#REF!</definedName>
    <definedName name="Land_Residual" localSheetId="3">#REF!</definedName>
    <definedName name="Land_Residual" localSheetId="11">#REF!</definedName>
    <definedName name="Land_Residual" localSheetId="9">#REF!</definedName>
    <definedName name="Land_Residual" localSheetId="5">#REF!</definedName>
    <definedName name="Land_Residual" localSheetId="17">#REF!</definedName>
    <definedName name="Land_Residual" localSheetId="15">#REF!</definedName>
    <definedName name="Land_Residual" localSheetId="13">#REF!</definedName>
    <definedName name="Land_Residual" localSheetId="18">#REF!</definedName>
    <definedName name="Land_Residual" localSheetId="16">#REF!</definedName>
    <definedName name="Land_Residual" localSheetId="20">#REF!</definedName>
    <definedName name="Land_Residual" localSheetId="14">#REF!</definedName>
    <definedName name="Land_Residual">#REF!</definedName>
    <definedName name="Last_Row" localSheetId="12">IF('2BD BLK FLAT '!Values_Entered,[0]!Header_Row+'2BD BLK FLAT '!Number_of_Payments,[0]!Header_Row)</definedName>
    <definedName name="Last_Row" localSheetId="10">IF('3BD BLK FLAT'!Values_Entered,[0]!Header_Row+'3BD BLK FLAT'!Number_of_Payments,[0]!Header_Row)</definedName>
    <definedName name="Last_Row" localSheetId="8">IF('3BD TERRACE'!Values_Entered,Header_Row+'3BD TERRACE'!Number_of_Payments,Header_Row)</definedName>
    <definedName name="Last_Row" localSheetId="6">IF('4BD SEMI-DETACHED'!Values_Entered,Header_Row+'4BD SEMI-DETACHED'!Number_of_Payments,Header_Row)</definedName>
    <definedName name="Last_Row" localSheetId="4">IF('6BD detatched'!Values_Entered,Header_Row+'6BD detatched'!Number_of_Payments,Header_Row)</definedName>
    <definedName name="Last_Row" localSheetId="1">IF('BILL (2)'!Values_Entered,Header_Row+'BILL (2)'!Number_of_Payments,Header_Row)</definedName>
    <definedName name="Last_Row" localSheetId="7">IF('Cover page (3 bd terrace'!Values_Entered,Header_Row+'Cover page (3 bd terrace'!Number_of_Payments,Header_Row)</definedName>
    <definedName name="Last_Row" localSheetId="3">IF('Cover page (6bd'!Values_Entered,[0]!Header_Row+'Cover page (6bd'!Number_of_Payments,[0]!Header_Row)</definedName>
    <definedName name="Last_Row" localSheetId="11">IF('cover page 2BD BLK FLAT'!Values_Entered,Header_Row+'cover page 2BD BLK FLAT'!Number_of_Payments,Header_Row)</definedName>
    <definedName name="Last_Row" localSheetId="9">IF('Cover page 3BD BLK FLAT'!Values_Entered,[0]!Header_Row+'Cover page 3BD BLK FLAT'!Number_of_Payments,[0]!Header_Row)</definedName>
    <definedName name="Last_Row" localSheetId="5">IF('Cover page 4bd semi detached'!Values_Entered,[0]!Header_Row+'Cover page 4bd semi detached'!Number_of_Payments,[0]!Header_Row)</definedName>
    <definedName name="Last_Row" localSheetId="17">IF('Cover page fence'!Values_Entered,Header_Row+'Cover page fence'!Number_of_Payments,Header_Row)</definedName>
    <definedName name="Last_Row" localSheetId="15">IF('Cover page GATEhouse'!Values_Entered,[0]!Header_Row+'Cover page GATEhouse'!Number_of_Payments,[0]!Header_Row)</definedName>
    <definedName name="Last_Row" localSheetId="13">IF('Cover page site office'!Values_Entered,Header_Row+'Cover page site office'!Number_of_Payments,Header_Row)</definedName>
    <definedName name="Last_Row" localSheetId="18">IF('Fence work '!Values_Entered,Header_Row+'Fence work '!Number_of_Payments,Header_Row)</definedName>
    <definedName name="Last_Row" localSheetId="16">IF('GATE HOUSE'!Values_Entered,Header_Row+'GATE HOUSE'!Number_of_Payments,Header_Row)</definedName>
    <definedName name="Last_Row" localSheetId="20">IF('General Summary'!Values_Entered,Header_Row+'General Summary'!Number_of_Payments,Header_Row)</definedName>
    <definedName name="Last_Row" localSheetId="14">IF('Site office'!Values_Entered,Header_Row+'Site office'!Number_of_Payments,Header_Row)</definedName>
    <definedName name="Last_Row">IF(Values_Entered,Header_Row+Number_of_Payments,Header_Row)</definedName>
    <definedName name="lastcell" localSheetId="12">'[20]Oct-99'!#REF!</definedName>
    <definedName name="lastcell" localSheetId="10">'[20]Oct-99'!#REF!</definedName>
    <definedName name="lastcell" localSheetId="8">'[20]Oct-99'!#REF!</definedName>
    <definedName name="lastcell" localSheetId="6">'[20]Oct-99'!#REF!</definedName>
    <definedName name="lastcell" localSheetId="4">'[20]Oct-99'!#REF!</definedName>
    <definedName name="lastcell" localSheetId="1">'[20]Oct-99'!#REF!</definedName>
    <definedName name="lastcell" localSheetId="7">'[20]Oct-99'!#REF!</definedName>
    <definedName name="lastcell" localSheetId="3">'[20]Oct-99'!#REF!</definedName>
    <definedName name="lastcell" localSheetId="11">'[20]Oct-99'!#REF!</definedName>
    <definedName name="lastcell" localSheetId="9">'[20]Oct-99'!#REF!</definedName>
    <definedName name="lastcell" localSheetId="5">'[20]Oct-99'!#REF!</definedName>
    <definedName name="lastcell" localSheetId="17">'[20]Oct-99'!#REF!</definedName>
    <definedName name="lastcell" localSheetId="15">'[20]Oct-99'!#REF!</definedName>
    <definedName name="lastcell" localSheetId="13">'[20]Oct-99'!#REF!</definedName>
    <definedName name="lastcell" localSheetId="18">'[20]Oct-99'!#REF!</definedName>
    <definedName name="lastcell" localSheetId="16">'[20]Oct-99'!#REF!</definedName>
    <definedName name="lastcell" localSheetId="20">'[20]Oct-99'!#REF!</definedName>
    <definedName name="lastcell" localSheetId="14">'[20]Oct-99'!#REF!</definedName>
    <definedName name="lastcell">'[20]Oct-99'!#REF!</definedName>
    <definedName name="lll" localSheetId="12">#REF!</definedName>
    <definedName name="lll" localSheetId="10">#REF!</definedName>
    <definedName name="lll" localSheetId="6">#REF!</definedName>
    <definedName name="lll" localSheetId="4">#REF!</definedName>
    <definedName name="lll">#REF!</definedName>
    <definedName name="LO" localSheetId="12">#REF!</definedName>
    <definedName name="LO" localSheetId="10">#REF!</definedName>
    <definedName name="LO" localSheetId="8">#REF!</definedName>
    <definedName name="LO" localSheetId="6">#REF!</definedName>
    <definedName name="LO" localSheetId="4">#REF!</definedName>
    <definedName name="LO" localSheetId="1">#REF!</definedName>
    <definedName name="LO" localSheetId="2">#REF!</definedName>
    <definedName name="LO" localSheetId="7">#REF!</definedName>
    <definedName name="LO" localSheetId="3">#REF!</definedName>
    <definedName name="LO" localSheetId="11">#REF!</definedName>
    <definedName name="LO" localSheetId="9">#REF!</definedName>
    <definedName name="LO" localSheetId="5">#REF!</definedName>
    <definedName name="LO" localSheetId="17">#REF!</definedName>
    <definedName name="LO" localSheetId="15">#REF!</definedName>
    <definedName name="LO" localSheetId="13">#REF!</definedName>
    <definedName name="LO" localSheetId="18">#REF!</definedName>
    <definedName name="LO" localSheetId="16">#REF!</definedName>
    <definedName name="LO" localSheetId="20">#REF!</definedName>
    <definedName name="LO" localSheetId="14">#REF!</definedName>
    <definedName name="LO">#REF!</definedName>
    <definedName name="LO0" localSheetId="12">#REF!</definedName>
    <definedName name="LO0" localSheetId="10">#REF!</definedName>
    <definedName name="LO0" localSheetId="8">#REF!</definedName>
    <definedName name="LO0" localSheetId="6">#REF!</definedName>
    <definedName name="LO0" localSheetId="4">#REF!</definedName>
    <definedName name="LO0" localSheetId="1">#REF!</definedName>
    <definedName name="LO0" localSheetId="7">#REF!</definedName>
    <definedName name="LO0" localSheetId="3">#REF!</definedName>
    <definedName name="LO0" localSheetId="11">#REF!</definedName>
    <definedName name="LO0" localSheetId="9">#REF!</definedName>
    <definedName name="LO0" localSheetId="5">#REF!</definedName>
    <definedName name="LO0" localSheetId="17">#REF!</definedName>
    <definedName name="LO0" localSheetId="15">#REF!</definedName>
    <definedName name="LO0" localSheetId="13">#REF!</definedName>
    <definedName name="LO0" localSheetId="18">#REF!</definedName>
    <definedName name="LO0" localSheetId="16">#REF!</definedName>
    <definedName name="LO0" localSheetId="20">#REF!</definedName>
    <definedName name="LO0" localSheetId="14">#REF!</definedName>
    <definedName name="LO0">#REF!</definedName>
    <definedName name="Loan_Amount" localSheetId="12">#REF!</definedName>
    <definedName name="Loan_Amount" localSheetId="10">#REF!</definedName>
    <definedName name="Loan_Amount" localSheetId="8">#REF!</definedName>
    <definedName name="Loan_Amount" localSheetId="6">#REF!</definedName>
    <definedName name="Loan_Amount" localSheetId="4">#REF!</definedName>
    <definedName name="Loan_Amount" localSheetId="1">#REF!</definedName>
    <definedName name="Loan_Amount" localSheetId="7">#REF!</definedName>
    <definedName name="Loan_Amount" localSheetId="3">#REF!</definedName>
    <definedName name="Loan_Amount" localSheetId="11">#REF!</definedName>
    <definedName name="Loan_Amount" localSheetId="9">#REF!</definedName>
    <definedName name="Loan_Amount" localSheetId="5">#REF!</definedName>
    <definedName name="Loan_Amount" localSheetId="17">#REF!</definedName>
    <definedName name="Loan_Amount" localSheetId="15">#REF!</definedName>
    <definedName name="Loan_Amount" localSheetId="13">#REF!</definedName>
    <definedName name="Loan_Amount" localSheetId="18">#REF!</definedName>
    <definedName name="Loan_Amount" localSheetId="16">#REF!</definedName>
    <definedName name="Loan_Amount" localSheetId="20">#REF!</definedName>
    <definedName name="Loan_Amount" localSheetId="14">#REF!</definedName>
    <definedName name="Loan_Amount">#REF!</definedName>
    <definedName name="Loan_Start" localSheetId="12">#REF!</definedName>
    <definedName name="Loan_Start" localSheetId="10">#REF!</definedName>
    <definedName name="Loan_Start" localSheetId="4">#REF!</definedName>
    <definedName name="Loan_Start">#REF!</definedName>
    <definedName name="Loan_Years" localSheetId="12">#REF!</definedName>
    <definedName name="Loan_Years" localSheetId="10">#REF!</definedName>
    <definedName name="Loan_Years" localSheetId="4">#REF!</definedName>
    <definedName name="Loan_Years">#REF!</definedName>
    <definedName name="Lock">[11]Prices!$B$270</definedName>
    <definedName name="Louvre_frame_.6">[11]Prices!$B$271</definedName>
    <definedName name="Louvre_frame_1.2">[11]Prices!$B$272</definedName>
    <definedName name="LS" localSheetId="12">#REF!</definedName>
    <definedName name="LS" localSheetId="10">#REF!</definedName>
    <definedName name="LS" localSheetId="6">#REF!</definedName>
    <definedName name="LS" localSheetId="4">#REF!</definedName>
    <definedName name="LS" localSheetId="2">#REF!</definedName>
    <definedName name="LS">#REF!</definedName>
    <definedName name="LS0" localSheetId="12">#REF!</definedName>
    <definedName name="LS0" localSheetId="10">#REF!</definedName>
    <definedName name="LS0" localSheetId="6">#REF!</definedName>
    <definedName name="LS0" localSheetId="4">#REF!</definedName>
    <definedName name="LS0">#REF!</definedName>
    <definedName name="LU" localSheetId="12">#REF!</definedName>
    <definedName name="LU" localSheetId="10">#REF!</definedName>
    <definedName name="LU" localSheetId="4">#REF!</definedName>
    <definedName name="LU">#REF!</definedName>
    <definedName name="LU0" localSheetId="12">#REF!</definedName>
    <definedName name="LU0" localSheetId="10">#REF!</definedName>
    <definedName name="LU0" localSheetId="4">#REF!</definedName>
    <definedName name="LU0">#REF!</definedName>
    <definedName name="Luxalon">[11]Prices!$B$359</definedName>
    <definedName name="M" localSheetId="12">#REF!</definedName>
    <definedName name="M" localSheetId="10">#REF!</definedName>
    <definedName name="M" localSheetId="6">#REF!</definedName>
    <definedName name="M" localSheetId="4">#REF!</definedName>
    <definedName name="M" localSheetId="2">#REF!</definedName>
    <definedName name="M">#REF!</definedName>
    <definedName name="Machine_excavation">[11]Rates!$A$54</definedName>
    <definedName name="mainbuilding" localSheetId="12">#REF!</definedName>
    <definedName name="mainbuilding" localSheetId="10">#REF!</definedName>
    <definedName name="mainbuilding" localSheetId="6">#REF!</definedName>
    <definedName name="mainbuilding" localSheetId="4">#REF!</definedName>
    <definedName name="mainbuilding">#REF!</definedName>
    <definedName name="Marble_tiles">[11]Prices!$B$361</definedName>
    <definedName name="Margin1">[11]Simulation!$B$1</definedName>
    <definedName name="Margin2">[11]Simulation!$B$2</definedName>
    <definedName name="Market" localSheetId="12" hidden="1">{#N/A,#N/A,FALSE,"AFR-ELC"}</definedName>
    <definedName name="Market" localSheetId="10" hidden="1">{#N/A,#N/A,FALSE,"AFR-ELC"}</definedName>
    <definedName name="Market" localSheetId="6" hidden="1">{#N/A,#N/A,FALSE,"AFR-ELC"}</definedName>
    <definedName name="Market" localSheetId="4" hidden="1">{#N/A,#N/A,FALSE,"AFR-ELC"}</definedName>
    <definedName name="Market" hidden="1">{#N/A,#N/A,FALSE,"AFR-ELC"}</definedName>
    <definedName name="MAYO">#REF!</definedName>
    <definedName name="mb" localSheetId="12">#REF!</definedName>
    <definedName name="mb" localSheetId="10">#REF!</definedName>
    <definedName name="mb" localSheetId="6">#REF!</definedName>
    <definedName name="mb" localSheetId="4">#REF!</definedName>
    <definedName name="mb">#REF!</definedName>
    <definedName name="mbld" localSheetId="12">#REF!</definedName>
    <definedName name="mbld" localSheetId="10">#REF!</definedName>
    <definedName name="mbld" localSheetId="6">#REF!</definedName>
    <definedName name="mbld" localSheetId="4">#REF!</definedName>
    <definedName name="mbld">#REF!</definedName>
    <definedName name="Mech00" localSheetId="12">[1]Sheet1!#REF!</definedName>
    <definedName name="Mech00" localSheetId="10">[1]Sheet1!#REF!</definedName>
    <definedName name="Mech00" localSheetId="6">[1]Sheet1!#REF!</definedName>
    <definedName name="Mech00" localSheetId="4">[1]Sheet1!#REF!</definedName>
    <definedName name="Mech00">[1]Sheet1!#REF!</definedName>
    <definedName name="Mesh_65__2.42kg_m2">[11]Prices!$B$365</definedName>
    <definedName name="Mesh_a142">[11]Rates!$A$99</definedName>
    <definedName name="Mesh_A142__2.22_kg_m2">[11]Prices!$B$366</definedName>
    <definedName name="Mesh_a252">[11]Rates!$A$98</definedName>
    <definedName name="Mesh_A252__3.95_kg_m2">[11]Prices!$B$368</definedName>
    <definedName name="Mesh_B283__3.73_kg_m2">[11]Prices!$B$371</definedName>
    <definedName name="Mild_steel">[11]Prices!$B$372</definedName>
    <definedName name="mix" localSheetId="12" hidden="1">{#N/A,#N/A,FALSE,"el.det";#N/A,#N/A,FALSE,"mu.det";#N/A,#N/A,FALSE,"ug.det";#N/A,#N/A,FALSE,"ex.det";#N/A,#N/A,FALSE,"lux.det";#N/A,#N/A,FALSE,"custom.lot";#N/A,#N/A,FALSE,"condo.att";#N/A,#N/A,FALSE,"el.att";#N/A,#N/A,FALSE,"mu.att";#N/A,#N/A,FALSE,"ex.att";#N/A,#N/A,FALSE,"lux.att";#N/A,#N/A,FALSE,"all.by.village"}</definedName>
    <definedName name="mix" localSheetId="10" hidden="1">{#N/A,#N/A,FALSE,"el.det";#N/A,#N/A,FALSE,"mu.det";#N/A,#N/A,FALSE,"ug.det";#N/A,#N/A,FALSE,"ex.det";#N/A,#N/A,FALSE,"lux.det";#N/A,#N/A,FALSE,"custom.lot";#N/A,#N/A,FALSE,"condo.att";#N/A,#N/A,FALSE,"el.att";#N/A,#N/A,FALSE,"mu.att";#N/A,#N/A,FALSE,"ex.att";#N/A,#N/A,FALSE,"lux.att";#N/A,#N/A,FALSE,"all.by.village"}</definedName>
    <definedName name="mix" localSheetId="8" hidden="1">{#N/A,#N/A,FALSE,"el.det";#N/A,#N/A,FALSE,"mu.det";#N/A,#N/A,FALSE,"ug.det";#N/A,#N/A,FALSE,"ex.det";#N/A,#N/A,FALSE,"lux.det";#N/A,#N/A,FALSE,"custom.lot";#N/A,#N/A,FALSE,"condo.att";#N/A,#N/A,FALSE,"el.att";#N/A,#N/A,FALSE,"mu.att";#N/A,#N/A,FALSE,"ex.att";#N/A,#N/A,FALSE,"lux.att";#N/A,#N/A,FALSE,"all.by.village"}</definedName>
    <definedName name="mix" localSheetId="6" hidden="1">{#N/A,#N/A,FALSE,"el.det";#N/A,#N/A,FALSE,"mu.det";#N/A,#N/A,FALSE,"ug.det";#N/A,#N/A,FALSE,"ex.det";#N/A,#N/A,FALSE,"lux.det";#N/A,#N/A,FALSE,"custom.lot";#N/A,#N/A,FALSE,"condo.att";#N/A,#N/A,FALSE,"el.att";#N/A,#N/A,FALSE,"mu.att";#N/A,#N/A,FALSE,"ex.att";#N/A,#N/A,FALSE,"lux.att";#N/A,#N/A,FALSE,"all.by.village"}</definedName>
    <definedName name="mix" localSheetId="4" hidden="1">{#N/A,#N/A,FALSE,"el.det";#N/A,#N/A,FALSE,"mu.det";#N/A,#N/A,FALSE,"ug.det";#N/A,#N/A,FALSE,"ex.det";#N/A,#N/A,FALSE,"lux.det";#N/A,#N/A,FALSE,"custom.lot";#N/A,#N/A,FALSE,"condo.att";#N/A,#N/A,FALSE,"el.att";#N/A,#N/A,FALSE,"mu.att";#N/A,#N/A,FALSE,"ex.att";#N/A,#N/A,FALSE,"lux.att";#N/A,#N/A,FALSE,"all.by.village"}</definedName>
    <definedName name="mix" localSheetId="1" hidden="1">{#N/A,#N/A,FALSE,"el.det";#N/A,#N/A,FALSE,"mu.det";#N/A,#N/A,FALSE,"ug.det";#N/A,#N/A,FALSE,"ex.det";#N/A,#N/A,FALSE,"lux.det";#N/A,#N/A,FALSE,"custom.lot";#N/A,#N/A,FALSE,"condo.att";#N/A,#N/A,FALSE,"el.att";#N/A,#N/A,FALSE,"mu.att";#N/A,#N/A,FALSE,"ex.att";#N/A,#N/A,FALSE,"lux.att";#N/A,#N/A,FALSE,"all.by.village"}</definedName>
    <definedName name="mix" localSheetId="7" hidden="1">{#N/A,#N/A,FALSE,"el.det";#N/A,#N/A,FALSE,"mu.det";#N/A,#N/A,FALSE,"ug.det";#N/A,#N/A,FALSE,"ex.det";#N/A,#N/A,FALSE,"lux.det";#N/A,#N/A,FALSE,"custom.lot";#N/A,#N/A,FALSE,"condo.att";#N/A,#N/A,FALSE,"el.att";#N/A,#N/A,FALSE,"mu.att";#N/A,#N/A,FALSE,"ex.att";#N/A,#N/A,FALSE,"lux.att";#N/A,#N/A,FALSE,"all.by.village"}</definedName>
    <definedName name="mix" localSheetId="3" hidden="1">{#N/A,#N/A,FALSE,"el.det";#N/A,#N/A,FALSE,"mu.det";#N/A,#N/A,FALSE,"ug.det";#N/A,#N/A,FALSE,"ex.det";#N/A,#N/A,FALSE,"lux.det";#N/A,#N/A,FALSE,"custom.lot";#N/A,#N/A,FALSE,"condo.att";#N/A,#N/A,FALSE,"el.att";#N/A,#N/A,FALSE,"mu.att";#N/A,#N/A,FALSE,"ex.att";#N/A,#N/A,FALSE,"lux.att";#N/A,#N/A,FALSE,"all.by.village"}</definedName>
    <definedName name="mix" localSheetId="11" hidden="1">{#N/A,#N/A,FALSE,"el.det";#N/A,#N/A,FALSE,"mu.det";#N/A,#N/A,FALSE,"ug.det";#N/A,#N/A,FALSE,"ex.det";#N/A,#N/A,FALSE,"lux.det";#N/A,#N/A,FALSE,"custom.lot";#N/A,#N/A,FALSE,"condo.att";#N/A,#N/A,FALSE,"el.att";#N/A,#N/A,FALSE,"mu.att";#N/A,#N/A,FALSE,"ex.att";#N/A,#N/A,FALSE,"lux.att";#N/A,#N/A,FALSE,"all.by.village"}</definedName>
    <definedName name="mix" localSheetId="9" hidden="1">{#N/A,#N/A,FALSE,"el.det";#N/A,#N/A,FALSE,"mu.det";#N/A,#N/A,FALSE,"ug.det";#N/A,#N/A,FALSE,"ex.det";#N/A,#N/A,FALSE,"lux.det";#N/A,#N/A,FALSE,"custom.lot";#N/A,#N/A,FALSE,"condo.att";#N/A,#N/A,FALSE,"el.att";#N/A,#N/A,FALSE,"mu.att";#N/A,#N/A,FALSE,"ex.att";#N/A,#N/A,FALSE,"lux.att";#N/A,#N/A,FALSE,"all.by.village"}</definedName>
    <definedName name="mix" localSheetId="5" hidden="1">{#N/A,#N/A,FALSE,"el.det";#N/A,#N/A,FALSE,"mu.det";#N/A,#N/A,FALSE,"ug.det";#N/A,#N/A,FALSE,"ex.det";#N/A,#N/A,FALSE,"lux.det";#N/A,#N/A,FALSE,"custom.lot";#N/A,#N/A,FALSE,"condo.att";#N/A,#N/A,FALSE,"el.att";#N/A,#N/A,FALSE,"mu.att";#N/A,#N/A,FALSE,"ex.att";#N/A,#N/A,FALSE,"lux.att";#N/A,#N/A,FALSE,"all.by.village"}</definedName>
    <definedName name="mix" localSheetId="17" hidden="1">{#N/A,#N/A,FALSE,"el.det";#N/A,#N/A,FALSE,"mu.det";#N/A,#N/A,FALSE,"ug.det";#N/A,#N/A,FALSE,"ex.det";#N/A,#N/A,FALSE,"lux.det";#N/A,#N/A,FALSE,"custom.lot";#N/A,#N/A,FALSE,"condo.att";#N/A,#N/A,FALSE,"el.att";#N/A,#N/A,FALSE,"mu.att";#N/A,#N/A,FALSE,"ex.att";#N/A,#N/A,FALSE,"lux.att";#N/A,#N/A,FALSE,"all.by.village"}</definedName>
    <definedName name="mix" localSheetId="15" hidden="1">{#N/A,#N/A,FALSE,"el.det";#N/A,#N/A,FALSE,"mu.det";#N/A,#N/A,FALSE,"ug.det";#N/A,#N/A,FALSE,"ex.det";#N/A,#N/A,FALSE,"lux.det";#N/A,#N/A,FALSE,"custom.lot";#N/A,#N/A,FALSE,"condo.att";#N/A,#N/A,FALSE,"el.att";#N/A,#N/A,FALSE,"mu.att";#N/A,#N/A,FALSE,"ex.att";#N/A,#N/A,FALSE,"lux.att";#N/A,#N/A,FALSE,"all.by.village"}</definedName>
    <definedName name="mix" localSheetId="13" hidden="1">{#N/A,#N/A,FALSE,"el.det";#N/A,#N/A,FALSE,"mu.det";#N/A,#N/A,FALSE,"ug.det";#N/A,#N/A,FALSE,"ex.det";#N/A,#N/A,FALSE,"lux.det";#N/A,#N/A,FALSE,"custom.lot";#N/A,#N/A,FALSE,"condo.att";#N/A,#N/A,FALSE,"el.att";#N/A,#N/A,FALSE,"mu.att";#N/A,#N/A,FALSE,"ex.att";#N/A,#N/A,FALSE,"lux.att";#N/A,#N/A,FALSE,"all.by.village"}</definedName>
    <definedName name="mix" localSheetId="18" hidden="1">{#N/A,#N/A,FALSE,"el.det";#N/A,#N/A,FALSE,"mu.det";#N/A,#N/A,FALSE,"ug.det";#N/A,#N/A,FALSE,"ex.det";#N/A,#N/A,FALSE,"lux.det";#N/A,#N/A,FALSE,"custom.lot";#N/A,#N/A,FALSE,"condo.att";#N/A,#N/A,FALSE,"el.att";#N/A,#N/A,FALSE,"mu.att";#N/A,#N/A,FALSE,"ex.att";#N/A,#N/A,FALSE,"lux.att";#N/A,#N/A,FALSE,"all.by.village"}</definedName>
    <definedName name="mix" localSheetId="16" hidden="1">{#N/A,#N/A,FALSE,"el.det";#N/A,#N/A,FALSE,"mu.det";#N/A,#N/A,FALSE,"ug.det";#N/A,#N/A,FALSE,"ex.det";#N/A,#N/A,FALSE,"lux.det";#N/A,#N/A,FALSE,"custom.lot";#N/A,#N/A,FALSE,"condo.att";#N/A,#N/A,FALSE,"el.att";#N/A,#N/A,FALSE,"mu.att";#N/A,#N/A,FALSE,"ex.att";#N/A,#N/A,FALSE,"lux.att";#N/A,#N/A,FALSE,"all.by.village"}</definedName>
    <definedName name="mix" localSheetId="20" hidden="1">{#N/A,#N/A,FALSE,"el.det";#N/A,#N/A,FALSE,"mu.det";#N/A,#N/A,FALSE,"ug.det";#N/A,#N/A,FALSE,"ex.det";#N/A,#N/A,FALSE,"lux.det";#N/A,#N/A,FALSE,"custom.lot";#N/A,#N/A,FALSE,"condo.att";#N/A,#N/A,FALSE,"el.att";#N/A,#N/A,FALSE,"mu.att";#N/A,#N/A,FALSE,"ex.att";#N/A,#N/A,FALSE,"lux.att";#N/A,#N/A,FALSE,"all.by.village"}</definedName>
    <definedName name="mix" localSheetId="14" hidden="1">{#N/A,#N/A,FALSE,"el.det";#N/A,#N/A,FALSE,"mu.det";#N/A,#N/A,FALSE,"ug.det";#N/A,#N/A,FALSE,"ex.det";#N/A,#N/A,FALSE,"lux.det";#N/A,#N/A,FALSE,"custom.lot";#N/A,#N/A,FALSE,"condo.att";#N/A,#N/A,FALSE,"el.att";#N/A,#N/A,FALSE,"mu.att";#N/A,#N/A,FALSE,"ex.att";#N/A,#N/A,FALSE,"lux.att";#N/A,#N/A,FALSE,"all.by.village"}</definedName>
    <definedName name="mix" hidden="1">{#N/A,#N/A,FALSE,"el.det";#N/A,#N/A,FALSE,"mu.det";#N/A,#N/A,FALSE,"ug.det";#N/A,#N/A,FALSE,"ex.det";#N/A,#N/A,FALSE,"lux.det";#N/A,#N/A,FALSE,"custom.lot";#N/A,#N/A,FALSE,"condo.att";#N/A,#N/A,FALSE,"el.att";#N/A,#N/A,FALSE,"mu.att";#N/A,#N/A,FALSE,"ex.att";#N/A,#N/A,FALSE,"lux.att";#N/A,#N/A,FALSE,"all.by.village"}</definedName>
    <definedName name="Mixer_hire">[11]Prices!$B$374</definedName>
    <definedName name="MkupCW">[21]Inputs!$C$6</definedName>
    <definedName name="MM" localSheetId="12">#REF!</definedName>
    <definedName name="MM" localSheetId="10">#REF!</definedName>
    <definedName name="MM" localSheetId="6">#REF!</definedName>
    <definedName name="MM" localSheetId="4">#REF!</definedName>
    <definedName name="MM">#REF!</definedName>
    <definedName name="mmm" localSheetId="12">#REF!</definedName>
    <definedName name="mmm" localSheetId="10">#REF!</definedName>
    <definedName name="mmm" localSheetId="6">#REF!</definedName>
    <definedName name="mmm" localSheetId="4">#REF!</definedName>
    <definedName name="mmm">#REF!</definedName>
    <definedName name="Mosaic_tiles">[11]Prices!$B$375</definedName>
    <definedName name="N" localSheetId="12">#REF!</definedName>
    <definedName name="N" localSheetId="10">#REF!</definedName>
    <definedName name="N" localSheetId="8">#REF!</definedName>
    <definedName name="N" localSheetId="6">#REF!</definedName>
    <definedName name="N" localSheetId="4">#REF!</definedName>
    <definedName name="N" localSheetId="1">#REF!</definedName>
    <definedName name="N" localSheetId="2">#REF!</definedName>
    <definedName name="N" localSheetId="7">#REF!</definedName>
    <definedName name="N" localSheetId="3">#REF!</definedName>
    <definedName name="N" localSheetId="11">#REF!</definedName>
    <definedName name="N" localSheetId="9">#REF!</definedName>
    <definedName name="N" localSheetId="5">#REF!</definedName>
    <definedName name="N" localSheetId="17">#REF!</definedName>
    <definedName name="N" localSheetId="15">#REF!</definedName>
    <definedName name="N" localSheetId="13">#REF!</definedName>
    <definedName name="N" localSheetId="18">#REF!</definedName>
    <definedName name="N" localSheetId="16">#REF!</definedName>
    <definedName name="N" localSheetId="20">#REF!</definedName>
    <definedName name="N" localSheetId="14">#REF!</definedName>
    <definedName name="N">#REF!</definedName>
    <definedName name="Nails">[11]Prices!$B$376</definedName>
    <definedName name="NAME" localSheetId="12">#REF!</definedName>
    <definedName name="NAME" localSheetId="10">#REF!</definedName>
    <definedName name="NAME" localSheetId="8">#REF!</definedName>
    <definedName name="NAME" localSheetId="6">#REF!</definedName>
    <definedName name="NAME" localSheetId="4">#REF!</definedName>
    <definedName name="NAME" localSheetId="1">#REF!</definedName>
    <definedName name="NAME" localSheetId="7">#REF!</definedName>
    <definedName name="NAME" localSheetId="3">#REF!</definedName>
    <definedName name="NAME" localSheetId="11">#REF!</definedName>
    <definedName name="NAME" localSheetId="9">#REF!</definedName>
    <definedName name="NAME" localSheetId="5">#REF!</definedName>
    <definedName name="NAME" localSheetId="17">#REF!</definedName>
    <definedName name="NAME" localSheetId="15">#REF!</definedName>
    <definedName name="NAME" localSheetId="13">#REF!</definedName>
    <definedName name="NAME" localSheetId="18">#REF!</definedName>
    <definedName name="NAME" localSheetId="16">#REF!</definedName>
    <definedName name="NAME" localSheetId="20">#REF!</definedName>
    <definedName name="NAME" localSheetId="14">#REF!</definedName>
    <definedName name="NAME">#REF!</definedName>
    <definedName name="Name1">[17]Assumptions!$B$15</definedName>
    <definedName name="name2">[17]Assumptions!$B$17</definedName>
    <definedName name="Name3">[17]Assumptions!$B$20</definedName>
    <definedName name="Netak" localSheetId="12" hidden="1">{#N/A,#N/A,FALSE,"AFR-ELC"}</definedName>
    <definedName name="Netak" localSheetId="10" hidden="1">{#N/A,#N/A,FALSE,"AFR-ELC"}</definedName>
    <definedName name="Netak" localSheetId="6" hidden="1">{#N/A,#N/A,FALSE,"AFR-ELC"}</definedName>
    <definedName name="Netak" localSheetId="4" hidden="1">{#N/A,#N/A,FALSE,"AFR-ELC"}</definedName>
    <definedName name="Netak" hidden="1">{#N/A,#N/A,FALSE,"AFR-ELC"}</definedName>
    <definedName name="new">#N/A</definedName>
    <definedName name="ngfng" localSheetId="12" hidden="1">{#N/A,#N/A,FALSE,"Aging Summary";#N/A,#N/A,FALSE,"Ratio Analysis";#N/A,#N/A,FALSE,"Test 120 Day Accts";#N/A,#N/A,FALSE,"Tickmarks"}</definedName>
    <definedName name="ngfng" localSheetId="10" hidden="1">{#N/A,#N/A,FALSE,"Aging Summary";#N/A,#N/A,FALSE,"Ratio Analysis";#N/A,#N/A,FALSE,"Test 120 Day Accts";#N/A,#N/A,FALSE,"Tickmarks"}</definedName>
    <definedName name="ngfng" localSheetId="8" hidden="1">{#N/A,#N/A,FALSE,"Aging Summary";#N/A,#N/A,FALSE,"Ratio Analysis";#N/A,#N/A,FALSE,"Test 120 Day Accts";#N/A,#N/A,FALSE,"Tickmarks"}</definedName>
    <definedName name="ngfng" localSheetId="6" hidden="1">{#N/A,#N/A,FALSE,"Aging Summary";#N/A,#N/A,FALSE,"Ratio Analysis";#N/A,#N/A,FALSE,"Test 120 Day Accts";#N/A,#N/A,FALSE,"Tickmarks"}</definedName>
    <definedName name="ngfng" localSheetId="4" hidden="1">{#N/A,#N/A,FALSE,"Aging Summary";#N/A,#N/A,FALSE,"Ratio Analysis";#N/A,#N/A,FALSE,"Test 120 Day Accts";#N/A,#N/A,FALSE,"Tickmarks"}</definedName>
    <definedName name="ngfng" localSheetId="1" hidden="1">{#N/A,#N/A,FALSE,"Aging Summary";#N/A,#N/A,FALSE,"Ratio Analysis";#N/A,#N/A,FALSE,"Test 120 Day Accts";#N/A,#N/A,FALSE,"Tickmarks"}</definedName>
    <definedName name="ngfng" localSheetId="7" hidden="1">{#N/A,#N/A,FALSE,"Aging Summary";#N/A,#N/A,FALSE,"Ratio Analysis";#N/A,#N/A,FALSE,"Test 120 Day Accts";#N/A,#N/A,FALSE,"Tickmarks"}</definedName>
    <definedName name="ngfng" localSheetId="3" hidden="1">{#N/A,#N/A,FALSE,"Aging Summary";#N/A,#N/A,FALSE,"Ratio Analysis";#N/A,#N/A,FALSE,"Test 120 Day Accts";#N/A,#N/A,FALSE,"Tickmarks"}</definedName>
    <definedName name="ngfng" localSheetId="11" hidden="1">{#N/A,#N/A,FALSE,"Aging Summary";#N/A,#N/A,FALSE,"Ratio Analysis";#N/A,#N/A,FALSE,"Test 120 Day Accts";#N/A,#N/A,FALSE,"Tickmarks"}</definedName>
    <definedName name="ngfng" localSheetId="9" hidden="1">{#N/A,#N/A,FALSE,"Aging Summary";#N/A,#N/A,FALSE,"Ratio Analysis";#N/A,#N/A,FALSE,"Test 120 Day Accts";#N/A,#N/A,FALSE,"Tickmarks"}</definedName>
    <definedName name="ngfng" localSheetId="5" hidden="1">{#N/A,#N/A,FALSE,"Aging Summary";#N/A,#N/A,FALSE,"Ratio Analysis";#N/A,#N/A,FALSE,"Test 120 Day Accts";#N/A,#N/A,FALSE,"Tickmarks"}</definedName>
    <definedName name="ngfng" localSheetId="17" hidden="1">{#N/A,#N/A,FALSE,"Aging Summary";#N/A,#N/A,FALSE,"Ratio Analysis";#N/A,#N/A,FALSE,"Test 120 Day Accts";#N/A,#N/A,FALSE,"Tickmarks"}</definedName>
    <definedName name="ngfng" localSheetId="15" hidden="1">{#N/A,#N/A,FALSE,"Aging Summary";#N/A,#N/A,FALSE,"Ratio Analysis";#N/A,#N/A,FALSE,"Test 120 Day Accts";#N/A,#N/A,FALSE,"Tickmarks"}</definedName>
    <definedName name="ngfng" localSheetId="13" hidden="1">{#N/A,#N/A,FALSE,"Aging Summary";#N/A,#N/A,FALSE,"Ratio Analysis";#N/A,#N/A,FALSE,"Test 120 Day Accts";#N/A,#N/A,FALSE,"Tickmarks"}</definedName>
    <definedName name="ngfng" localSheetId="18" hidden="1">{#N/A,#N/A,FALSE,"Aging Summary";#N/A,#N/A,FALSE,"Ratio Analysis";#N/A,#N/A,FALSE,"Test 120 Day Accts";#N/A,#N/A,FALSE,"Tickmarks"}</definedName>
    <definedName name="ngfng" localSheetId="16" hidden="1">{#N/A,#N/A,FALSE,"Aging Summary";#N/A,#N/A,FALSE,"Ratio Analysis";#N/A,#N/A,FALSE,"Test 120 Day Accts";#N/A,#N/A,FALSE,"Tickmarks"}</definedName>
    <definedName name="ngfng" localSheetId="20" hidden="1">{#N/A,#N/A,FALSE,"Aging Summary";#N/A,#N/A,FALSE,"Ratio Analysis";#N/A,#N/A,FALSE,"Test 120 Day Accts";#N/A,#N/A,FALSE,"Tickmarks"}</definedName>
    <definedName name="ngfng" localSheetId="14" hidden="1">{#N/A,#N/A,FALSE,"Aging Summary";#N/A,#N/A,FALSE,"Ratio Analysis";#N/A,#N/A,FALSE,"Test 120 Day Accts";#N/A,#N/A,FALSE,"Tickmarks"}</definedName>
    <definedName name="ngfng" hidden="1">{#N/A,#N/A,FALSE,"Aging Summary";#N/A,#N/A,FALSE,"Ratio Analysis";#N/A,#N/A,FALSE,"Test 120 Day Accts";#N/A,#N/A,FALSE,"Tickmarks"}</definedName>
    <definedName name="nil" localSheetId="12" hidden="1">{#N/A,#N/A,FALSE,"AFR-ELC"}</definedName>
    <definedName name="nil" localSheetId="10" hidden="1">{#N/A,#N/A,FALSE,"AFR-ELC"}</definedName>
    <definedName name="nil" localSheetId="6" hidden="1">{#N/A,#N/A,FALSE,"AFR-ELC"}</definedName>
    <definedName name="nil" localSheetId="4" hidden="1">{#N/A,#N/A,FALSE,"AFR-ELC"}</definedName>
    <definedName name="nil" hidden="1">{#N/A,#N/A,FALSE,"AFR-ELC"}</definedName>
    <definedName name="nnn">#REF!</definedName>
    <definedName name="nnnnnnn" localSheetId="12" hidden="1">{#N/A,#N/A,FALSE,"AFR-ELC"}</definedName>
    <definedName name="nnnnnnn" localSheetId="10" hidden="1">{#N/A,#N/A,FALSE,"AFR-ELC"}</definedName>
    <definedName name="nnnnnnn" localSheetId="8" hidden="1">{#N/A,#N/A,FALSE,"AFR-ELC"}</definedName>
    <definedName name="nnnnnnn" localSheetId="6" hidden="1">{#N/A,#N/A,FALSE,"AFR-ELC"}</definedName>
    <definedName name="nnnnnnn" localSheetId="4" hidden="1">{#N/A,#N/A,FALSE,"AFR-ELC"}</definedName>
    <definedName name="nnnnnnn" localSheetId="0" hidden="1">{#N/A,#N/A,FALSE,"AFR-ELC"}</definedName>
    <definedName name="nnnnnnn" localSheetId="1" hidden="1">{#N/A,#N/A,FALSE,"AFR-ELC"}</definedName>
    <definedName name="nnnnnnn" localSheetId="7" hidden="1">{#N/A,#N/A,FALSE,"AFR-ELC"}</definedName>
    <definedName name="nnnnnnn" localSheetId="3" hidden="1">{#N/A,#N/A,FALSE,"AFR-ELC"}</definedName>
    <definedName name="nnnnnnn" localSheetId="11" hidden="1">{#N/A,#N/A,FALSE,"AFR-ELC"}</definedName>
    <definedName name="nnnnnnn" localSheetId="9" hidden="1">{#N/A,#N/A,FALSE,"AFR-ELC"}</definedName>
    <definedName name="nnnnnnn" localSheetId="5" hidden="1">{#N/A,#N/A,FALSE,"AFR-ELC"}</definedName>
    <definedName name="nnnnnnn" localSheetId="17" hidden="1">{#N/A,#N/A,FALSE,"AFR-ELC"}</definedName>
    <definedName name="nnnnnnn" localSheetId="15" hidden="1">{#N/A,#N/A,FALSE,"AFR-ELC"}</definedName>
    <definedName name="nnnnnnn" localSheetId="13" hidden="1">{#N/A,#N/A,FALSE,"AFR-ELC"}</definedName>
    <definedName name="nnnnnnn" localSheetId="18" hidden="1">{#N/A,#N/A,FALSE,"AFR-ELC"}</definedName>
    <definedName name="nnnnnnn" localSheetId="16" hidden="1">{#N/A,#N/A,FALSE,"AFR-ELC"}</definedName>
    <definedName name="nnnnnnn" localSheetId="20" hidden="1">{#N/A,#N/A,FALSE,"AFR-ELC"}</definedName>
    <definedName name="nnnnnnn" localSheetId="14" hidden="1">{#N/A,#N/A,FALSE,"AFR-ELC"}</definedName>
    <definedName name="nnnnnnn" hidden="1">{#N/A,#N/A,FALSE,"AFR-ELC"}</definedName>
    <definedName name="NO">#REF!</definedName>
    <definedName name="No.">"A1"</definedName>
    <definedName name="NONE" localSheetId="16">'[22]#REF'!#REF!</definedName>
    <definedName name="NONE" localSheetId="14">'[22]#REF'!#REF!</definedName>
    <definedName name="NONE">'[22]#REF'!#REF!</definedName>
    <definedName name="NOOONN" localSheetId="12">{#N/A,#N/A,FALSE,"AFR-ELC"}</definedName>
    <definedName name="NOOONN" localSheetId="10">{#N/A,#N/A,FALSE,"AFR-ELC"}</definedName>
    <definedName name="NOOONN" localSheetId="6">{#N/A,#N/A,FALSE,"AFR-ELC"}</definedName>
    <definedName name="NOOONN" localSheetId="4">{#N/A,#N/A,FALSE,"AFR-ELC"}</definedName>
    <definedName name="NOOONN">{#N/A,#N/A,FALSE,"AFR-ELC"}</definedName>
    <definedName name="NOTE" localSheetId="12">#REF!</definedName>
    <definedName name="NOTE" localSheetId="10">#REF!</definedName>
    <definedName name="NOTE" localSheetId="8">#REF!</definedName>
    <definedName name="NOTE" localSheetId="6">#REF!</definedName>
    <definedName name="NOTE" localSheetId="4">#REF!</definedName>
    <definedName name="NOTE" localSheetId="1">#REF!</definedName>
    <definedName name="NOTE" localSheetId="7">#REF!</definedName>
    <definedName name="NOTE" localSheetId="3">#REF!</definedName>
    <definedName name="NOTE" localSheetId="11">#REF!</definedName>
    <definedName name="NOTE" localSheetId="9">#REF!</definedName>
    <definedName name="NOTE" localSheetId="5">#REF!</definedName>
    <definedName name="NOTE" localSheetId="17">#REF!</definedName>
    <definedName name="NOTE" localSheetId="15">#REF!</definedName>
    <definedName name="NOTE" localSheetId="13">#REF!</definedName>
    <definedName name="NOTE" localSheetId="18">#REF!</definedName>
    <definedName name="NOTE" localSheetId="16">#REF!</definedName>
    <definedName name="NOTE" localSheetId="20">#REF!</definedName>
    <definedName name="NOTE" localSheetId="14">#REF!</definedName>
    <definedName name="NOTE">#REF!</definedName>
    <definedName name="NSF">'[10]Condo Pricing'!$F$15</definedName>
    <definedName name="NUM" localSheetId="12">#REF!</definedName>
    <definedName name="NUM" localSheetId="10">#REF!</definedName>
    <definedName name="NUM" localSheetId="8">#REF!</definedName>
    <definedName name="NUM" localSheetId="6">#REF!</definedName>
    <definedName name="NUM" localSheetId="4">#REF!</definedName>
    <definedName name="NUM" localSheetId="1">#REF!</definedName>
    <definedName name="NUM" localSheetId="2">#REF!</definedName>
    <definedName name="NUM" localSheetId="7">#REF!</definedName>
    <definedName name="NUM" localSheetId="3">#REF!</definedName>
    <definedName name="NUM" localSheetId="11">#REF!</definedName>
    <definedName name="NUM" localSheetId="9">#REF!</definedName>
    <definedName name="NUM" localSheetId="5">#REF!</definedName>
    <definedName name="NUM" localSheetId="17">#REF!</definedName>
    <definedName name="NUM" localSheetId="15">#REF!</definedName>
    <definedName name="NUM" localSheetId="13">#REF!</definedName>
    <definedName name="NUM" localSheetId="18">#REF!</definedName>
    <definedName name="NUM" localSheetId="16">#REF!</definedName>
    <definedName name="NUM" localSheetId="20">#REF!</definedName>
    <definedName name="NUM" localSheetId="14">#REF!</definedName>
    <definedName name="NUM">#REF!</definedName>
    <definedName name="Num_Pmt_Per_Year" localSheetId="12">#REF!</definedName>
    <definedName name="Num_Pmt_Per_Year" localSheetId="10">#REF!</definedName>
    <definedName name="Num_Pmt_Per_Year" localSheetId="8">#REF!</definedName>
    <definedName name="Num_Pmt_Per_Year" localSheetId="6">#REF!</definedName>
    <definedName name="Num_Pmt_Per_Year" localSheetId="4">#REF!</definedName>
    <definedName name="Num_Pmt_Per_Year" localSheetId="1">#REF!</definedName>
    <definedName name="Num_Pmt_Per_Year" localSheetId="7">#REF!</definedName>
    <definedName name="Num_Pmt_Per_Year" localSheetId="3">#REF!</definedName>
    <definedName name="Num_Pmt_Per_Year" localSheetId="11">#REF!</definedName>
    <definedName name="Num_Pmt_Per_Year" localSheetId="9">#REF!</definedName>
    <definedName name="Num_Pmt_Per_Year" localSheetId="5">#REF!</definedName>
    <definedName name="Num_Pmt_Per_Year" localSheetId="17">#REF!</definedName>
    <definedName name="Num_Pmt_Per_Year" localSheetId="15">#REF!</definedName>
    <definedName name="Num_Pmt_Per_Year" localSheetId="13">#REF!</definedName>
    <definedName name="Num_Pmt_Per_Year" localSheetId="18">#REF!</definedName>
    <definedName name="Num_Pmt_Per_Year" localSheetId="16">#REF!</definedName>
    <definedName name="Num_Pmt_Per_Year" localSheetId="20">#REF!</definedName>
    <definedName name="Num_Pmt_Per_Year" localSheetId="14">#REF!</definedName>
    <definedName name="Num_Pmt_Per_Year">#REF!</definedName>
    <definedName name="Number_of_Payments" localSheetId="12">MATCH(0.01,'2BD BLK FLAT '!End_Bal,-1)+1</definedName>
    <definedName name="Number_of_Payments" localSheetId="10">MATCH(0.01,'3BD BLK FLAT'!End_Bal,-1)+1</definedName>
    <definedName name="Number_of_Payments" localSheetId="8">MATCH(0.01,'3BD TERRACE'!End_Bal,-1)+1</definedName>
    <definedName name="Number_of_Payments" localSheetId="6">MATCH(0.01,'4BD SEMI-DETACHED'!End_Bal,-1)+1</definedName>
    <definedName name="Number_of_Payments" localSheetId="4">MATCH(0.01,'6BD detatched'!End_Bal,-1)+1</definedName>
    <definedName name="Number_of_Payments" localSheetId="1">MATCH(0.01,'BILL (2)'!End_Bal,-1)+1</definedName>
    <definedName name="Number_of_Payments" localSheetId="7">MATCH(0.01,'Cover page (3 bd terrace'!End_Bal,-1)+1</definedName>
    <definedName name="Number_of_Payments" localSheetId="3">MATCH(0.01,'Cover page (6bd'!End_Bal,-1)+1</definedName>
    <definedName name="Number_of_Payments" localSheetId="11">MATCH(0.01,'cover page 2BD BLK FLAT'!End_Bal,-1)+1</definedName>
    <definedName name="Number_of_Payments" localSheetId="9">MATCH(0.01,'Cover page 3BD BLK FLAT'!End_Bal,-1)+1</definedName>
    <definedName name="Number_of_Payments" localSheetId="5">MATCH(0.01,'Cover page 4bd semi detached'!End_Bal,-1)+1</definedName>
    <definedName name="Number_of_Payments" localSheetId="17">MATCH(0.01,'Cover page fence'!End_Bal,-1)+1</definedName>
    <definedName name="Number_of_Payments" localSheetId="15">MATCH(0.01,'Cover page GATEhouse'!End_Bal,-1)+1</definedName>
    <definedName name="Number_of_Payments" localSheetId="13">MATCH(0.01,'Cover page site office'!End_Bal,-1)+1</definedName>
    <definedName name="Number_of_Payments" localSheetId="18">MATCH(0.01,'Fence work '!End_Bal,-1)+1</definedName>
    <definedName name="Number_of_Payments" localSheetId="16">MATCH(0.01,'GATE HOUSE'!End_Bal,-1)+1</definedName>
    <definedName name="Number_of_Payments" localSheetId="20">MATCH(0.01,'General Summary'!End_Bal,-1)+1</definedName>
    <definedName name="Number_of_Payments" localSheetId="14">MATCH(0.01,'Site office'!End_Bal,-1)+1</definedName>
    <definedName name="Number_of_Payments">MATCH(0.01,End_Bal,-1)+1</definedName>
    <definedName name="NWC" localSheetId="12" hidden="1">{#N/A,#N/A,FALSE,"AFR-ELC"}</definedName>
    <definedName name="NWC" localSheetId="10" hidden="1">{#N/A,#N/A,FALSE,"AFR-ELC"}</definedName>
    <definedName name="NWC" localSheetId="8" hidden="1">{#N/A,#N/A,FALSE,"AFR-ELC"}</definedName>
    <definedName name="NWC" localSheetId="6" hidden="1">{#N/A,#N/A,FALSE,"AFR-ELC"}</definedName>
    <definedName name="NWC" localSheetId="4" hidden="1">{#N/A,#N/A,FALSE,"AFR-ELC"}</definedName>
    <definedName name="NWC" localSheetId="0" hidden="1">{#N/A,#N/A,FALSE,"AFR-ELC"}</definedName>
    <definedName name="NWC" localSheetId="1" hidden="1">{#N/A,#N/A,FALSE,"AFR-ELC"}</definedName>
    <definedName name="NWC" localSheetId="2" hidden="1">{#N/A,#N/A,FALSE,"AFR-ELC"}</definedName>
    <definedName name="NWC" localSheetId="7" hidden="1">{#N/A,#N/A,FALSE,"AFR-ELC"}</definedName>
    <definedName name="NWC" localSheetId="3" hidden="1">{#N/A,#N/A,FALSE,"AFR-ELC"}</definedName>
    <definedName name="NWC" localSheetId="11" hidden="1">{#N/A,#N/A,FALSE,"AFR-ELC"}</definedName>
    <definedName name="NWC" localSheetId="9" hidden="1">{#N/A,#N/A,FALSE,"AFR-ELC"}</definedName>
    <definedName name="NWC" localSheetId="5" hidden="1">{#N/A,#N/A,FALSE,"AFR-ELC"}</definedName>
    <definedName name="NWC" localSheetId="17" hidden="1">{#N/A,#N/A,FALSE,"AFR-ELC"}</definedName>
    <definedName name="NWC" localSheetId="15" hidden="1">{#N/A,#N/A,FALSE,"AFR-ELC"}</definedName>
    <definedName name="NWC" localSheetId="13" hidden="1">{#N/A,#N/A,FALSE,"AFR-ELC"}</definedName>
    <definedName name="NWC" localSheetId="18" hidden="1">{#N/A,#N/A,FALSE,"AFR-ELC"}</definedName>
    <definedName name="NWC" localSheetId="16" hidden="1">{#N/A,#N/A,FALSE,"AFR-ELC"}</definedName>
    <definedName name="NWC" localSheetId="20" hidden="1">{#N/A,#N/A,FALSE,"AFR-ELC"}</definedName>
    <definedName name="NWC" localSheetId="14" hidden="1">{#N/A,#N/A,FALSE,"AFR-ELC"}</definedName>
    <definedName name="NWC" hidden="1">{#N/A,#N/A,FALSE,"AFR-ELC"}</definedName>
    <definedName name="OFFICE" localSheetId="12">#REF!</definedName>
    <definedName name="OFFICE" localSheetId="10">#REF!</definedName>
    <definedName name="OFFICE" localSheetId="8">#REF!</definedName>
    <definedName name="OFFICE" localSheetId="6">#REF!</definedName>
    <definedName name="OFFICE" localSheetId="4">#REF!</definedName>
    <definedName name="OFFICE" localSheetId="1">#REF!</definedName>
    <definedName name="OFFICE" localSheetId="2">#REF!</definedName>
    <definedName name="OFFICE" localSheetId="7">#REF!</definedName>
    <definedName name="OFFICE" localSheetId="3">#REF!</definedName>
    <definedName name="OFFICE" localSheetId="11">#REF!</definedName>
    <definedName name="OFFICE" localSheetId="9">#REF!</definedName>
    <definedName name="OFFICE" localSheetId="5">#REF!</definedName>
    <definedName name="OFFICE" localSheetId="17">#REF!</definedName>
    <definedName name="OFFICE" localSheetId="15">#REF!</definedName>
    <definedName name="OFFICE" localSheetId="13">#REF!</definedName>
    <definedName name="OFFICE" localSheetId="18">#REF!</definedName>
    <definedName name="OFFICE" localSheetId="16">#REF!</definedName>
    <definedName name="OFFICE" localSheetId="20">#REF!</definedName>
    <definedName name="OFFICE" localSheetId="14">#REF!</definedName>
    <definedName name="OFFICE">#REF!</definedName>
    <definedName name="ol" localSheetId="12">#REF!</definedName>
    <definedName name="ol" localSheetId="10">#REF!</definedName>
    <definedName name="ol" localSheetId="4">#REF!</definedName>
    <definedName name="ol">#REF!</definedName>
    <definedName name="OLTV">'[10]Base case - condos'!$H$8</definedName>
    <definedName name="OON" localSheetId="12" hidden="1">{#N/A,#N/A,FALSE,"AFR-ELC"}</definedName>
    <definedName name="OON" localSheetId="10" hidden="1">{#N/A,#N/A,FALSE,"AFR-ELC"}</definedName>
    <definedName name="OON" localSheetId="6" hidden="1">{#N/A,#N/A,FALSE,"AFR-ELC"}</definedName>
    <definedName name="OON" localSheetId="4" hidden="1">{#N/A,#N/A,FALSE,"AFR-ELC"}</definedName>
    <definedName name="OON" hidden="1">{#N/A,#N/A,FALSE,"AFR-ELC"}</definedName>
    <definedName name="OOOOO" localSheetId="12">#REF!</definedName>
    <definedName name="OOOOO" localSheetId="10">#REF!</definedName>
    <definedName name="OOOOO" localSheetId="8">#REF!</definedName>
    <definedName name="OOOOO" localSheetId="6">#REF!</definedName>
    <definedName name="OOOOO" localSheetId="4">#REF!</definedName>
    <definedName name="OOOOO" localSheetId="1">#REF!</definedName>
    <definedName name="OOOOO" localSheetId="7">#REF!</definedName>
    <definedName name="OOOOO" localSheetId="3">#REF!</definedName>
    <definedName name="OOOOO" localSheetId="11">#REF!</definedName>
    <definedName name="OOOOO" localSheetId="9">#REF!</definedName>
    <definedName name="OOOOO" localSheetId="5">#REF!</definedName>
    <definedName name="OOOOO" localSheetId="17">#REF!</definedName>
    <definedName name="OOOOO" localSheetId="15">#REF!</definedName>
    <definedName name="OOOOO" localSheetId="13">#REF!</definedName>
    <definedName name="OOOOO" localSheetId="18">#REF!</definedName>
    <definedName name="OOOOO" localSheetId="16">#REF!</definedName>
    <definedName name="OOOOO" localSheetId="20">#REF!</definedName>
    <definedName name="OOOOO" localSheetId="14">#REF!</definedName>
    <definedName name="OOOOO">#REF!</definedName>
    <definedName name="OT" localSheetId="12">#REF!</definedName>
    <definedName name="OT" localSheetId="10">#REF!</definedName>
    <definedName name="OT" localSheetId="8">#REF!</definedName>
    <definedName name="OT" localSheetId="6">#REF!</definedName>
    <definedName name="OT" localSheetId="4">#REF!</definedName>
    <definedName name="OT" localSheetId="1">#REF!</definedName>
    <definedName name="OT" localSheetId="7">#REF!</definedName>
    <definedName name="OT" localSheetId="3">#REF!</definedName>
    <definedName name="OT" localSheetId="11">#REF!</definedName>
    <definedName name="OT" localSheetId="9">#REF!</definedName>
    <definedName name="OT" localSheetId="5">#REF!</definedName>
    <definedName name="OT" localSheetId="17">#REF!</definedName>
    <definedName name="OT" localSheetId="15">#REF!</definedName>
    <definedName name="OT" localSheetId="13">#REF!</definedName>
    <definedName name="OT" localSheetId="18">#REF!</definedName>
    <definedName name="OT" localSheetId="16">#REF!</definedName>
    <definedName name="OT" localSheetId="20">#REF!</definedName>
    <definedName name="OT" localSheetId="14">#REF!</definedName>
    <definedName name="OT">#REF!</definedName>
    <definedName name="OT0" localSheetId="12">#REF!</definedName>
    <definedName name="OT0" localSheetId="10">#REF!</definedName>
    <definedName name="OT0" localSheetId="8">#REF!</definedName>
    <definedName name="OT0" localSheetId="6">#REF!</definedName>
    <definedName name="OT0" localSheetId="4">#REF!</definedName>
    <definedName name="OT0" localSheetId="1">#REF!</definedName>
    <definedName name="OT0" localSheetId="7">#REF!</definedName>
    <definedName name="OT0" localSheetId="3">#REF!</definedName>
    <definedName name="OT0" localSheetId="11">#REF!</definedName>
    <definedName name="OT0" localSheetId="9">#REF!</definedName>
    <definedName name="OT0" localSheetId="5">#REF!</definedName>
    <definedName name="OT0" localSheetId="17">#REF!</definedName>
    <definedName name="OT0" localSheetId="15">#REF!</definedName>
    <definedName name="OT0" localSheetId="13">#REF!</definedName>
    <definedName name="OT0" localSheetId="18">#REF!</definedName>
    <definedName name="OT0" localSheetId="16">#REF!</definedName>
    <definedName name="OT0" localSheetId="20">#REF!</definedName>
    <definedName name="OT0" localSheetId="14">#REF!</definedName>
    <definedName name="OT0">#REF!</definedName>
    <definedName name="out" localSheetId="12">#REF!</definedName>
    <definedName name="out" localSheetId="10">#REF!</definedName>
    <definedName name="out" localSheetId="4">#REF!</definedName>
    <definedName name="out">#REF!</definedName>
    <definedName name="Paladiana">[11]Prices!$B$380</definedName>
    <definedName name="Paralon_nt4">[11]Prices!$B$382</definedName>
    <definedName name="pay" localSheetId="12">'[9]Materials on site'!#REF!</definedName>
    <definedName name="pay" localSheetId="10">'[9]Materials on site'!#REF!</definedName>
    <definedName name="pay" localSheetId="8">'[9]Materials on site'!#REF!</definedName>
    <definedName name="pay" localSheetId="6">'[9]Materials on site'!#REF!</definedName>
    <definedName name="pay" localSheetId="4">'[9]Materials on site'!#REF!</definedName>
    <definedName name="pay" localSheetId="1">'[9]Materials on site'!#REF!</definedName>
    <definedName name="pay" localSheetId="7">'[9]Materials on site'!#REF!</definedName>
    <definedName name="pay" localSheetId="3">'[9]Materials on site'!#REF!</definedName>
    <definedName name="pay" localSheetId="11">'[9]Materials on site'!#REF!</definedName>
    <definedName name="pay" localSheetId="9">'[9]Materials on site'!#REF!</definedName>
    <definedName name="pay" localSheetId="5">'[9]Materials on site'!#REF!</definedName>
    <definedName name="pay" localSheetId="17">'[9]Materials on site'!#REF!</definedName>
    <definedName name="pay" localSheetId="15">'[9]Materials on site'!#REF!</definedName>
    <definedName name="pay" localSheetId="13">'[9]Materials on site'!#REF!</definedName>
    <definedName name="pay" localSheetId="16">'[9]Materials on site'!#REF!</definedName>
    <definedName name="pay" localSheetId="20">'[9]Materials on site'!#REF!</definedName>
    <definedName name="pay" localSheetId="14">'[9]Materials on site'!#REF!</definedName>
    <definedName name="pay">'[9]Materials on site'!#REF!</definedName>
    <definedName name="Pay_Date" localSheetId="12">#REF!</definedName>
    <definedName name="Pay_Date" localSheetId="10">#REF!</definedName>
    <definedName name="Pay_Date" localSheetId="8">#REF!</definedName>
    <definedName name="Pay_Date" localSheetId="6">#REF!</definedName>
    <definedName name="Pay_Date" localSheetId="4">#REF!</definedName>
    <definedName name="Pay_Date" localSheetId="1">#REF!</definedName>
    <definedName name="Pay_Date" localSheetId="7">#REF!</definedName>
    <definedName name="Pay_Date" localSheetId="3">#REF!</definedName>
    <definedName name="Pay_Date" localSheetId="11">#REF!</definedName>
    <definedName name="Pay_Date" localSheetId="9">#REF!</definedName>
    <definedName name="Pay_Date" localSheetId="5">#REF!</definedName>
    <definedName name="Pay_Date" localSheetId="17">#REF!</definedName>
    <definedName name="Pay_Date" localSheetId="15">#REF!</definedName>
    <definedName name="Pay_Date" localSheetId="13">#REF!</definedName>
    <definedName name="Pay_Date" localSheetId="18">#REF!</definedName>
    <definedName name="Pay_Date" localSheetId="16">#REF!</definedName>
    <definedName name="Pay_Date" localSheetId="20">#REF!</definedName>
    <definedName name="Pay_Date" localSheetId="14">#REF!</definedName>
    <definedName name="Pay_Date">#REF!</definedName>
    <definedName name="Pay_Num" localSheetId="12">#REF!</definedName>
    <definedName name="Pay_Num" localSheetId="10">#REF!</definedName>
    <definedName name="Pay_Num" localSheetId="8">#REF!</definedName>
    <definedName name="Pay_Num" localSheetId="6">#REF!</definedName>
    <definedName name="Pay_Num" localSheetId="4">#REF!</definedName>
    <definedName name="Pay_Num" localSheetId="1">#REF!</definedName>
    <definedName name="Pay_Num" localSheetId="7">#REF!</definedName>
    <definedName name="Pay_Num" localSheetId="3">#REF!</definedName>
    <definedName name="Pay_Num" localSheetId="11">#REF!</definedName>
    <definedName name="Pay_Num" localSheetId="9">#REF!</definedName>
    <definedName name="Pay_Num" localSheetId="5">#REF!</definedName>
    <definedName name="Pay_Num" localSheetId="17">#REF!</definedName>
    <definedName name="Pay_Num" localSheetId="15">#REF!</definedName>
    <definedName name="Pay_Num" localSheetId="13">#REF!</definedName>
    <definedName name="Pay_Num" localSheetId="18">#REF!</definedName>
    <definedName name="Pay_Num" localSheetId="16">#REF!</definedName>
    <definedName name="Pay_Num" localSheetId="20">#REF!</definedName>
    <definedName name="Pay_Num" localSheetId="14">#REF!</definedName>
    <definedName name="Pay_Num">#REF!</definedName>
    <definedName name="Payment_Date" localSheetId="12">DATE(YEAR('2BD BLK FLAT '!Loan_Start),MONTH('2BD BLK FLAT '!Loan_Start)+Payment_Number,DAY('2BD BLK FLAT '!Loan_Start))</definedName>
    <definedName name="Payment_Date" localSheetId="10">DATE(YEAR('3BD BLK FLAT'!Loan_Start),MONTH('3BD BLK FLAT'!Loan_Start)+Payment_Number,DAY('3BD BLK FLAT'!Loan_Start))</definedName>
    <definedName name="Payment_Date" localSheetId="8">DATE(YEAR(Loan_Start),MONTH(Loan_Start)+Payment_Number,DAY(Loan_Start))</definedName>
    <definedName name="Payment_Date" localSheetId="6">DATE(YEAR(Loan_Start),MONTH(Loan_Start)+Payment_Number,DAY(Loan_Start))</definedName>
    <definedName name="Payment_Date" localSheetId="4">DATE(YEAR('6BD detatched'!Loan_Start),MONTH('6BD detatched'!Loan_Start)+Payment_Number,DAY('6BD detatched'!Loan_Start))</definedName>
    <definedName name="Payment_Date" localSheetId="1">DATE(YEAR(Loan_Start),MONTH(Loan_Start)+Payment_Number,DAY(Loan_Start))</definedName>
    <definedName name="Payment_Date" localSheetId="7">DATE(YEAR(Loan_Start),MONTH(Loan_Start)+Payment_Number,DAY(Loan_Start))</definedName>
    <definedName name="Payment_Date" localSheetId="3">DATE(YEAR([0]!Loan_Start),MONTH([0]!Loan_Start)+Payment_Number,DAY([0]!Loan_Start))</definedName>
    <definedName name="Payment_Date" localSheetId="11">DATE(YEAR([0]!Loan_Start),MONTH([0]!Loan_Start)+Payment_Number,DAY([0]!Loan_Start))</definedName>
    <definedName name="Payment_Date" localSheetId="9">DATE(YEAR([0]!Loan_Start),MONTH([0]!Loan_Start)+Payment_Number,DAY([0]!Loan_Start))</definedName>
    <definedName name="Payment_Date" localSheetId="5">DATE(YEAR([0]!Loan_Start),MONTH([0]!Loan_Start)+Payment_Number,DAY([0]!Loan_Start))</definedName>
    <definedName name="Payment_Date" localSheetId="17">DATE(YEAR([0]!Loan_Start),MONTH([0]!Loan_Start)+Payment_Number,DAY([0]!Loan_Start))</definedName>
    <definedName name="Payment_Date" localSheetId="15">DATE(YEAR([0]!Loan_Start),MONTH([0]!Loan_Start)+Payment_Number,DAY([0]!Loan_Start))</definedName>
    <definedName name="Payment_Date" localSheetId="13">DATE(YEAR([0]!Loan_Start),MONTH([0]!Loan_Start)+Payment_Number,DAY([0]!Loan_Start))</definedName>
    <definedName name="Payment_Date" localSheetId="18">DATE(YEAR([0]!Loan_Start),MONTH([0]!Loan_Start)+Payment_Number,DAY([0]!Loan_Start))</definedName>
    <definedName name="Payment_Date" localSheetId="16">DATE(YEAR(Loan_Start),MONTH(Loan_Start)+Payment_Number,DAY(Loan_Start))</definedName>
    <definedName name="Payment_Date" localSheetId="20">DATE(YEAR(Loan_Start),MONTH(Loan_Start)+Payment_Number,DAY(Loan_Start))</definedName>
    <definedName name="Payment_Date" localSheetId="14">DATE(YEAR(Loan_Start),MONTH(Loan_Start)+Payment_Number,DAY(Loan_Start))</definedName>
    <definedName name="Payment_Date">DATE(YEAR(Loan_Start),MONTH(Loan_Start)+Payment_Number,DAY(Loan_Start))</definedName>
    <definedName name="PeriodFMICwork">[23]Sheet3!$D$102</definedName>
    <definedName name="PF" localSheetId="12">#REF!</definedName>
    <definedName name="PF" localSheetId="10">#REF!</definedName>
    <definedName name="PF" localSheetId="8">#REF!</definedName>
    <definedName name="PF" localSheetId="6">#REF!</definedName>
    <definedName name="PF" localSheetId="4">#REF!</definedName>
    <definedName name="PF" localSheetId="1">#REF!</definedName>
    <definedName name="PF" localSheetId="2">#REF!</definedName>
    <definedName name="PF" localSheetId="7">#REF!</definedName>
    <definedName name="PF" localSheetId="3">#REF!</definedName>
    <definedName name="PF" localSheetId="11">#REF!</definedName>
    <definedName name="PF" localSheetId="9">#REF!</definedName>
    <definedName name="PF" localSheetId="5">#REF!</definedName>
    <definedName name="PF" localSheetId="17">#REF!</definedName>
    <definedName name="PF" localSheetId="15">#REF!</definedName>
    <definedName name="PF" localSheetId="13">#REF!</definedName>
    <definedName name="PF" localSheetId="18">#REF!</definedName>
    <definedName name="PF" localSheetId="16">#REF!</definedName>
    <definedName name="PF" localSheetId="20">#REF!</definedName>
    <definedName name="PF" localSheetId="14">#REF!</definedName>
    <definedName name="PF">#REF!</definedName>
    <definedName name="PF0" localSheetId="12">#REF!</definedName>
    <definedName name="PF0" localSheetId="10">#REF!</definedName>
    <definedName name="PF0" localSheetId="8">#REF!</definedName>
    <definedName name="PF0" localSheetId="6">#REF!</definedName>
    <definedName name="PF0" localSheetId="4">#REF!</definedName>
    <definedName name="PF0" localSheetId="1">#REF!</definedName>
    <definedName name="PF0" localSheetId="7">#REF!</definedName>
    <definedName name="PF0" localSheetId="3">#REF!</definedName>
    <definedName name="PF0" localSheetId="11">#REF!</definedName>
    <definedName name="PF0" localSheetId="9">#REF!</definedName>
    <definedName name="PF0" localSheetId="5">#REF!</definedName>
    <definedName name="PF0" localSheetId="17">#REF!</definedName>
    <definedName name="PF0" localSheetId="15">#REF!</definedName>
    <definedName name="PF0" localSheetId="13">#REF!</definedName>
    <definedName name="PF0" localSheetId="18">#REF!</definedName>
    <definedName name="PF0" localSheetId="16">#REF!</definedName>
    <definedName name="PF0" localSheetId="20">#REF!</definedName>
    <definedName name="PF0" localSheetId="14">#REF!</definedName>
    <definedName name="PF0">#REF!</definedName>
    <definedName name="PLAY" localSheetId="12">{#N/A,#N/A,FALSE,"AFR-ELC"}</definedName>
    <definedName name="PLAY" localSheetId="10">{#N/A,#N/A,FALSE,"AFR-ELC"}</definedName>
    <definedName name="PLAY" localSheetId="6">{#N/A,#N/A,FALSE,"AFR-ELC"}</definedName>
    <definedName name="PLAY" localSheetId="4">{#N/A,#N/A,FALSE,"AFR-ELC"}</definedName>
    <definedName name="PLAY">{#N/A,#N/A,FALSE,"AFR-ELC"}</definedName>
    <definedName name="PLS" localSheetId="12">#REF!</definedName>
    <definedName name="PLS" localSheetId="10">#REF!</definedName>
    <definedName name="PLS" localSheetId="8">#REF!</definedName>
    <definedName name="PLS" localSheetId="6">#REF!</definedName>
    <definedName name="PLS" localSheetId="4">#REF!</definedName>
    <definedName name="PLS" localSheetId="1">#REF!</definedName>
    <definedName name="PLS" localSheetId="7">#REF!</definedName>
    <definedName name="PLS" localSheetId="3">#REF!</definedName>
    <definedName name="PLS" localSheetId="11">#REF!</definedName>
    <definedName name="PLS" localSheetId="9">#REF!</definedName>
    <definedName name="PLS" localSheetId="5">#REF!</definedName>
    <definedName name="PLS" localSheetId="17">#REF!</definedName>
    <definedName name="PLS" localSheetId="15">#REF!</definedName>
    <definedName name="PLS" localSheetId="13">#REF!</definedName>
    <definedName name="PLS" localSheetId="18">#REF!</definedName>
    <definedName name="PLS" localSheetId="16">#REF!</definedName>
    <definedName name="PLS" localSheetId="20">#REF!</definedName>
    <definedName name="PLS" localSheetId="14">#REF!</definedName>
    <definedName name="PLS">#REF!</definedName>
    <definedName name="PLUMBING" localSheetId="12">#REF!</definedName>
    <definedName name="PLUMBING" localSheetId="10">#REF!</definedName>
    <definedName name="PLUMBING" localSheetId="4">#REF!</definedName>
    <definedName name="PLUMBING">#REF!</definedName>
    <definedName name="Plywood_marine_.75">[11]Prices!$B$396</definedName>
    <definedName name="Polish">[11]Prices!$B$397</definedName>
    <definedName name="Polyfiller_PVA__adehesive">[11]Prices!$B$400</definedName>
    <definedName name="Polyfiller_TAC_powder">[11]Prices!$B$399</definedName>
    <definedName name="Polystyrene">[11]Prices!$B$401</definedName>
    <definedName name="Polythene">[11]Prices!$B$402</definedName>
    <definedName name="Polythene_sheets">[11]Rates!$A$93</definedName>
    <definedName name="Price_per_Unit">[18]BEP!$C$4</definedName>
    <definedName name="Princ" localSheetId="12">#REF!</definedName>
    <definedName name="Princ" localSheetId="10">#REF!</definedName>
    <definedName name="Princ" localSheetId="8">#REF!</definedName>
    <definedName name="Princ" localSheetId="6">#REF!</definedName>
    <definedName name="Princ" localSheetId="4">#REF!</definedName>
    <definedName name="Princ" localSheetId="1">#REF!</definedName>
    <definedName name="Princ" localSheetId="7">#REF!</definedName>
    <definedName name="Princ" localSheetId="3">#REF!</definedName>
    <definedName name="Princ" localSheetId="11">#REF!</definedName>
    <definedName name="Princ" localSheetId="9">#REF!</definedName>
    <definedName name="Princ" localSheetId="5">#REF!</definedName>
    <definedName name="Princ" localSheetId="17">#REF!</definedName>
    <definedName name="Princ" localSheetId="15">#REF!</definedName>
    <definedName name="Princ" localSheetId="13">#REF!</definedName>
    <definedName name="Princ" localSheetId="18">#REF!</definedName>
    <definedName name="Princ" localSheetId="16">#REF!</definedName>
    <definedName name="Princ" localSheetId="20">#REF!</definedName>
    <definedName name="Princ" localSheetId="14">#REF!</definedName>
    <definedName name="Princ">#REF!</definedName>
    <definedName name="PRINT" localSheetId="2">#REF!</definedName>
    <definedName name="Print">'[12]Exhibit VI-8'!$A$12:$G$21</definedName>
    <definedName name="_xlnm.Print_Area" localSheetId="12">'2BD BLK FLAT '!$A$1:$F$930</definedName>
    <definedName name="_xlnm.Print_Area" localSheetId="10">'3BD BLK FLAT'!$A$1:$F$933</definedName>
    <definedName name="_xlnm.Print_Area" localSheetId="8">'3BD TERRACE'!$A$1:$F$946</definedName>
    <definedName name="_xlnm.Print_Area" localSheetId="6">'4BD SEMI-DETACHED'!$A$1:$F$951</definedName>
    <definedName name="_xlnm.Print_Area" localSheetId="4">'6BD detatched'!$A$1:$F$930</definedName>
    <definedName name="_xlnm.Print_Area" localSheetId="0">BILL!$A$1:$F$1152</definedName>
    <definedName name="_xlnm.Print_Area" localSheetId="1">'BILL (2)'!$A$1:$F$1068</definedName>
    <definedName name="_xlnm.Print_Area" localSheetId="2">'Cover Page'!$A$1:$J$36</definedName>
    <definedName name="_xlnm.Print_Area" localSheetId="7">'Cover page (3 bd terrace'!$A$1:$J$29</definedName>
    <definedName name="_xlnm.Print_Area" localSheetId="3">'Cover page (6bd'!$A$1:$J$29</definedName>
    <definedName name="_xlnm.Print_Area" localSheetId="11">'cover page 2BD BLK FLAT'!$A$1:$J$29</definedName>
    <definedName name="_xlnm.Print_Area" localSheetId="9">'Cover page 3BD BLK FLAT'!$A$1:$J$29</definedName>
    <definedName name="_xlnm.Print_Area" localSheetId="5">'Cover page 4bd semi detached'!$A$1:$J$29</definedName>
    <definedName name="_xlnm.Print_Area" localSheetId="17">'Cover page fence'!$A$1:$J$29</definedName>
    <definedName name="_xlnm.Print_Area" localSheetId="15">'Cover page GATEhouse'!$A$1:$J$29</definedName>
    <definedName name="_xlnm.Print_Area" localSheetId="13">'Cover page site office'!$A$1:$J$29</definedName>
    <definedName name="_xlnm.Print_Area" localSheetId="18">'Fence work '!$A$1:$F$178</definedName>
    <definedName name="_xlnm.Print_Area" localSheetId="16">'GATE HOUSE'!$A$1:$F$535</definedName>
    <definedName name="_xlnm.Print_Area" localSheetId="20">'General Summary'!$A$1:$F$47</definedName>
    <definedName name="_xlnm.Print_Area" localSheetId="14">'Site office'!$A$1:$F$520</definedName>
    <definedName name="_xlnm.Print_Area">#REF!</definedName>
    <definedName name="PRINT_AREA_MI" localSheetId="12">#REF!</definedName>
    <definedName name="PRINT_AREA_MI" localSheetId="10">#REF!</definedName>
    <definedName name="PRINT_AREA_MI" localSheetId="8">#REF!</definedName>
    <definedName name="PRINT_AREA_MI" localSheetId="6">#REF!</definedName>
    <definedName name="PRINT_AREA_MI" localSheetId="4">#REF!</definedName>
    <definedName name="PRINT_AREA_MI" localSheetId="1">#REF!</definedName>
    <definedName name="Print_Area_MI" localSheetId="2">#REF!</definedName>
    <definedName name="PRINT_AREA_MI" localSheetId="7">#REF!</definedName>
    <definedName name="PRINT_AREA_MI" localSheetId="3">#REF!</definedName>
    <definedName name="PRINT_AREA_MI" localSheetId="11">#REF!</definedName>
    <definedName name="PRINT_AREA_MI" localSheetId="9">#REF!</definedName>
    <definedName name="PRINT_AREA_MI" localSheetId="5">#REF!</definedName>
    <definedName name="PRINT_AREA_MI" localSheetId="17">#REF!</definedName>
    <definedName name="PRINT_AREA_MI" localSheetId="15">#REF!</definedName>
    <definedName name="PRINT_AREA_MI" localSheetId="13">#REF!</definedName>
    <definedName name="PRINT_AREA_MI" localSheetId="18">#REF!</definedName>
    <definedName name="PRINT_AREA_MI" localSheetId="16">#REF!</definedName>
    <definedName name="PRINT_AREA_MI" localSheetId="20">#REF!</definedName>
    <definedName name="PRINT_AREA_MI" localSheetId="14">#REF!</definedName>
    <definedName name="PRINT_AREA_MI">#REF!</definedName>
    <definedName name="Print_Area_Reset" localSheetId="12">OFFSET('2BD BLK FLAT '!Full_Print,0,0,'2BD BLK FLAT '!Last_Row)</definedName>
    <definedName name="Print_Area_Reset" localSheetId="10">OFFSET('3BD BLK FLAT'!Full_Print,0,0,'3BD BLK FLAT'!Last_Row)</definedName>
    <definedName name="Print_Area_Reset" localSheetId="8">OFFSET('3BD TERRACE'!Full_Print,0,0,'3BD TERRACE'!Last_Row)</definedName>
    <definedName name="Print_Area_Reset" localSheetId="6">OFFSET('4BD SEMI-DETACHED'!Full_Print,0,0,'4BD SEMI-DETACHED'!Last_Row)</definedName>
    <definedName name="Print_Area_Reset" localSheetId="4">OFFSET('6BD detatched'!Full_Print,0,0,'6BD detatched'!Last_Row)</definedName>
    <definedName name="Print_Area_Reset" localSheetId="1">OFFSET('BILL (2)'!Full_Print,0,0,'BILL (2)'!Last_Row)</definedName>
    <definedName name="Print_Area_Reset" localSheetId="7">OFFSET('Cover page (3 bd terrace'!Full_Print,0,0,'Cover page (3 bd terrace'!Last_Row)</definedName>
    <definedName name="Print_Area_Reset" localSheetId="3">OFFSET('Cover page (6bd'!Full_Print,0,0,'Cover page (6bd'!Last_Row)</definedName>
    <definedName name="Print_Area_Reset" localSheetId="11">OFFSET('cover page 2BD BLK FLAT'!Full_Print,0,0,'cover page 2BD BLK FLAT'!Last_Row)</definedName>
    <definedName name="Print_Area_Reset" localSheetId="9">OFFSET('Cover page 3BD BLK FLAT'!Full_Print,0,0,'Cover page 3BD BLK FLAT'!Last_Row)</definedName>
    <definedName name="Print_Area_Reset" localSheetId="5">OFFSET('Cover page 4bd semi detached'!Full_Print,0,0,'Cover page 4bd semi detached'!Last_Row)</definedName>
    <definedName name="Print_Area_Reset" localSheetId="17">OFFSET('Cover page fence'!Full_Print,0,0,'Cover page fence'!Last_Row)</definedName>
    <definedName name="Print_Area_Reset" localSheetId="15">OFFSET('Cover page GATEhouse'!Full_Print,0,0,'Cover page GATEhouse'!Last_Row)</definedName>
    <definedName name="Print_Area_Reset" localSheetId="13">OFFSET('Cover page site office'!Full_Print,0,0,'Cover page site office'!Last_Row)</definedName>
    <definedName name="Print_Area_Reset" localSheetId="18">OFFSET('Fence work '!Full_Print,0,0,'Fence work '!Last_Row)</definedName>
    <definedName name="Print_Area_Reset" localSheetId="16">OFFSET('GATE HOUSE'!Full_Print,0,0,'GATE HOUSE'!Last_Row)</definedName>
    <definedName name="Print_Area_Reset" localSheetId="20">OFFSET('General Summary'!Full_Print,0,0,'General Summary'!Last_Row)</definedName>
    <definedName name="Print_Area_Reset" localSheetId="14">OFFSET('Site office'!Full_Print,0,0,'Site office'!Last_Row)</definedName>
    <definedName name="Print_Area_Reset">OFFSET(Full_Print,0,0,Last_Row)</definedName>
    <definedName name="_xlnm.Print_Titles" localSheetId="1">[24]Model!#REF!</definedName>
    <definedName name="_xlnm.Print_Titles" localSheetId="7">[24]Model!#REF!</definedName>
    <definedName name="_xlnm.Print_Titles" localSheetId="3">[24]Model!#REF!</definedName>
    <definedName name="_xlnm.Print_Titles" localSheetId="11">[24]Model!#REF!</definedName>
    <definedName name="_xlnm.Print_Titles" localSheetId="9">[24]Model!#REF!</definedName>
    <definedName name="_xlnm.Print_Titles" localSheetId="5">[24]Model!#REF!</definedName>
    <definedName name="_xlnm.Print_Titles" localSheetId="17">[24]Model!#REF!</definedName>
    <definedName name="_xlnm.Print_Titles" localSheetId="15">[24]Model!#REF!</definedName>
    <definedName name="_xlnm.Print_Titles" localSheetId="13">[24]Model!#REF!</definedName>
    <definedName name="_xlnm.Print_Titles" localSheetId="16">[24]Model!#REF!</definedName>
    <definedName name="_xlnm.Print_Titles" localSheetId="14">[24]Model!#REF!</definedName>
    <definedName name="_xlnm.Print_Titles">[24]Model!#REF!</definedName>
    <definedName name="PRINTER" localSheetId="12">#REF!</definedName>
    <definedName name="PRINTER" localSheetId="10">#REF!</definedName>
    <definedName name="PRINTER" localSheetId="8">#REF!</definedName>
    <definedName name="PRINTER" localSheetId="6">#REF!</definedName>
    <definedName name="PRINTER" localSheetId="4">#REF!</definedName>
    <definedName name="PRINTER" localSheetId="1">#REF!</definedName>
    <definedName name="PRINTER" localSheetId="2">#REF!</definedName>
    <definedName name="PRINTER" localSheetId="7">#REF!</definedName>
    <definedName name="PRINTER" localSheetId="3">#REF!</definedName>
    <definedName name="PRINTER" localSheetId="11">#REF!</definedName>
    <definedName name="PRINTER" localSheetId="9">#REF!</definedName>
    <definedName name="PRINTER" localSheetId="5">#REF!</definedName>
    <definedName name="PRINTER" localSheetId="17">#REF!</definedName>
    <definedName name="PRINTER" localSheetId="15">#REF!</definedName>
    <definedName name="PRINTER" localSheetId="13">#REF!</definedName>
    <definedName name="PRINTER" localSheetId="18">#REF!</definedName>
    <definedName name="PRINTER" localSheetId="16">#REF!</definedName>
    <definedName name="PRINTER" localSheetId="20">#REF!</definedName>
    <definedName name="PRINTER" localSheetId="14">#REF!</definedName>
    <definedName name="PRINTER">#REF!</definedName>
    <definedName name="ProjCostToDate">[23]Sheet3!$C$106</definedName>
    <definedName name="ProjectName" localSheetId="12">{"Client Name or Project Name"}</definedName>
    <definedName name="ProjectName" localSheetId="10">{"Client Name or Project Name"}</definedName>
    <definedName name="ProjectName" localSheetId="8">{"Client Name or Project Name"}</definedName>
    <definedName name="ProjectName" localSheetId="6">{"Client Name or Project Name"}</definedName>
    <definedName name="ProjectName" localSheetId="4">{"Client Name or Project Name"}</definedName>
    <definedName name="ProjectName" localSheetId="1">{"Client Name or Project Name"}</definedName>
    <definedName name="ProjectName" localSheetId="7">{"Client Name or Project Name"}</definedName>
    <definedName name="ProjectName" localSheetId="3">{"Client Name or Project Name"}</definedName>
    <definedName name="ProjectName" localSheetId="11">{"Client Name or Project Name"}</definedName>
    <definedName name="ProjectName" localSheetId="9">{"Client Name or Project Name"}</definedName>
    <definedName name="ProjectName" localSheetId="5">{"Client Name or Project Name"}</definedName>
    <definedName name="ProjectName" localSheetId="17">{"Client Name or Project Name"}</definedName>
    <definedName name="ProjectName" localSheetId="15">{"Client Name or Project Name"}</definedName>
    <definedName name="ProjectName" localSheetId="13">{"Client Name or Project Name"}</definedName>
    <definedName name="ProjectName" localSheetId="18">{"Client Name or Project Name"}</definedName>
    <definedName name="ProjectName" localSheetId="16">{"Client Name or Project Name"}</definedName>
    <definedName name="ProjectName" localSheetId="20">{"Client Name or Project Name"}</definedName>
    <definedName name="ProjectName" localSheetId="14">{"Client Name or Project Name"}</definedName>
    <definedName name="ProjectName">{"Client Name or Project Name"}</definedName>
    <definedName name="ProjectName2" localSheetId="12">{"Client Name or Project Name"}</definedName>
    <definedName name="ProjectName2" localSheetId="10">{"Client Name or Project Name"}</definedName>
    <definedName name="ProjectName2" localSheetId="8">{"Client Name or Project Name"}</definedName>
    <definedName name="ProjectName2" localSheetId="6">{"Client Name or Project Name"}</definedName>
    <definedName name="ProjectName2" localSheetId="4">{"Client Name or Project Name"}</definedName>
    <definedName name="ProjectName2" localSheetId="1">{"Client Name or Project Name"}</definedName>
    <definedName name="ProjectName2" localSheetId="7">{"Client Name or Project Name"}</definedName>
    <definedName name="ProjectName2" localSheetId="3">{"Client Name or Project Name"}</definedName>
    <definedName name="ProjectName2" localSheetId="11">{"Client Name or Project Name"}</definedName>
    <definedName name="ProjectName2" localSheetId="9">{"Client Name or Project Name"}</definedName>
    <definedName name="ProjectName2" localSheetId="5">{"Client Name or Project Name"}</definedName>
    <definedName name="ProjectName2" localSheetId="17">{"Client Name or Project Name"}</definedName>
    <definedName name="ProjectName2" localSheetId="15">{"Client Name or Project Name"}</definedName>
    <definedName name="ProjectName2" localSheetId="13">{"Client Name or Project Name"}</definedName>
    <definedName name="ProjectName2" localSheetId="18">{"Client Name or Project Name"}</definedName>
    <definedName name="ProjectName2" localSheetId="16">{"Client Name or Project Name"}</definedName>
    <definedName name="ProjectName2" localSheetId="20">{"Client Name or Project Name"}</definedName>
    <definedName name="ProjectName2" localSheetId="14">{"Client Name or Project Name"}</definedName>
    <definedName name="ProjectName2">{"Client Name or Project Name"}</definedName>
    <definedName name="ProjectName3" localSheetId="12">{"Client Name or Project Name"}</definedName>
    <definedName name="ProjectName3" localSheetId="10">{"Client Name or Project Name"}</definedName>
    <definedName name="ProjectName3" localSheetId="8">{"Client Name or Project Name"}</definedName>
    <definedName name="ProjectName3" localSheetId="6">{"Client Name or Project Name"}</definedName>
    <definedName name="ProjectName3" localSheetId="4">{"Client Name or Project Name"}</definedName>
    <definedName name="ProjectName3" localSheetId="1">{"Client Name or Project Name"}</definedName>
    <definedName name="ProjectName3" localSheetId="7">{"Client Name or Project Name"}</definedName>
    <definedName name="ProjectName3" localSheetId="3">{"Client Name or Project Name"}</definedName>
    <definedName name="ProjectName3" localSheetId="11">{"Client Name or Project Name"}</definedName>
    <definedName name="ProjectName3" localSheetId="9">{"Client Name or Project Name"}</definedName>
    <definedName name="ProjectName3" localSheetId="5">{"Client Name or Project Name"}</definedName>
    <definedName name="ProjectName3" localSheetId="17">{"Client Name or Project Name"}</definedName>
    <definedName name="ProjectName3" localSheetId="15">{"Client Name or Project Name"}</definedName>
    <definedName name="ProjectName3" localSheetId="13">{"Client Name or Project Name"}</definedName>
    <definedName name="ProjectName3" localSheetId="18">{"Client Name or Project Name"}</definedName>
    <definedName name="ProjectName3" localSheetId="16">{"Client Name or Project Name"}</definedName>
    <definedName name="ProjectName3" localSheetId="20">{"Client Name or Project Name"}</definedName>
    <definedName name="ProjectName3" localSheetId="14">{"Client Name or Project Name"}</definedName>
    <definedName name="ProjectName3">{"Client Name or Project Name"}</definedName>
    <definedName name="Pudlo">[11]Prices!$B$409</definedName>
    <definedName name="q" localSheetId="12">#REF!</definedName>
    <definedName name="q" localSheetId="10">#REF!</definedName>
    <definedName name="q" localSheetId="6">#REF!</definedName>
    <definedName name="q" localSheetId="4">#REF!</definedName>
    <definedName name="q" localSheetId="14">#REF!</definedName>
    <definedName name="q">#REF!</definedName>
    <definedName name="qq">'[25]Diesel claim'!$G$38,'[25]Diesel claim'!$G$40,'[25]Diesel claim'!$G$42,'[25]Diesel claim'!$G$44</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S">'[16]Val Details'!$C$52</definedName>
    <definedName name="Quantity">"C1"</definedName>
    <definedName name="Quarry_tiles">[11]Prices!$B$415</definedName>
    <definedName name="RAT" localSheetId="12" hidden="1">{#N/A,#N/A,FALSE,"AFR-ELC"}</definedName>
    <definedName name="RAT" localSheetId="10" hidden="1">{#N/A,#N/A,FALSE,"AFR-ELC"}</definedName>
    <definedName name="RAT" localSheetId="8" hidden="1">{#N/A,#N/A,FALSE,"AFR-ELC"}</definedName>
    <definedName name="RAT" localSheetId="6" hidden="1">{#N/A,#N/A,FALSE,"AFR-ELC"}</definedName>
    <definedName name="RAT" localSheetId="4" hidden="1">{#N/A,#N/A,FALSE,"AFR-ELC"}</definedName>
    <definedName name="RAT" localSheetId="1" hidden="1">{#N/A,#N/A,FALSE,"AFR-ELC"}</definedName>
    <definedName name="RAT" localSheetId="7" hidden="1">{#N/A,#N/A,FALSE,"AFR-ELC"}</definedName>
    <definedName name="RAT" localSheetId="3" hidden="1">{#N/A,#N/A,FALSE,"AFR-ELC"}</definedName>
    <definedName name="RAT" localSheetId="11" hidden="1">{#N/A,#N/A,FALSE,"AFR-ELC"}</definedName>
    <definedName name="RAT" localSheetId="9" hidden="1">{#N/A,#N/A,FALSE,"AFR-ELC"}</definedName>
    <definedName name="RAT" localSheetId="5" hidden="1">{#N/A,#N/A,FALSE,"AFR-ELC"}</definedName>
    <definedName name="RAT" localSheetId="17" hidden="1">{#N/A,#N/A,FALSE,"AFR-ELC"}</definedName>
    <definedName name="RAT" localSheetId="15" hidden="1">{#N/A,#N/A,FALSE,"AFR-ELC"}</definedName>
    <definedName name="RAT" localSheetId="13" hidden="1">{#N/A,#N/A,FALSE,"AFR-ELC"}</definedName>
    <definedName name="RAT" localSheetId="18" hidden="1">{#N/A,#N/A,FALSE,"AFR-ELC"}</definedName>
    <definedName name="RAT" localSheetId="16" hidden="1">{#N/A,#N/A,FALSE,"AFR-ELC"}</definedName>
    <definedName name="RAT" localSheetId="20" hidden="1">{#N/A,#N/A,FALSE,"AFR-ELC"}</definedName>
    <definedName name="RAT" localSheetId="14" hidden="1">{#N/A,#N/A,FALSE,"AFR-ELC"}</definedName>
    <definedName name="RAT" hidden="1">{#N/A,#N/A,FALSE,"AFR-ELC"}</definedName>
    <definedName name="RATE" localSheetId="12" hidden="1">{#N/A,#N/A,FALSE,"AFR-ELC"}</definedName>
    <definedName name="RATE" localSheetId="10" hidden="1">{#N/A,#N/A,FALSE,"AFR-ELC"}</definedName>
    <definedName name="RATE" localSheetId="8" hidden="1">{#N/A,#N/A,FALSE,"AFR-ELC"}</definedName>
    <definedName name="RATE" localSheetId="6" hidden="1">{#N/A,#N/A,FALSE,"AFR-ELC"}</definedName>
    <definedName name="RATE" localSheetId="4" hidden="1">{#N/A,#N/A,FALSE,"AFR-ELC"}</definedName>
    <definedName name="RATE" localSheetId="1" hidden="1">{#N/A,#N/A,FALSE,"AFR-ELC"}</definedName>
    <definedName name="RATE" localSheetId="7" hidden="1">{#N/A,#N/A,FALSE,"AFR-ELC"}</definedName>
    <definedName name="RATE" localSheetId="3" hidden="1">{#N/A,#N/A,FALSE,"AFR-ELC"}</definedName>
    <definedName name="RATE" localSheetId="11" hidden="1">{#N/A,#N/A,FALSE,"AFR-ELC"}</definedName>
    <definedName name="RATE" localSheetId="9" hidden="1">{#N/A,#N/A,FALSE,"AFR-ELC"}</definedName>
    <definedName name="RATE" localSheetId="5" hidden="1">{#N/A,#N/A,FALSE,"AFR-ELC"}</definedName>
    <definedName name="RATE" localSheetId="17" hidden="1">{#N/A,#N/A,FALSE,"AFR-ELC"}</definedName>
    <definedName name="RATE" localSheetId="15" hidden="1">{#N/A,#N/A,FALSE,"AFR-ELC"}</definedName>
    <definedName name="RATE" localSheetId="13" hidden="1">{#N/A,#N/A,FALSE,"AFR-ELC"}</definedName>
    <definedName name="RATE" localSheetId="18" hidden="1">{#N/A,#N/A,FALSE,"AFR-ELC"}</definedName>
    <definedName name="RATE" localSheetId="16" hidden="1">{#N/A,#N/A,FALSE,"AFR-ELC"}</definedName>
    <definedName name="RATE" localSheetId="20" hidden="1">{#N/A,#N/A,FALSE,"AFR-ELC"}</definedName>
    <definedName name="RATE" localSheetId="14" hidden="1">{#N/A,#N/A,FALSE,"AFR-ELC"}</definedName>
    <definedName name="RATE" hidden="1">{#N/A,#N/A,FALSE,"AFR-ELC"}</definedName>
    <definedName name="RCLCo_Products">'[26]TCG PRODUCT MENU'!$A$48:$R$67</definedName>
    <definedName name="result" localSheetId="12">#REF!</definedName>
    <definedName name="result" localSheetId="10">#REF!</definedName>
    <definedName name="result" localSheetId="6">#REF!</definedName>
    <definedName name="result" localSheetId="4">#REF!</definedName>
    <definedName name="result">#REF!</definedName>
    <definedName name="Rockwool_50mm_kraft_60kg_m3">[11]Prices!$B$421</definedName>
    <definedName name="roof" localSheetId="12">#REF!</definedName>
    <definedName name="roof" localSheetId="10">#REF!</definedName>
    <definedName name="roof" localSheetId="6">#REF!</definedName>
    <definedName name="roof" localSheetId="4">#REF!</definedName>
    <definedName name="roof">#REF!</definedName>
    <definedName name="roof1" localSheetId="12">#REF!</definedName>
    <definedName name="roof1" localSheetId="10">#REF!</definedName>
    <definedName name="roof1" localSheetId="6">#REF!</definedName>
    <definedName name="roof1" localSheetId="4">#REF!</definedName>
    <definedName name="roof1">#REF!</definedName>
    <definedName name="roof2" localSheetId="12">#REF!</definedName>
    <definedName name="roof2" localSheetId="10">#REF!</definedName>
    <definedName name="roof2" localSheetId="6">#REF!</definedName>
    <definedName name="roof2" localSheetId="4">#REF!</definedName>
    <definedName name="roof2">#REF!</definedName>
    <definedName name="roof3" localSheetId="12">#REF!</definedName>
    <definedName name="roof3" localSheetId="10">#REF!</definedName>
    <definedName name="roof3" localSheetId="4">#REF!</definedName>
    <definedName name="roof3">#REF!</definedName>
    <definedName name="row" localSheetId="12" hidden="1">{#N/A,#N/A,FALSE,"AFR-ELC"}</definedName>
    <definedName name="row" localSheetId="10" hidden="1">{#N/A,#N/A,FALSE,"AFR-ELC"}</definedName>
    <definedName name="row" localSheetId="8" hidden="1">{#N/A,#N/A,FALSE,"AFR-ELC"}</definedName>
    <definedName name="row" localSheetId="6" hidden="1">{#N/A,#N/A,FALSE,"AFR-ELC"}</definedName>
    <definedName name="row" localSheetId="4" hidden="1">{#N/A,#N/A,FALSE,"AFR-ELC"}</definedName>
    <definedName name="row" localSheetId="1" hidden="1">{#N/A,#N/A,FALSE,"AFR-ELC"}</definedName>
    <definedName name="row" localSheetId="7" hidden="1">{#N/A,#N/A,FALSE,"AFR-ELC"}</definedName>
    <definedName name="row" localSheetId="3" hidden="1">{#N/A,#N/A,FALSE,"AFR-ELC"}</definedName>
    <definedName name="row" localSheetId="11" hidden="1">{#N/A,#N/A,FALSE,"AFR-ELC"}</definedName>
    <definedName name="row" localSheetId="9" hidden="1">{#N/A,#N/A,FALSE,"AFR-ELC"}</definedName>
    <definedName name="row" localSheetId="5" hidden="1">{#N/A,#N/A,FALSE,"AFR-ELC"}</definedName>
    <definedName name="row" localSheetId="17" hidden="1">{#N/A,#N/A,FALSE,"AFR-ELC"}</definedName>
    <definedName name="row" localSheetId="15" hidden="1">{#N/A,#N/A,FALSE,"AFR-ELC"}</definedName>
    <definedName name="row" localSheetId="13" hidden="1">{#N/A,#N/A,FALSE,"AFR-ELC"}</definedName>
    <definedName name="row" localSheetId="18" hidden="1">{#N/A,#N/A,FALSE,"AFR-ELC"}</definedName>
    <definedName name="row" localSheetId="16" hidden="1">{#N/A,#N/A,FALSE,"AFR-ELC"}</definedName>
    <definedName name="row" localSheetId="20" hidden="1">{#N/A,#N/A,FALSE,"AFR-ELC"}</definedName>
    <definedName name="row" localSheetId="14" hidden="1">{#N/A,#N/A,FALSE,"AFR-ELC"}</definedName>
    <definedName name="row" hidden="1">{#N/A,#N/A,FALSE,"AFR-ELC"}</definedName>
    <definedName name="rr" localSheetId="12">#REF!</definedName>
    <definedName name="rr" localSheetId="10">#REF!</definedName>
    <definedName name="rr" localSheetId="8">#REF!</definedName>
    <definedName name="rr" localSheetId="6">#REF!</definedName>
    <definedName name="rr" localSheetId="4">#REF!</definedName>
    <definedName name="rr" localSheetId="1">#REF!</definedName>
    <definedName name="rr" localSheetId="7">#REF!</definedName>
    <definedName name="rr" localSheetId="3">#REF!</definedName>
    <definedName name="rr" localSheetId="11">#REF!</definedName>
    <definedName name="rr" localSheetId="9">#REF!</definedName>
    <definedName name="rr" localSheetId="5">#REF!</definedName>
    <definedName name="rr" localSheetId="17">#REF!</definedName>
    <definedName name="rr" localSheetId="15">#REF!</definedName>
    <definedName name="rr" localSheetId="13">#REF!</definedName>
    <definedName name="rr" localSheetId="18">#REF!</definedName>
    <definedName name="rr" localSheetId="16">#REF!</definedName>
    <definedName name="rr" localSheetId="20">#REF!</definedName>
    <definedName name="rr" localSheetId="14">#REF!</definedName>
    <definedName name="rr">#REF!</definedName>
    <definedName name="rrrr" localSheetId="12">'[22]#REF'!#REF!</definedName>
    <definedName name="rrrr" localSheetId="10">'[22]#REF'!#REF!</definedName>
    <definedName name="rrrr" localSheetId="8">'[22]#REF'!#REF!</definedName>
    <definedName name="rrrr" localSheetId="6">'[22]#REF'!#REF!</definedName>
    <definedName name="rrrr" localSheetId="4">'[22]#REF'!#REF!</definedName>
    <definedName name="rrrr" localSheetId="1">'[22]#REF'!#REF!</definedName>
    <definedName name="rrrr" localSheetId="7">'[22]#REF'!#REF!</definedName>
    <definedName name="rrrr" localSheetId="3">'[22]#REF'!#REF!</definedName>
    <definedName name="rrrr" localSheetId="11">'[22]#REF'!#REF!</definedName>
    <definedName name="rrrr" localSheetId="9">'[22]#REF'!#REF!</definedName>
    <definedName name="rrrr" localSheetId="5">'[22]#REF'!#REF!</definedName>
    <definedName name="rrrr" localSheetId="17">'[22]#REF'!#REF!</definedName>
    <definedName name="rrrr" localSheetId="15">'[22]#REF'!#REF!</definedName>
    <definedName name="rrrr" localSheetId="13">'[22]#REF'!#REF!</definedName>
    <definedName name="rrrr" localSheetId="18">'[22]#REF'!#REF!</definedName>
    <definedName name="rrrr" localSheetId="20">'[22]#REF'!#REF!</definedName>
    <definedName name="rrrr">'[22]#REF'!#REF!</definedName>
    <definedName name="Rubber_sealer">[11]Prices!$B$451</definedName>
    <definedName name="Rubber_tiles">[11]Prices!$B$452</definedName>
    <definedName name="s" localSheetId="12">#REF!</definedName>
    <definedName name="s" localSheetId="10">#REF!</definedName>
    <definedName name="s" localSheetId="6">#REF!</definedName>
    <definedName name="s" localSheetId="4">#REF!</definedName>
    <definedName name="s">#REF!</definedName>
    <definedName name="s1s1s" localSheetId="12">{#N/A,#N/A,FALSE,"Capacity"}</definedName>
    <definedName name="s1s1s" localSheetId="10">{#N/A,#N/A,FALSE,"Capacity"}</definedName>
    <definedName name="s1s1s" localSheetId="8">{#N/A,#N/A,FALSE,"Capacity"}</definedName>
    <definedName name="s1s1s" localSheetId="6">{#N/A,#N/A,FALSE,"Capacity"}</definedName>
    <definedName name="s1s1s" localSheetId="4">{#N/A,#N/A,FALSE,"Capacity"}</definedName>
    <definedName name="s1s1s" localSheetId="1">{#N/A,#N/A,FALSE,"Capacity"}</definedName>
    <definedName name="s1s1s" localSheetId="7">{#N/A,#N/A,FALSE,"Capacity"}</definedName>
    <definedName name="s1s1s" localSheetId="3">{#N/A,#N/A,FALSE,"Capacity"}</definedName>
    <definedName name="s1s1s" localSheetId="11">{#N/A,#N/A,FALSE,"Capacity"}</definedName>
    <definedName name="s1s1s" localSheetId="9">{#N/A,#N/A,FALSE,"Capacity"}</definedName>
    <definedName name="s1s1s" localSheetId="5">{#N/A,#N/A,FALSE,"Capacity"}</definedName>
    <definedName name="s1s1s" localSheetId="17">{#N/A,#N/A,FALSE,"Capacity"}</definedName>
    <definedName name="s1s1s" localSheetId="15">{#N/A,#N/A,FALSE,"Capacity"}</definedName>
    <definedName name="s1s1s" localSheetId="13">{#N/A,#N/A,FALSE,"Capacity"}</definedName>
    <definedName name="s1s1s" localSheetId="18">{#N/A,#N/A,FALSE,"Capacity"}</definedName>
    <definedName name="s1s1s" localSheetId="16">{#N/A,#N/A,FALSE,"Capacity"}</definedName>
    <definedName name="s1s1s" localSheetId="20">{#N/A,#N/A,FALSE,"Capacity"}</definedName>
    <definedName name="s1s1s" localSheetId="14">{#N/A,#N/A,FALSE,"Capacity"}</definedName>
    <definedName name="s1s1s">{#N/A,#N/A,FALSE,"Capacity"}</definedName>
    <definedName name="sa" localSheetId="12">{#N/A,#N/A,FALSE,"AFR-ELC"}</definedName>
    <definedName name="sa" localSheetId="10">{#N/A,#N/A,FALSE,"AFR-ELC"}</definedName>
    <definedName name="sa" localSheetId="8">{#N/A,#N/A,FALSE,"AFR-ELC"}</definedName>
    <definedName name="sa" localSheetId="6">{#N/A,#N/A,FALSE,"AFR-ELC"}</definedName>
    <definedName name="sa" localSheetId="4">{#N/A,#N/A,FALSE,"AFR-ELC"}</definedName>
    <definedName name="sa" localSheetId="1">{#N/A,#N/A,FALSE,"AFR-ELC"}</definedName>
    <definedName name="sa" localSheetId="7">{#N/A,#N/A,FALSE,"AFR-ELC"}</definedName>
    <definedName name="sa" localSheetId="3">{#N/A,#N/A,FALSE,"AFR-ELC"}</definedName>
    <definedName name="sa" localSheetId="11">{#N/A,#N/A,FALSE,"AFR-ELC"}</definedName>
    <definedName name="sa" localSheetId="9">{#N/A,#N/A,FALSE,"AFR-ELC"}</definedName>
    <definedName name="sa" localSheetId="5">{#N/A,#N/A,FALSE,"AFR-ELC"}</definedName>
    <definedName name="sa" localSheetId="17">{#N/A,#N/A,FALSE,"AFR-ELC"}</definedName>
    <definedName name="sa" localSheetId="15">{#N/A,#N/A,FALSE,"AFR-ELC"}</definedName>
    <definedName name="sa" localSheetId="13">{#N/A,#N/A,FALSE,"AFR-ELC"}</definedName>
    <definedName name="sa" localSheetId="18">{#N/A,#N/A,FALSE,"AFR-ELC"}</definedName>
    <definedName name="sa" localSheetId="16">{#N/A,#N/A,FALSE,"AFR-ELC"}</definedName>
    <definedName name="sa" localSheetId="20">{#N/A,#N/A,FALSE,"AFR-ELC"}</definedName>
    <definedName name="sa" localSheetId="14">{#N/A,#N/A,FALSE,"AFR-ELC"}</definedName>
    <definedName name="sa">{#N/A,#N/A,FALSE,"AFR-ELC"}</definedName>
    <definedName name="SAN_APPL_TOTAL">#REF!</definedName>
    <definedName name="SANAPPLTOTAL" localSheetId="12">#REF!</definedName>
    <definedName name="SANAPPLTOTAL" localSheetId="10">#REF!</definedName>
    <definedName name="SANAPPLTOTAL" localSheetId="6">#REF!</definedName>
    <definedName name="SANAPPLTOTAL" localSheetId="4">#REF!</definedName>
    <definedName name="SANAPPLTOTAL">#REF!</definedName>
    <definedName name="Sand_filling">[15]Rates!$A$62</definedName>
    <definedName name="Sanding_sealer">[11]Prices!$B$453</definedName>
    <definedName name="Sandtex">[11]Prices!$B$454</definedName>
    <definedName name="sanitary" localSheetId="12">#REF!</definedName>
    <definedName name="sanitary" localSheetId="10">#REF!</definedName>
    <definedName name="sanitary" localSheetId="6">#REF!</definedName>
    <definedName name="sanitary" localSheetId="4">#REF!</definedName>
    <definedName name="sanitary">#REF!</definedName>
    <definedName name="saydney" localSheetId="6">[1]Sheet1!#REF!</definedName>
    <definedName name="saydney">[1]Sheet1!#REF!</definedName>
    <definedName name="ScGrossLiab">'[16]Sub Contractors'!$J$21</definedName>
    <definedName name="Sched_Pay" localSheetId="12">#REF!</definedName>
    <definedName name="Sched_Pay" localSheetId="10">#REF!</definedName>
    <definedName name="Sched_Pay" localSheetId="8">#REF!</definedName>
    <definedName name="Sched_Pay" localSheetId="6">#REF!</definedName>
    <definedName name="Sched_Pay" localSheetId="4">#REF!</definedName>
    <definedName name="Sched_Pay" localSheetId="1">#REF!</definedName>
    <definedName name="Sched_Pay" localSheetId="7">#REF!</definedName>
    <definedName name="Sched_Pay" localSheetId="3">#REF!</definedName>
    <definedName name="Sched_Pay" localSheetId="11">#REF!</definedName>
    <definedName name="Sched_Pay" localSheetId="9">#REF!</definedName>
    <definedName name="Sched_Pay" localSheetId="5">#REF!</definedName>
    <definedName name="Sched_Pay" localSheetId="17">#REF!</definedName>
    <definedName name="Sched_Pay" localSheetId="15">#REF!</definedName>
    <definedName name="Sched_Pay" localSheetId="13">#REF!</definedName>
    <definedName name="Sched_Pay" localSheetId="18">#REF!</definedName>
    <definedName name="Sched_Pay" localSheetId="16">#REF!</definedName>
    <definedName name="Sched_Pay" localSheetId="20">#REF!</definedName>
    <definedName name="Sched_Pay" localSheetId="14">#REF!</definedName>
    <definedName name="Sched_Pay">#REF!</definedName>
    <definedName name="Scheduled_Extra_Payments" localSheetId="12">#REF!</definedName>
    <definedName name="Scheduled_Extra_Payments" localSheetId="10">#REF!</definedName>
    <definedName name="Scheduled_Extra_Payments" localSheetId="8">#REF!</definedName>
    <definedName name="Scheduled_Extra_Payments" localSheetId="6">#REF!</definedName>
    <definedName name="Scheduled_Extra_Payments" localSheetId="4">#REF!</definedName>
    <definedName name="Scheduled_Extra_Payments" localSheetId="1">#REF!</definedName>
    <definedName name="Scheduled_Extra_Payments" localSheetId="7">#REF!</definedName>
    <definedName name="Scheduled_Extra_Payments" localSheetId="3">#REF!</definedName>
    <definedName name="Scheduled_Extra_Payments" localSheetId="11">#REF!</definedName>
    <definedName name="Scheduled_Extra_Payments" localSheetId="9">#REF!</definedName>
    <definedName name="Scheduled_Extra_Payments" localSheetId="5">#REF!</definedName>
    <definedName name="Scheduled_Extra_Payments" localSheetId="17">#REF!</definedName>
    <definedName name="Scheduled_Extra_Payments" localSheetId="15">#REF!</definedName>
    <definedName name="Scheduled_Extra_Payments" localSheetId="13">#REF!</definedName>
    <definedName name="Scheduled_Extra_Payments" localSheetId="18">#REF!</definedName>
    <definedName name="Scheduled_Extra_Payments" localSheetId="16">#REF!</definedName>
    <definedName name="Scheduled_Extra_Payments" localSheetId="20">#REF!</definedName>
    <definedName name="Scheduled_Extra_Payments" localSheetId="14">#REF!</definedName>
    <definedName name="Scheduled_Extra_Payments">#REF!</definedName>
    <definedName name="Scheduled_Interest_Rate" localSheetId="12">#REF!</definedName>
    <definedName name="Scheduled_Interest_Rate" localSheetId="10">#REF!</definedName>
    <definedName name="Scheduled_Interest_Rate" localSheetId="8">#REF!</definedName>
    <definedName name="Scheduled_Interest_Rate" localSheetId="6">#REF!</definedName>
    <definedName name="Scheduled_Interest_Rate" localSheetId="4">#REF!</definedName>
    <definedName name="Scheduled_Interest_Rate" localSheetId="1">#REF!</definedName>
    <definedName name="Scheduled_Interest_Rate" localSheetId="7">#REF!</definedName>
    <definedName name="Scheduled_Interest_Rate" localSheetId="3">#REF!</definedName>
    <definedName name="Scheduled_Interest_Rate" localSheetId="11">#REF!</definedName>
    <definedName name="Scheduled_Interest_Rate" localSheetId="9">#REF!</definedName>
    <definedName name="Scheduled_Interest_Rate" localSheetId="5">#REF!</definedName>
    <definedName name="Scheduled_Interest_Rate" localSheetId="17">#REF!</definedName>
    <definedName name="Scheduled_Interest_Rate" localSheetId="15">#REF!</definedName>
    <definedName name="Scheduled_Interest_Rate" localSheetId="13">#REF!</definedName>
    <definedName name="Scheduled_Interest_Rate" localSheetId="18">#REF!</definedName>
    <definedName name="Scheduled_Interest_Rate" localSheetId="16">#REF!</definedName>
    <definedName name="Scheduled_Interest_Rate" localSheetId="20">#REF!</definedName>
    <definedName name="Scheduled_Interest_Rate" localSheetId="14">#REF!</definedName>
    <definedName name="Scheduled_Interest_Rate">#REF!</definedName>
    <definedName name="Scheduled_Monthly_Payment" localSheetId="12">#REF!</definedName>
    <definedName name="Scheduled_Monthly_Payment" localSheetId="10">#REF!</definedName>
    <definedName name="Scheduled_Monthly_Payment" localSheetId="4">#REF!</definedName>
    <definedName name="Scheduled_Monthly_Payment">#REF!</definedName>
    <definedName name="sd" localSheetId="12" hidden="1">{#N/A,#N/A,FALSE,"AFR-ELC"}</definedName>
    <definedName name="sd" localSheetId="10" hidden="1">{#N/A,#N/A,FALSE,"AFR-ELC"}</definedName>
    <definedName name="sd" localSheetId="8" hidden="1">{#N/A,#N/A,FALSE,"AFR-ELC"}</definedName>
    <definedName name="sd" localSheetId="6" hidden="1">{#N/A,#N/A,FALSE,"AFR-ELC"}</definedName>
    <definedName name="sd" localSheetId="4" hidden="1">{#N/A,#N/A,FALSE,"AFR-ELC"}</definedName>
    <definedName name="sd" localSheetId="1" hidden="1">{#N/A,#N/A,FALSE,"AFR-ELC"}</definedName>
    <definedName name="sd" localSheetId="7" hidden="1">{#N/A,#N/A,FALSE,"AFR-ELC"}</definedName>
    <definedName name="sd" localSheetId="3" hidden="1">{#N/A,#N/A,FALSE,"AFR-ELC"}</definedName>
    <definedName name="sd" localSheetId="11" hidden="1">{#N/A,#N/A,FALSE,"AFR-ELC"}</definedName>
    <definedName name="sd" localSheetId="9" hidden="1">{#N/A,#N/A,FALSE,"AFR-ELC"}</definedName>
    <definedName name="sd" localSheetId="5" hidden="1">{#N/A,#N/A,FALSE,"AFR-ELC"}</definedName>
    <definedName name="sd" localSheetId="17" hidden="1">{#N/A,#N/A,FALSE,"AFR-ELC"}</definedName>
    <definedName name="sd" localSheetId="15" hidden="1">{#N/A,#N/A,FALSE,"AFR-ELC"}</definedName>
    <definedName name="sd" localSheetId="13" hidden="1">{#N/A,#N/A,FALSE,"AFR-ELC"}</definedName>
    <definedName name="sd" localSheetId="18" hidden="1">{#N/A,#N/A,FALSE,"AFR-ELC"}</definedName>
    <definedName name="sd" localSheetId="16" hidden="1">{#N/A,#N/A,FALSE,"AFR-ELC"}</definedName>
    <definedName name="sd" localSheetId="20" hidden="1">{#N/A,#N/A,FALSE,"AFR-ELC"}</definedName>
    <definedName name="sd" localSheetId="14" hidden="1">{#N/A,#N/A,FALSE,"AFR-ELC"}</definedName>
    <definedName name="sd" hidden="1">{#N/A,#N/A,FALSE,"AFR-ELC"}</definedName>
    <definedName name="SDER" localSheetId="12" hidden="1">{#N/A,#N/A,FALSE,"AFR-ELC"}</definedName>
    <definedName name="SDER" localSheetId="10" hidden="1">{#N/A,#N/A,FALSE,"AFR-ELC"}</definedName>
    <definedName name="SDER" localSheetId="8" hidden="1">{#N/A,#N/A,FALSE,"AFR-ELC"}</definedName>
    <definedName name="SDER" localSheetId="6" hidden="1">{#N/A,#N/A,FALSE,"AFR-ELC"}</definedName>
    <definedName name="SDER" localSheetId="4" hidden="1">{#N/A,#N/A,FALSE,"AFR-ELC"}</definedName>
    <definedName name="SDER" localSheetId="0" hidden="1">{#N/A,#N/A,FALSE,"AFR-ELC"}</definedName>
    <definedName name="SDER" localSheetId="1" hidden="1">{#N/A,#N/A,FALSE,"AFR-ELC"}</definedName>
    <definedName name="SDER" localSheetId="7" hidden="1">{#N/A,#N/A,FALSE,"AFR-ELC"}</definedName>
    <definedName name="SDER" localSheetId="3" hidden="1">{#N/A,#N/A,FALSE,"AFR-ELC"}</definedName>
    <definedName name="SDER" localSheetId="11" hidden="1">{#N/A,#N/A,FALSE,"AFR-ELC"}</definedName>
    <definedName name="SDER" localSheetId="9" hidden="1">{#N/A,#N/A,FALSE,"AFR-ELC"}</definedName>
    <definedName name="SDER" localSheetId="5" hidden="1">{#N/A,#N/A,FALSE,"AFR-ELC"}</definedName>
    <definedName name="SDER" localSheetId="17" hidden="1">{#N/A,#N/A,FALSE,"AFR-ELC"}</definedName>
    <definedName name="SDER" localSheetId="15" hidden="1">{#N/A,#N/A,FALSE,"AFR-ELC"}</definedName>
    <definedName name="SDER" localSheetId="13" hidden="1">{#N/A,#N/A,FALSE,"AFR-ELC"}</definedName>
    <definedName name="SDER" localSheetId="18" hidden="1">{#N/A,#N/A,FALSE,"AFR-ELC"}</definedName>
    <definedName name="SDER" localSheetId="16" hidden="1">{#N/A,#N/A,FALSE,"AFR-ELC"}</definedName>
    <definedName name="SDER" localSheetId="20" hidden="1">{#N/A,#N/A,FALSE,"AFR-ELC"}</definedName>
    <definedName name="SDER" localSheetId="14" hidden="1">{#N/A,#N/A,FALSE,"AFR-ELC"}</definedName>
    <definedName name="SDER" hidden="1">{#N/A,#N/A,FALSE,"AFR-ELC"}</definedName>
    <definedName name="SDFGHJKL" localSheetId="12" hidden="1">{#N/A,#N/A,FALSE,"AFR-ELC"}</definedName>
    <definedName name="SDFGHJKL" localSheetId="10" hidden="1">{#N/A,#N/A,FALSE,"AFR-ELC"}</definedName>
    <definedName name="SDFGHJKL" localSheetId="6" hidden="1">{#N/A,#N/A,FALSE,"AFR-ELC"}</definedName>
    <definedName name="SDFGHJKL" localSheetId="4" hidden="1">{#N/A,#N/A,FALSE,"AFR-ELC"}</definedName>
    <definedName name="SDFGHJKL" localSheetId="1" hidden="1">{#N/A,#N/A,FALSE,"AFR-ELC"}</definedName>
    <definedName name="SDFGHJKL" localSheetId="7" hidden="1">{#N/A,#N/A,FALSE,"AFR-ELC"}</definedName>
    <definedName name="SDFGHJKL" localSheetId="3" hidden="1">{#N/A,#N/A,FALSE,"AFR-ELC"}</definedName>
    <definedName name="SDFGHJKL" localSheetId="11" hidden="1">{#N/A,#N/A,FALSE,"AFR-ELC"}</definedName>
    <definedName name="SDFGHJKL" localSheetId="9" hidden="1">{#N/A,#N/A,FALSE,"AFR-ELC"}</definedName>
    <definedName name="SDFGHJKL" localSheetId="5" hidden="1">{#N/A,#N/A,FALSE,"AFR-ELC"}</definedName>
    <definedName name="SDFGHJKL" localSheetId="17" hidden="1">{#N/A,#N/A,FALSE,"AFR-ELC"}</definedName>
    <definedName name="SDFGHJKL" localSheetId="15" hidden="1">{#N/A,#N/A,FALSE,"AFR-ELC"}</definedName>
    <definedName name="SDFGHJKL" localSheetId="13" hidden="1">{#N/A,#N/A,FALSE,"AFR-ELC"}</definedName>
    <definedName name="SDFGHJKL" localSheetId="18" hidden="1">{#N/A,#N/A,FALSE,"AFR-ELC"}</definedName>
    <definedName name="SDFGHJKL" localSheetId="16" hidden="1">{#N/A,#N/A,FALSE,"AFR-ELC"}</definedName>
    <definedName name="SDFGHJKL" localSheetId="20" hidden="1">{#N/A,#N/A,FALSE,"AFR-ELC"}</definedName>
    <definedName name="SDFGHJKL" localSheetId="14" hidden="1">{#N/A,#N/A,FALSE,"AFR-ELC"}</definedName>
    <definedName name="SDFGHJKL" hidden="1">{#N/A,#N/A,FALSE,"AFR-ELC"}</definedName>
    <definedName name="sencount" hidden="1">2</definedName>
    <definedName name="serv">#REF!</definedName>
    <definedName name="services" localSheetId="12">#REF!</definedName>
    <definedName name="services" localSheetId="10">#REF!</definedName>
    <definedName name="services" localSheetId="6">#REF!</definedName>
    <definedName name="services" localSheetId="4">#REF!</definedName>
    <definedName name="services">#REF!</definedName>
    <definedName name="ShapeCode" localSheetId="12">#REF!</definedName>
    <definedName name="ShapeCode" localSheetId="10">#REF!</definedName>
    <definedName name="ShapeCode" localSheetId="6">#REF!</definedName>
    <definedName name="ShapeCode" localSheetId="4">#REF!</definedName>
    <definedName name="ShapeCode">#REF!</definedName>
    <definedName name="Sharp_sand">[11]Prices!$B$458</definedName>
    <definedName name="Sika_Purigosol_surface_hardner_0.3L_m2">[11]Prices!$B$463</definedName>
    <definedName name="Sikalite">[11]Prices!$B$464</definedName>
    <definedName name="sitewk" localSheetId="12">#REF!</definedName>
    <definedName name="sitewk" localSheetId="10">#REF!</definedName>
    <definedName name="sitewk" localSheetId="6">#REF!</definedName>
    <definedName name="sitewk" localSheetId="4">#REF!</definedName>
    <definedName name="sitewk">#REF!</definedName>
    <definedName name="SK" localSheetId="12" hidden="1">{#N/A,#N/A,FALSE,"el.det";#N/A,#N/A,FALSE,"mu.det";#N/A,#N/A,FALSE,"ug.det";#N/A,#N/A,FALSE,"ex.det";#N/A,#N/A,FALSE,"lux.det";#N/A,#N/A,FALSE,"custom.lot";#N/A,#N/A,FALSE,"condo.att";#N/A,#N/A,FALSE,"el.att";#N/A,#N/A,FALSE,"mu.att";#N/A,#N/A,FALSE,"ex.att";#N/A,#N/A,FALSE,"lux.att";#N/A,#N/A,FALSE,"all.by.village"}</definedName>
    <definedName name="SK" localSheetId="10" hidden="1">{#N/A,#N/A,FALSE,"el.det";#N/A,#N/A,FALSE,"mu.det";#N/A,#N/A,FALSE,"ug.det";#N/A,#N/A,FALSE,"ex.det";#N/A,#N/A,FALSE,"lux.det";#N/A,#N/A,FALSE,"custom.lot";#N/A,#N/A,FALSE,"condo.att";#N/A,#N/A,FALSE,"el.att";#N/A,#N/A,FALSE,"mu.att";#N/A,#N/A,FALSE,"ex.att";#N/A,#N/A,FALSE,"lux.att";#N/A,#N/A,FALSE,"all.by.village"}</definedName>
    <definedName name="SK" localSheetId="8" hidden="1">{#N/A,#N/A,FALSE,"el.det";#N/A,#N/A,FALSE,"mu.det";#N/A,#N/A,FALSE,"ug.det";#N/A,#N/A,FALSE,"ex.det";#N/A,#N/A,FALSE,"lux.det";#N/A,#N/A,FALSE,"custom.lot";#N/A,#N/A,FALSE,"condo.att";#N/A,#N/A,FALSE,"el.att";#N/A,#N/A,FALSE,"mu.att";#N/A,#N/A,FALSE,"ex.att";#N/A,#N/A,FALSE,"lux.att";#N/A,#N/A,FALSE,"all.by.village"}</definedName>
    <definedName name="SK" localSheetId="6" hidden="1">{#N/A,#N/A,FALSE,"el.det";#N/A,#N/A,FALSE,"mu.det";#N/A,#N/A,FALSE,"ug.det";#N/A,#N/A,FALSE,"ex.det";#N/A,#N/A,FALSE,"lux.det";#N/A,#N/A,FALSE,"custom.lot";#N/A,#N/A,FALSE,"condo.att";#N/A,#N/A,FALSE,"el.att";#N/A,#N/A,FALSE,"mu.att";#N/A,#N/A,FALSE,"ex.att";#N/A,#N/A,FALSE,"lux.att";#N/A,#N/A,FALSE,"all.by.village"}</definedName>
    <definedName name="SK" localSheetId="4" hidden="1">{#N/A,#N/A,FALSE,"el.det";#N/A,#N/A,FALSE,"mu.det";#N/A,#N/A,FALSE,"ug.det";#N/A,#N/A,FALSE,"ex.det";#N/A,#N/A,FALSE,"lux.det";#N/A,#N/A,FALSE,"custom.lot";#N/A,#N/A,FALSE,"condo.att";#N/A,#N/A,FALSE,"el.att";#N/A,#N/A,FALSE,"mu.att";#N/A,#N/A,FALSE,"ex.att";#N/A,#N/A,FALSE,"lux.att";#N/A,#N/A,FALSE,"all.by.village"}</definedName>
    <definedName name="SK" localSheetId="1" hidden="1">{#N/A,#N/A,FALSE,"el.det";#N/A,#N/A,FALSE,"mu.det";#N/A,#N/A,FALSE,"ug.det";#N/A,#N/A,FALSE,"ex.det";#N/A,#N/A,FALSE,"lux.det";#N/A,#N/A,FALSE,"custom.lot";#N/A,#N/A,FALSE,"condo.att";#N/A,#N/A,FALSE,"el.att";#N/A,#N/A,FALSE,"mu.att";#N/A,#N/A,FALSE,"ex.att";#N/A,#N/A,FALSE,"lux.att";#N/A,#N/A,FALSE,"all.by.village"}</definedName>
    <definedName name="SK" localSheetId="7" hidden="1">{#N/A,#N/A,FALSE,"el.det";#N/A,#N/A,FALSE,"mu.det";#N/A,#N/A,FALSE,"ug.det";#N/A,#N/A,FALSE,"ex.det";#N/A,#N/A,FALSE,"lux.det";#N/A,#N/A,FALSE,"custom.lot";#N/A,#N/A,FALSE,"condo.att";#N/A,#N/A,FALSE,"el.att";#N/A,#N/A,FALSE,"mu.att";#N/A,#N/A,FALSE,"ex.att";#N/A,#N/A,FALSE,"lux.att";#N/A,#N/A,FALSE,"all.by.village"}</definedName>
    <definedName name="SK" localSheetId="3" hidden="1">{#N/A,#N/A,FALSE,"el.det";#N/A,#N/A,FALSE,"mu.det";#N/A,#N/A,FALSE,"ug.det";#N/A,#N/A,FALSE,"ex.det";#N/A,#N/A,FALSE,"lux.det";#N/A,#N/A,FALSE,"custom.lot";#N/A,#N/A,FALSE,"condo.att";#N/A,#N/A,FALSE,"el.att";#N/A,#N/A,FALSE,"mu.att";#N/A,#N/A,FALSE,"ex.att";#N/A,#N/A,FALSE,"lux.att";#N/A,#N/A,FALSE,"all.by.village"}</definedName>
    <definedName name="SK" localSheetId="11" hidden="1">{#N/A,#N/A,FALSE,"el.det";#N/A,#N/A,FALSE,"mu.det";#N/A,#N/A,FALSE,"ug.det";#N/A,#N/A,FALSE,"ex.det";#N/A,#N/A,FALSE,"lux.det";#N/A,#N/A,FALSE,"custom.lot";#N/A,#N/A,FALSE,"condo.att";#N/A,#N/A,FALSE,"el.att";#N/A,#N/A,FALSE,"mu.att";#N/A,#N/A,FALSE,"ex.att";#N/A,#N/A,FALSE,"lux.att";#N/A,#N/A,FALSE,"all.by.village"}</definedName>
    <definedName name="SK" localSheetId="9" hidden="1">{#N/A,#N/A,FALSE,"el.det";#N/A,#N/A,FALSE,"mu.det";#N/A,#N/A,FALSE,"ug.det";#N/A,#N/A,FALSE,"ex.det";#N/A,#N/A,FALSE,"lux.det";#N/A,#N/A,FALSE,"custom.lot";#N/A,#N/A,FALSE,"condo.att";#N/A,#N/A,FALSE,"el.att";#N/A,#N/A,FALSE,"mu.att";#N/A,#N/A,FALSE,"ex.att";#N/A,#N/A,FALSE,"lux.att";#N/A,#N/A,FALSE,"all.by.village"}</definedName>
    <definedName name="SK" localSheetId="5" hidden="1">{#N/A,#N/A,FALSE,"el.det";#N/A,#N/A,FALSE,"mu.det";#N/A,#N/A,FALSE,"ug.det";#N/A,#N/A,FALSE,"ex.det";#N/A,#N/A,FALSE,"lux.det";#N/A,#N/A,FALSE,"custom.lot";#N/A,#N/A,FALSE,"condo.att";#N/A,#N/A,FALSE,"el.att";#N/A,#N/A,FALSE,"mu.att";#N/A,#N/A,FALSE,"ex.att";#N/A,#N/A,FALSE,"lux.att";#N/A,#N/A,FALSE,"all.by.village"}</definedName>
    <definedName name="SK" localSheetId="17" hidden="1">{#N/A,#N/A,FALSE,"el.det";#N/A,#N/A,FALSE,"mu.det";#N/A,#N/A,FALSE,"ug.det";#N/A,#N/A,FALSE,"ex.det";#N/A,#N/A,FALSE,"lux.det";#N/A,#N/A,FALSE,"custom.lot";#N/A,#N/A,FALSE,"condo.att";#N/A,#N/A,FALSE,"el.att";#N/A,#N/A,FALSE,"mu.att";#N/A,#N/A,FALSE,"ex.att";#N/A,#N/A,FALSE,"lux.att";#N/A,#N/A,FALSE,"all.by.village"}</definedName>
    <definedName name="SK" localSheetId="15" hidden="1">{#N/A,#N/A,FALSE,"el.det";#N/A,#N/A,FALSE,"mu.det";#N/A,#N/A,FALSE,"ug.det";#N/A,#N/A,FALSE,"ex.det";#N/A,#N/A,FALSE,"lux.det";#N/A,#N/A,FALSE,"custom.lot";#N/A,#N/A,FALSE,"condo.att";#N/A,#N/A,FALSE,"el.att";#N/A,#N/A,FALSE,"mu.att";#N/A,#N/A,FALSE,"ex.att";#N/A,#N/A,FALSE,"lux.att";#N/A,#N/A,FALSE,"all.by.village"}</definedName>
    <definedName name="SK" localSheetId="13" hidden="1">{#N/A,#N/A,FALSE,"el.det";#N/A,#N/A,FALSE,"mu.det";#N/A,#N/A,FALSE,"ug.det";#N/A,#N/A,FALSE,"ex.det";#N/A,#N/A,FALSE,"lux.det";#N/A,#N/A,FALSE,"custom.lot";#N/A,#N/A,FALSE,"condo.att";#N/A,#N/A,FALSE,"el.att";#N/A,#N/A,FALSE,"mu.att";#N/A,#N/A,FALSE,"ex.att";#N/A,#N/A,FALSE,"lux.att";#N/A,#N/A,FALSE,"all.by.village"}</definedName>
    <definedName name="SK" localSheetId="18" hidden="1">{#N/A,#N/A,FALSE,"el.det";#N/A,#N/A,FALSE,"mu.det";#N/A,#N/A,FALSE,"ug.det";#N/A,#N/A,FALSE,"ex.det";#N/A,#N/A,FALSE,"lux.det";#N/A,#N/A,FALSE,"custom.lot";#N/A,#N/A,FALSE,"condo.att";#N/A,#N/A,FALSE,"el.att";#N/A,#N/A,FALSE,"mu.att";#N/A,#N/A,FALSE,"ex.att";#N/A,#N/A,FALSE,"lux.att";#N/A,#N/A,FALSE,"all.by.village"}</definedName>
    <definedName name="SK" localSheetId="16" hidden="1">{#N/A,#N/A,FALSE,"el.det";#N/A,#N/A,FALSE,"mu.det";#N/A,#N/A,FALSE,"ug.det";#N/A,#N/A,FALSE,"ex.det";#N/A,#N/A,FALSE,"lux.det";#N/A,#N/A,FALSE,"custom.lot";#N/A,#N/A,FALSE,"condo.att";#N/A,#N/A,FALSE,"el.att";#N/A,#N/A,FALSE,"mu.att";#N/A,#N/A,FALSE,"ex.att";#N/A,#N/A,FALSE,"lux.att";#N/A,#N/A,FALSE,"all.by.village"}</definedName>
    <definedName name="SK" localSheetId="20" hidden="1">{#N/A,#N/A,FALSE,"el.det";#N/A,#N/A,FALSE,"mu.det";#N/A,#N/A,FALSE,"ug.det";#N/A,#N/A,FALSE,"ex.det";#N/A,#N/A,FALSE,"lux.det";#N/A,#N/A,FALSE,"custom.lot";#N/A,#N/A,FALSE,"condo.att";#N/A,#N/A,FALSE,"el.att";#N/A,#N/A,FALSE,"mu.att";#N/A,#N/A,FALSE,"ex.att";#N/A,#N/A,FALSE,"lux.att";#N/A,#N/A,FALSE,"all.by.village"}</definedName>
    <definedName name="SK" localSheetId="14" hidden="1">{#N/A,#N/A,FALSE,"el.det";#N/A,#N/A,FALSE,"mu.det";#N/A,#N/A,FALSE,"ug.det";#N/A,#N/A,FALSE,"ex.det";#N/A,#N/A,FALSE,"lux.det";#N/A,#N/A,FALSE,"custom.lot";#N/A,#N/A,FALSE,"condo.att";#N/A,#N/A,FALSE,"el.att";#N/A,#N/A,FALSE,"mu.att";#N/A,#N/A,FALSE,"ex.att";#N/A,#N/A,FALSE,"lux.att";#N/A,#N/A,FALSE,"all.by.village"}</definedName>
    <definedName name="SK" hidden="1">{#N/A,#N/A,FALSE,"el.det";#N/A,#N/A,FALSE,"mu.det";#N/A,#N/A,FALSE,"ug.det";#N/A,#N/A,FALSE,"ex.det";#N/A,#N/A,FALSE,"lux.det";#N/A,#N/A,FALSE,"custom.lot";#N/A,#N/A,FALSE,"condo.att";#N/A,#N/A,FALSE,"el.att";#N/A,#N/A,FALSE,"mu.att";#N/A,#N/A,FALSE,"ex.att";#N/A,#N/A,FALSE,"lux.att";#N/A,#N/A,FALSE,"all.by.village"}</definedName>
    <definedName name="Soft_sand">[11]Prices!$B$470</definedName>
    <definedName name="SOIL_TOTAL" localSheetId="12">#REF!</definedName>
    <definedName name="SOIL_TOTAL" localSheetId="10">#REF!</definedName>
    <definedName name="SOIL_TOTAL" localSheetId="6">#REF!</definedName>
    <definedName name="SOIL_TOTAL" localSheetId="4">#REF!</definedName>
    <definedName name="SOIL_TOTAL">#REF!</definedName>
    <definedName name="SOILTOTAL" localSheetId="12">#REF!</definedName>
    <definedName name="SOILTOTAL" localSheetId="10">#REF!</definedName>
    <definedName name="SOILTOTAL" localSheetId="6">#REF!</definedName>
    <definedName name="SOILTOTAL" localSheetId="4">#REF!</definedName>
    <definedName name="SOILTOTAL">#REF!</definedName>
    <definedName name="sss" localSheetId="12">#REF!</definedName>
    <definedName name="sss" localSheetId="10">#REF!</definedName>
    <definedName name="sss" localSheetId="8">#REF!</definedName>
    <definedName name="sss" localSheetId="6">#REF!</definedName>
    <definedName name="sss" localSheetId="4">#REF!</definedName>
    <definedName name="sss" localSheetId="1">#REF!</definedName>
    <definedName name="sss" localSheetId="7">#REF!</definedName>
    <definedName name="sss" localSheetId="3">#REF!</definedName>
    <definedName name="sss" localSheetId="11">#REF!</definedName>
    <definedName name="sss" localSheetId="9">#REF!</definedName>
    <definedName name="sss" localSheetId="5">#REF!</definedName>
    <definedName name="sss" localSheetId="17">#REF!</definedName>
    <definedName name="sss" localSheetId="15">#REF!</definedName>
    <definedName name="sss" localSheetId="13">#REF!</definedName>
    <definedName name="sss" localSheetId="18">#REF!</definedName>
    <definedName name="sss" localSheetId="16">#REF!</definedName>
    <definedName name="sss" localSheetId="20">#REF!</definedName>
    <definedName name="sss" localSheetId="14">#REF!</definedName>
    <definedName name="sss">#REF!</definedName>
    <definedName name="ssss2" localSheetId="12">{#N/A,#N/A,FALSE,"Revenue (Annual)";"Revenue _ First 5 years Quarterly",#N/A,FALSE,"Revenue (Qtr)"}</definedName>
    <definedName name="ssss2" localSheetId="10">{#N/A,#N/A,FALSE,"Revenue (Annual)";"Revenue _ First 5 years Quarterly",#N/A,FALSE,"Revenue (Qtr)"}</definedName>
    <definedName name="ssss2" localSheetId="8">{#N/A,#N/A,FALSE,"Revenue (Annual)";"Revenue _ First 5 years Quarterly",#N/A,FALSE,"Revenue (Qtr)"}</definedName>
    <definedName name="ssss2" localSheetId="6">{#N/A,#N/A,FALSE,"Revenue (Annual)";"Revenue _ First 5 years Quarterly",#N/A,FALSE,"Revenue (Qtr)"}</definedName>
    <definedName name="ssss2" localSheetId="4">{#N/A,#N/A,FALSE,"Revenue (Annual)";"Revenue _ First 5 years Quarterly",#N/A,FALSE,"Revenue (Qtr)"}</definedName>
    <definedName name="ssss2" localSheetId="1">{#N/A,#N/A,FALSE,"Revenue (Annual)";"Revenue _ First 5 years Quarterly",#N/A,FALSE,"Revenue (Qtr)"}</definedName>
    <definedName name="ssss2" localSheetId="7">{#N/A,#N/A,FALSE,"Revenue (Annual)";"Revenue _ First 5 years Quarterly",#N/A,FALSE,"Revenue (Qtr)"}</definedName>
    <definedName name="ssss2" localSheetId="3">{#N/A,#N/A,FALSE,"Revenue (Annual)";"Revenue _ First 5 years Quarterly",#N/A,FALSE,"Revenue (Qtr)"}</definedName>
    <definedName name="ssss2" localSheetId="11">{#N/A,#N/A,FALSE,"Revenue (Annual)";"Revenue _ First 5 years Quarterly",#N/A,FALSE,"Revenue (Qtr)"}</definedName>
    <definedName name="ssss2" localSheetId="9">{#N/A,#N/A,FALSE,"Revenue (Annual)";"Revenue _ First 5 years Quarterly",#N/A,FALSE,"Revenue (Qtr)"}</definedName>
    <definedName name="ssss2" localSheetId="5">{#N/A,#N/A,FALSE,"Revenue (Annual)";"Revenue _ First 5 years Quarterly",#N/A,FALSE,"Revenue (Qtr)"}</definedName>
    <definedName name="ssss2" localSheetId="17">{#N/A,#N/A,FALSE,"Revenue (Annual)";"Revenue _ First 5 years Quarterly",#N/A,FALSE,"Revenue (Qtr)"}</definedName>
    <definedName name="ssss2" localSheetId="15">{#N/A,#N/A,FALSE,"Revenue (Annual)";"Revenue _ First 5 years Quarterly",#N/A,FALSE,"Revenue (Qtr)"}</definedName>
    <definedName name="ssss2" localSheetId="13">{#N/A,#N/A,FALSE,"Revenue (Annual)";"Revenue _ First 5 years Quarterly",#N/A,FALSE,"Revenue (Qtr)"}</definedName>
    <definedName name="ssss2" localSheetId="18">{#N/A,#N/A,FALSE,"Revenue (Annual)";"Revenue _ First 5 years Quarterly",#N/A,FALSE,"Revenue (Qtr)"}</definedName>
    <definedName name="ssss2" localSheetId="16">{#N/A,#N/A,FALSE,"Revenue (Annual)";"Revenue _ First 5 years Quarterly",#N/A,FALSE,"Revenue (Qtr)"}</definedName>
    <definedName name="ssss2" localSheetId="20">{#N/A,#N/A,FALSE,"Revenue (Annual)";"Revenue _ First 5 years Quarterly",#N/A,FALSE,"Revenue (Qtr)"}</definedName>
    <definedName name="ssss2" localSheetId="14">{#N/A,#N/A,FALSE,"Revenue (Annual)";"Revenue _ First 5 years Quarterly",#N/A,FALSE,"Revenue (Qtr)"}</definedName>
    <definedName name="ssss2">{#N/A,#N/A,FALSE,"Revenue (Annual)";"Revenue _ First 5 years Quarterly",#N/A,FALSE,"Revenue (Qtr)"}</definedName>
    <definedName name="st">#REF!</definedName>
    <definedName name="STATISTICS" localSheetId="12">#REF!</definedName>
    <definedName name="STATISTICS" localSheetId="10">#REF!</definedName>
    <definedName name="STATISTICS" localSheetId="8">#REF!</definedName>
    <definedName name="STATISTICS" localSheetId="6">#REF!</definedName>
    <definedName name="STATISTICS" localSheetId="4">#REF!</definedName>
    <definedName name="STATISTICS" localSheetId="1">#REF!</definedName>
    <definedName name="STATISTICS" localSheetId="2">#REF!</definedName>
    <definedName name="STATISTICS" localSheetId="7">#REF!</definedName>
    <definedName name="STATISTICS" localSheetId="3">#REF!</definedName>
    <definedName name="STATISTICS" localSheetId="11">#REF!</definedName>
    <definedName name="STATISTICS" localSheetId="9">#REF!</definedName>
    <definedName name="STATISTICS" localSheetId="5">#REF!</definedName>
    <definedName name="STATISTICS" localSheetId="17">#REF!</definedName>
    <definedName name="STATISTICS" localSheetId="15">#REF!</definedName>
    <definedName name="STATISTICS" localSheetId="13">#REF!</definedName>
    <definedName name="STATISTICS" localSheetId="18">#REF!</definedName>
    <definedName name="STATISTICS" localSheetId="16">#REF!</definedName>
    <definedName name="STATISTICS" localSheetId="20">#REF!</definedName>
    <definedName name="STATISTICS" localSheetId="14">#REF!</definedName>
    <definedName name="STATISTICS">#REF!</definedName>
    <definedName name="Steelwork">[11]Prices!$B$490</definedName>
    <definedName name="str" localSheetId="12">#REF!</definedName>
    <definedName name="str" localSheetId="10">#REF!</definedName>
    <definedName name="str" localSheetId="6">#REF!</definedName>
    <definedName name="str" localSheetId="4">#REF!</definedName>
    <definedName name="str">#REF!</definedName>
    <definedName name="stw" localSheetId="12">#REF!</definedName>
    <definedName name="stw" localSheetId="10">#REF!</definedName>
    <definedName name="stw" localSheetId="6">#REF!</definedName>
    <definedName name="stw" localSheetId="4">#REF!</definedName>
    <definedName name="stw">#REF!</definedName>
    <definedName name="sub" localSheetId="12">#REF!</definedName>
    <definedName name="sub" localSheetId="10">#REF!</definedName>
    <definedName name="sub" localSheetId="6">#REF!</definedName>
    <definedName name="sub" localSheetId="4">#REF!</definedName>
    <definedName name="sub">#REF!</definedName>
    <definedName name="substructure" localSheetId="12">#REF!</definedName>
    <definedName name="substructure" localSheetId="10">#REF!</definedName>
    <definedName name="substructure" localSheetId="4">#REF!</definedName>
    <definedName name="substructure">#REF!</definedName>
    <definedName name="super" localSheetId="12">#REF!</definedName>
    <definedName name="super" localSheetId="10">#REF!</definedName>
    <definedName name="super" localSheetId="4">#REF!</definedName>
    <definedName name="super">#REF!</definedName>
    <definedName name="supstr" localSheetId="12">#REF!</definedName>
    <definedName name="supstr" localSheetId="10">#REF!</definedName>
    <definedName name="supstr" localSheetId="4">#REF!</definedName>
    <definedName name="supstr">#REF!</definedName>
    <definedName name="Suspended_gypsum_ceiling_with_grid">[11]Prices!$B$502</definedName>
    <definedName name="Suspended_mineral_fibre_ceiling_with_grid">[11]Prices!$B$501</definedName>
    <definedName name="sw" localSheetId="12">#REF!</definedName>
    <definedName name="sw" localSheetId="10">#REF!</definedName>
    <definedName name="sw" localSheetId="6">#REF!</definedName>
    <definedName name="sw" localSheetId="4">#REF!</definedName>
    <definedName name="sw">#REF!</definedName>
    <definedName name="swd" localSheetId="12">#REF!</definedName>
    <definedName name="swd" localSheetId="10">#REF!</definedName>
    <definedName name="swd" localSheetId="6">#REF!</definedName>
    <definedName name="swd" localSheetId="4">#REF!</definedName>
    <definedName name="swd">#REF!</definedName>
    <definedName name="TABLE" localSheetId="12">#REF!</definedName>
    <definedName name="TABLE" localSheetId="10">#REF!</definedName>
    <definedName name="TABLE" localSheetId="8">#REF!</definedName>
    <definedName name="TABLE" localSheetId="6">#REF!</definedName>
    <definedName name="TABLE" localSheetId="4">#REF!</definedName>
    <definedName name="TABLE" localSheetId="1">#REF!</definedName>
    <definedName name="TABLE" localSheetId="7">#REF!</definedName>
    <definedName name="TABLE" localSheetId="3">#REF!</definedName>
    <definedName name="TABLE" localSheetId="11">#REF!</definedName>
    <definedName name="TABLE" localSheetId="9">#REF!</definedName>
    <definedName name="TABLE" localSheetId="5">#REF!</definedName>
    <definedName name="TABLE" localSheetId="17">#REF!</definedName>
    <definedName name="TABLE" localSheetId="15">#REF!</definedName>
    <definedName name="TABLE" localSheetId="13">#REF!</definedName>
    <definedName name="TABLE" localSheetId="18">#REF!</definedName>
    <definedName name="TABLE" localSheetId="16">#REF!</definedName>
    <definedName name="TABLE" localSheetId="20">#REF!</definedName>
    <definedName name="TABLE" localSheetId="14">#REF!</definedName>
    <definedName name="TABLE">#REF!</definedName>
    <definedName name="TAKEOFF" localSheetId="12">{#N/A,#N/A,FALSE,"AFR-ELC"}</definedName>
    <definedName name="TAKEOFF" localSheetId="10">{#N/A,#N/A,FALSE,"AFR-ELC"}</definedName>
    <definedName name="TAKEOFF" localSheetId="6">{#N/A,#N/A,FALSE,"AFR-ELC"}</definedName>
    <definedName name="TAKEOFF" localSheetId="4">{#N/A,#N/A,FALSE,"AFR-ELC"}</definedName>
    <definedName name="TAKEOFF">{#N/A,#N/A,FALSE,"AFR-ELC"}</definedName>
    <definedName name="TBL" localSheetId="12">#REF!</definedName>
    <definedName name="TBL" localSheetId="10">#REF!</definedName>
    <definedName name="TBL" localSheetId="8">#REF!</definedName>
    <definedName name="TBL" localSheetId="6">#REF!</definedName>
    <definedName name="TBL" localSheetId="4">#REF!</definedName>
    <definedName name="TBL" localSheetId="1">#REF!</definedName>
    <definedName name="TBL" localSheetId="2">#REF!</definedName>
    <definedName name="TBL" localSheetId="16">#REF!</definedName>
    <definedName name="TBL" localSheetId="14">#REF!</definedName>
    <definedName name="TBL">#REF!</definedName>
    <definedName name="tempel" localSheetId="12" hidden="1">{#N/A,#N/A,FALSE,"Elect B.O.Q";#N/A,#N/A,FALSE,"Plumbing b.O.Q";#N/A,#N/A,FALSE,"Ac B.O.Q"}</definedName>
    <definedName name="tempel" localSheetId="10" hidden="1">{#N/A,#N/A,FALSE,"Elect B.O.Q";#N/A,#N/A,FALSE,"Plumbing b.O.Q";#N/A,#N/A,FALSE,"Ac B.O.Q"}</definedName>
    <definedName name="tempel" localSheetId="6" hidden="1">{#N/A,#N/A,FALSE,"Elect B.O.Q";#N/A,#N/A,FALSE,"Plumbing b.O.Q";#N/A,#N/A,FALSE,"Ac B.O.Q"}</definedName>
    <definedName name="tempel" localSheetId="4" hidden="1">{#N/A,#N/A,FALSE,"Elect B.O.Q";#N/A,#N/A,FALSE,"Plumbing b.O.Q";#N/A,#N/A,FALSE,"Ac B.O.Q"}</definedName>
    <definedName name="tempel" localSheetId="2" hidden="1">{#N/A,#N/A,FALSE,"Elect B.O.Q";#N/A,#N/A,FALSE,"Plumbing b.O.Q";#N/A,#N/A,FALSE,"Ac B.O.Q"}</definedName>
    <definedName name="tempel" hidden="1">{#N/A,#N/A,FALSE,"Elect B.O.Q";#N/A,#N/A,FALSE,"Plumbing b.O.Q";#N/A,#N/A,FALSE,"Ac B.O.Q"}</definedName>
    <definedName name="Terrazzo_tiles_grey">[11]Prices!$B$516</definedName>
    <definedName name="test" localSheetId="12" hidden="1">{#N/A,#N/A,FALSE,"Aging Summary";#N/A,#N/A,FALSE,"Ratio Analysis";#N/A,#N/A,FALSE,"Test 120 Day Accts";#N/A,#N/A,FALSE,"Tickmarks"}</definedName>
    <definedName name="test" localSheetId="10" hidden="1">{#N/A,#N/A,FALSE,"Aging Summary";#N/A,#N/A,FALSE,"Ratio Analysis";#N/A,#N/A,FALSE,"Test 120 Day Accts";#N/A,#N/A,FALSE,"Tickmarks"}</definedName>
    <definedName name="test" localSheetId="8" hidden="1">{#N/A,#N/A,FALSE,"Aging Summary";#N/A,#N/A,FALSE,"Ratio Analysis";#N/A,#N/A,FALSE,"Test 120 Day Accts";#N/A,#N/A,FALSE,"Tickmarks"}</definedName>
    <definedName name="test" localSheetId="6" hidden="1">{#N/A,#N/A,FALSE,"Aging Summary";#N/A,#N/A,FALSE,"Ratio Analysis";#N/A,#N/A,FALSE,"Test 120 Day Accts";#N/A,#N/A,FALSE,"Tickmarks"}</definedName>
    <definedName name="test" localSheetId="4" hidden="1">{#N/A,#N/A,FALSE,"Aging Summary";#N/A,#N/A,FALSE,"Ratio Analysis";#N/A,#N/A,FALSE,"Test 120 Day Accts";#N/A,#N/A,FALSE,"Tickmarks"}</definedName>
    <definedName name="test" localSheetId="1" hidden="1">{#N/A,#N/A,FALSE,"Aging Summary";#N/A,#N/A,FALSE,"Ratio Analysis";#N/A,#N/A,FALSE,"Test 120 Day Accts";#N/A,#N/A,FALSE,"Tickmarks"}</definedName>
    <definedName name="test" localSheetId="7" hidden="1">{#N/A,#N/A,FALSE,"Aging Summary";#N/A,#N/A,FALSE,"Ratio Analysis";#N/A,#N/A,FALSE,"Test 120 Day Accts";#N/A,#N/A,FALSE,"Tickmarks"}</definedName>
    <definedName name="test" localSheetId="3" hidden="1">{#N/A,#N/A,FALSE,"Aging Summary";#N/A,#N/A,FALSE,"Ratio Analysis";#N/A,#N/A,FALSE,"Test 120 Day Accts";#N/A,#N/A,FALSE,"Tickmarks"}</definedName>
    <definedName name="test" localSheetId="11" hidden="1">{#N/A,#N/A,FALSE,"Aging Summary";#N/A,#N/A,FALSE,"Ratio Analysis";#N/A,#N/A,FALSE,"Test 120 Day Accts";#N/A,#N/A,FALSE,"Tickmarks"}</definedName>
    <definedName name="test" localSheetId="9" hidden="1">{#N/A,#N/A,FALSE,"Aging Summary";#N/A,#N/A,FALSE,"Ratio Analysis";#N/A,#N/A,FALSE,"Test 120 Day Accts";#N/A,#N/A,FALSE,"Tickmarks"}</definedName>
    <definedName name="test" localSheetId="5" hidden="1">{#N/A,#N/A,FALSE,"Aging Summary";#N/A,#N/A,FALSE,"Ratio Analysis";#N/A,#N/A,FALSE,"Test 120 Day Accts";#N/A,#N/A,FALSE,"Tickmarks"}</definedName>
    <definedName name="test" localSheetId="17"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3" hidden="1">{#N/A,#N/A,FALSE,"Aging Summary";#N/A,#N/A,FALSE,"Ratio Analysis";#N/A,#N/A,FALSE,"Test 120 Day Accts";#N/A,#N/A,FALSE,"Tickmarks"}</definedName>
    <definedName name="test" localSheetId="18" hidden="1">{#N/A,#N/A,FALSE,"Aging Summary";#N/A,#N/A,FALSE,"Ratio Analysis";#N/A,#N/A,FALSE,"Test 120 Day Accts";#N/A,#N/A,FALSE,"Tickmarks"}</definedName>
    <definedName name="test" localSheetId="16" hidden="1">{#N/A,#N/A,FALSE,"Aging Summary";#N/A,#N/A,FALSE,"Ratio Analysis";#N/A,#N/A,FALSE,"Test 120 Day Accts";#N/A,#N/A,FALSE,"Tickmarks"}</definedName>
    <definedName name="test" localSheetId="20" hidden="1">{#N/A,#N/A,FALSE,"Aging Summary";#N/A,#N/A,FALSE,"Ratio Analysis";#N/A,#N/A,FALSE,"Test 120 Day Accts";#N/A,#N/A,FALSE,"Tickmarks"}</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xcoat_paint">[11]Prices!$B$528</definedName>
    <definedName name="Texcoat_painting">[11]Rates!$A$241</definedName>
    <definedName name="Texcoat_primer">[11]Prices!$B$529</definedName>
    <definedName name="Tilefix">[11]Prices!$B$531</definedName>
    <definedName name="Timber_1x12">[11]Prices!$B$533</definedName>
    <definedName name="Timber_1x4">[11]Prices!$B$534</definedName>
    <definedName name="Timber_2x2">[11]Prices!$B$535</definedName>
    <definedName name="Timber_2x3">[11]Prices!$B$536</definedName>
    <definedName name="Tipper_hire">[11]Prices!$B$539</definedName>
    <definedName name="TITLE" localSheetId="12">#REF!</definedName>
    <definedName name="TITLE" localSheetId="10">#REF!</definedName>
    <definedName name="TITLE" localSheetId="8">#REF!</definedName>
    <definedName name="TITLE" localSheetId="6">#REF!</definedName>
    <definedName name="TITLE" localSheetId="4">#REF!</definedName>
    <definedName name="TITLE" localSheetId="1">#REF!</definedName>
    <definedName name="TITLE" localSheetId="2">#REF!</definedName>
    <definedName name="TITLE" localSheetId="7">#REF!</definedName>
    <definedName name="TITLE" localSheetId="3">#REF!</definedName>
    <definedName name="TITLE" localSheetId="11">#REF!</definedName>
    <definedName name="TITLE" localSheetId="9">#REF!</definedName>
    <definedName name="TITLE" localSheetId="5">#REF!</definedName>
    <definedName name="TITLE" localSheetId="17">#REF!</definedName>
    <definedName name="TITLE" localSheetId="15">#REF!</definedName>
    <definedName name="TITLE" localSheetId="13">#REF!</definedName>
    <definedName name="TITLE" localSheetId="18">#REF!</definedName>
    <definedName name="TITLE" localSheetId="16">#REF!</definedName>
    <definedName name="TITLE" localSheetId="20">#REF!</definedName>
    <definedName name="TITLE" localSheetId="14">#REF!</definedName>
    <definedName name="TITLE">#REF!</definedName>
    <definedName name="tony">'[27]Diesel claim'!$G$38,'[27]Diesel claim'!$G$40,'[27]Diesel claim'!$G$42,'[27]Diesel claim'!$G$44</definedName>
    <definedName name="toolshed" localSheetId="12">#REF!</definedName>
    <definedName name="toolshed" localSheetId="10">#REF!</definedName>
    <definedName name="toolshed" localSheetId="6">#REF!</definedName>
    <definedName name="toolshed" localSheetId="4">#REF!</definedName>
    <definedName name="toolshed">#REF!</definedName>
    <definedName name="Total_Interest" localSheetId="12">#REF!</definedName>
    <definedName name="Total_Interest" localSheetId="10">#REF!</definedName>
    <definedName name="Total_Interest" localSheetId="8">#REF!</definedName>
    <definedName name="Total_Interest" localSheetId="6">#REF!</definedName>
    <definedName name="Total_Interest" localSheetId="4">#REF!</definedName>
    <definedName name="Total_Interest" localSheetId="1">#REF!</definedName>
    <definedName name="Total_Interest" localSheetId="7">#REF!</definedName>
    <definedName name="Total_Interest" localSheetId="3">#REF!</definedName>
    <definedName name="Total_Interest" localSheetId="11">#REF!</definedName>
    <definedName name="Total_Interest" localSheetId="9">#REF!</definedName>
    <definedName name="Total_Interest" localSheetId="5">#REF!</definedName>
    <definedName name="Total_Interest" localSheetId="17">#REF!</definedName>
    <definedName name="Total_Interest" localSheetId="15">#REF!</definedName>
    <definedName name="Total_Interest" localSheetId="13">#REF!</definedName>
    <definedName name="Total_Interest" localSheetId="18">#REF!</definedName>
    <definedName name="Total_Interest" localSheetId="16">#REF!</definedName>
    <definedName name="Total_Interest" localSheetId="20">#REF!</definedName>
    <definedName name="Total_Interest" localSheetId="14">#REF!</definedName>
    <definedName name="Total_Interest">#REF!</definedName>
    <definedName name="Total_Pay" localSheetId="12">#REF!</definedName>
    <definedName name="Total_Pay" localSheetId="10">#REF!</definedName>
    <definedName name="Total_Pay" localSheetId="8">#REF!</definedName>
    <definedName name="Total_Pay" localSheetId="6">#REF!</definedName>
    <definedName name="Total_Pay" localSheetId="4">#REF!</definedName>
    <definedName name="Total_Pay" localSheetId="1">#REF!</definedName>
    <definedName name="Total_Pay" localSheetId="7">#REF!</definedName>
    <definedName name="Total_Pay" localSheetId="3">#REF!</definedName>
    <definedName name="Total_Pay" localSheetId="11">#REF!</definedName>
    <definedName name="Total_Pay" localSheetId="9">#REF!</definedName>
    <definedName name="Total_Pay" localSheetId="5">#REF!</definedName>
    <definedName name="Total_Pay" localSheetId="17">#REF!</definedName>
    <definedName name="Total_Pay" localSheetId="15">#REF!</definedName>
    <definedName name="Total_Pay" localSheetId="13">#REF!</definedName>
    <definedName name="Total_Pay" localSheetId="18">#REF!</definedName>
    <definedName name="Total_Pay" localSheetId="16">#REF!</definedName>
    <definedName name="Total_Pay" localSheetId="20">#REF!</definedName>
    <definedName name="Total_Pay" localSheetId="14">#REF!</definedName>
    <definedName name="Total_Pay">#REF!</definedName>
    <definedName name="Total_Payment" localSheetId="12">Scheduled_Payment+Extra_Payment</definedName>
    <definedName name="Total_Payment" localSheetId="10">Scheduled_Payment+Extra_Payment</definedName>
    <definedName name="Total_Payment" localSheetId="8">Scheduled_Payment+Extra_Payment</definedName>
    <definedName name="Total_Payment" localSheetId="6">Scheduled_Payment+Extra_Payment</definedName>
    <definedName name="Total_Payment" localSheetId="4">Scheduled_Payment+Extra_Payment</definedName>
    <definedName name="Total_Payment" localSheetId="1">Scheduled_Payment+Extra_Payment</definedName>
    <definedName name="Total_Payment" localSheetId="7">Scheduled_Payment+Extra_Payment</definedName>
    <definedName name="Total_Payment" localSheetId="3">Scheduled_Payment+Extra_Payment</definedName>
    <definedName name="Total_Payment" localSheetId="11">Scheduled_Payment+Extra_Payment</definedName>
    <definedName name="Total_Payment" localSheetId="9">Scheduled_Payment+Extra_Payment</definedName>
    <definedName name="Total_Payment" localSheetId="5">Scheduled_Payment+Extra_Payment</definedName>
    <definedName name="Total_Payment" localSheetId="17">Scheduled_Payment+Extra_Payment</definedName>
    <definedName name="Total_Payment" localSheetId="15">Scheduled_Payment+Extra_Payment</definedName>
    <definedName name="Total_Payment" localSheetId="13">Scheduled_Payment+Extra_Payment</definedName>
    <definedName name="Total_Payment" localSheetId="18">Scheduled_Payment+Extra_Payment</definedName>
    <definedName name="Total_Payment" localSheetId="16">Scheduled_Payment+Extra_Payment</definedName>
    <definedName name="Total_Payment" localSheetId="20">Scheduled_Payment+Extra_Payment</definedName>
    <definedName name="Total_Payment" localSheetId="14">Scheduled_Payment+Extra_Payment</definedName>
    <definedName name="Total_Payment">Scheduled_Payment+Extra_Payment</definedName>
    <definedName name="TOTALCOST" localSheetId="12">#REF!</definedName>
    <definedName name="TOTALCOST" localSheetId="10">#REF!</definedName>
    <definedName name="TOTALCOST" localSheetId="8">#REF!</definedName>
    <definedName name="TOTALCOST" localSheetId="6">#REF!</definedName>
    <definedName name="TOTALCOST" localSheetId="4">#REF!</definedName>
    <definedName name="TOTALCOST" localSheetId="1">#REF!</definedName>
    <definedName name="TOTALCOST" localSheetId="2">#REF!</definedName>
    <definedName name="TOTALCOST" localSheetId="7">#REF!</definedName>
    <definedName name="TOTALCOST" localSheetId="3">#REF!</definedName>
    <definedName name="TOTALCOST" localSheetId="11">#REF!</definedName>
    <definedName name="TOTALCOST" localSheetId="9">#REF!</definedName>
    <definedName name="TOTALCOST" localSheetId="5">#REF!</definedName>
    <definedName name="TOTALCOST" localSheetId="17">#REF!</definedName>
    <definedName name="TOTALCOST" localSheetId="15">#REF!</definedName>
    <definedName name="TOTALCOST" localSheetId="13">#REF!</definedName>
    <definedName name="TOTALCOST" localSheetId="18">#REF!</definedName>
    <definedName name="TOTALCOST" localSheetId="16">#REF!</definedName>
    <definedName name="TOTALCOST" localSheetId="20">#REF!</definedName>
    <definedName name="TOTALCOST" localSheetId="14">#REF!</definedName>
    <definedName name="TOTALCOST">#REF!</definedName>
    <definedName name="TOTALMARGIN" localSheetId="12">#REF!</definedName>
    <definedName name="TOTALMARGIN" localSheetId="10">#REF!</definedName>
    <definedName name="TOTALMARGIN" localSheetId="8">#REF!</definedName>
    <definedName name="TOTALMARGIN" localSheetId="6">#REF!</definedName>
    <definedName name="TOTALMARGIN" localSheetId="4">#REF!</definedName>
    <definedName name="TOTALMARGIN" localSheetId="1">#REF!</definedName>
    <definedName name="TOTALMARGIN" localSheetId="7">#REF!</definedName>
    <definedName name="TOTALMARGIN" localSheetId="3">#REF!</definedName>
    <definedName name="TOTALMARGIN" localSheetId="11">#REF!</definedName>
    <definedName name="TOTALMARGIN" localSheetId="9">#REF!</definedName>
    <definedName name="TOTALMARGIN" localSheetId="5">#REF!</definedName>
    <definedName name="TOTALMARGIN" localSheetId="17">#REF!</definedName>
    <definedName name="TOTALMARGIN" localSheetId="15">#REF!</definedName>
    <definedName name="TOTALMARGIN" localSheetId="13">#REF!</definedName>
    <definedName name="TOTALMARGIN" localSheetId="18">#REF!</definedName>
    <definedName name="TOTALMARGIN" localSheetId="16">#REF!</definedName>
    <definedName name="TOTALMARGIN" localSheetId="20">#REF!</definedName>
    <definedName name="TOTALMARGIN" localSheetId="14">#REF!</definedName>
    <definedName name="TOTALMARGIN">#REF!</definedName>
    <definedName name="TOTALPRICE" localSheetId="12">#REF!</definedName>
    <definedName name="TOTALPRICE" localSheetId="10">#REF!</definedName>
    <definedName name="TOTALPRICE" localSheetId="8">#REF!</definedName>
    <definedName name="TOTALPRICE" localSheetId="6">#REF!</definedName>
    <definedName name="TOTALPRICE" localSheetId="4">#REF!</definedName>
    <definedName name="TOTALPRICE" localSheetId="1">#REF!</definedName>
    <definedName name="TOTALPRICE" localSheetId="7">#REF!</definedName>
    <definedName name="TOTALPRICE" localSheetId="3">#REF!</definedName>
    <definedName name="TOTALPRICE" localSheetId="11">#REF!</definedName>
    <definedName name="TOTALPRICE" localSheetId="9">#REF!</definedName>
    <definedName name="TOTALPRICE" localSheetId="5">#REF!</definedName>
    <definedName name="TOTALPRICE" localSheetId="17">#REF!</definedName>
    <definedName name="TOTALPRICE" localSheetId="15">#REF!</definedName>
    <definedName name="TOTALPRICE" localSheetId="13">#REF!</definedName>
    <definedName name="TOTALPRICE" localSheetId="18">#REF!</definedName>
    <definedName name="TOTALPRICE" localSheetId="16">#REF!</definedName>
    <definedName name="TOTALPRICE" localSheetId="20">#REF!</definedName>
    <definedName name="TOTALPRICE" localSheetId="14">#REF!</definedName>
    <definedName name="TOTALPRICE">#REF!</definedName>
    <definedName name="totalsf">'[28]Unit Mix'!$K$26</definedName>
    <definedName name="TOTALSTOCK" localSheetId="12">#REF!</definedName>
    <definedName name="TOTALSTOCK" localSheetId="10">#REF!</definedName>
    <definedName name="TOTALSTOCK" localSheetId="8">#REF!</definedName>
    <definedName name="TOTALSTOCK" localSheetId="6">#REF!</definedName>
    <definedName name="TOTALSTOCK" localSheetId="4">#REF!</definedName>
    <definedName name="TOTALSTOCK" localSheetId="1">#REF!</definedName>
    <definedName name="TOTALSTOCK" localSheetId="2">#REF!</definedName>
    <definedName name="TOTALSTOCK" localSheetId="7">#REF!</definedName>
    <definedName name="TOTALSTOCK" localSheetId="3">#REF!</definedName>
    <definedName name="TOTALSTOCK" localSheetId="11">#REF!</definedName>
    <definedName name="TOTALSTOCK" localSheetId="9">#REF!</definedName>
    <definedName name="TOTALSTOCK" localSheetId="5">#REF!</definedName>
    <definedName name="TOTALSTOCK" localSheetId="17">#REF!</definedName>
    <definedName name="TOTALSTOCK" localSheetId="15">#REF!</definedName>
    <definedName name="TOTALSTOCK" localSheetId="13">#REF!</definedName>
    <definedName name="TOTALSTOCK" localSheetId="18">#REF!</definedName>
    <definedName name="TOTALSTOCK" localSheetId="16">#REF!</definedName>
    <definedName name="TOTALSTOCK" localSheetId="20">#REF!</definedName>
    <definedName name="TOTALSTOCK" localSheetId="14">#REF!</definedName>
    <definedName name="TOTALSTOCK">#REF!</definedName>
    <definedName name="totalunits">'[28]Unit Mix'!$G$26</definedName>
    <definedName name="TOTSTOCKCOST" localSheetId="12">#REF!</definedName>
    <definedName name="TOTSTOCKCOST" localSheetId="10">#REF!</definedName>
    <definedName name="TOTSTOCKCOST" localSheetId="8">#REF!</definedName>
    <definedName name="TOTSTOCKCOST" localSheetId="6">#REF!</definedName>
    <definedName name="TOTSTOCKCOST" localSheetId="4">#REF!</definedName>
    <definedName name="TOTSTOCKCOST" localSheetId="1">#REF!</definedName>
    <definedName name="TOTSTOCKCOST" localSheetId="2">#REF!</definedName>
    <definedName name="TOTSTOCKCOST" localSheetId="7">#REF!</definedName>
    <definedName name="TOTSTOCKCOST" localSheetId="3">#REF!</definedName>
    <definedName name="TOTSTOCKCOST" localSheetId="11">#REF!</definedName>
    <definedName name="TOTSTOCKCOST" localSheetId="9">#REF!</definedName>
    <definedName name="TOTSTOCKCOST" localSheetId="5">#REF!</definedName>
    <definedName name="TOTSTOCKCOST" localSheetId="17">#REF!</definedName>
    <definedName name="TOTSTOCKCOST" localSheetId="15">#REF!</definedName>
    <definedName name="TOTSTOCKCOST" localSheetId="13">#REF!</definedName>
    <definedName name="TOTSTOCKCOST" localSheetId="18">#REF!</definedName>
    <definedName name="TOTSTOCKCOST" localSheetId="16">#REF!</definedName>
    <definedName name="TOTSTOCKCOST" localSheetId="20">#REF!</definedName>
    <definedName name="TOTSTOCKCOST" localSheetId="14">#REF!</definedName>
    <definedName name="TOTSTOCKCOST">#REF!</definedName>
    <definedName name="TR" localSheetId="12">#REF!</definedName>
    <definedName name="TR" localSheetId="10">#REF!</definedName>
    <definedName name="TR" localSheetId="8">#REF!</definedName>
    <definedName name="TR" localSheetId="6">#REF!</definedName>
    <definedName name="TR" localSheetId="4">#REF!</definedName>
    <definedName name="TR" localSheetId="1">#REF!</definedName>
    <definedName name="TR" localSheetId="7">#REF!</definedName>
    <definedName name="TR" localSheetId="3">#REF!</definedName>
    <definedName name="TR" localSheetId="11">#REF!</definedName>
    <definedName name="TR" localSheetId="9">#REF!</definedName>
    <definedName name="TR" localSheetId="5">#REF!</definedName>
    <definedName name="TR" localSheetId="17">#REF!</definedName>
    <definedName name="TR" localSheetId="15">#REF!</definedName>
    <definedName name="TR" localSheetId="13">#REF!</definedName>
    <definedName name="TR" localSheetId="18">#REF!</definedName>
    <definedName name="TR" localSheetId="16">#REF!</definedName>
    <definedName name="TR" localSheetId="20">#REF!</definedName>
    <definedName name="TR" localSheetId="14">#REF!</definedName>
    <definedName name="TR">#REF!</definedName>
    <definedName name="TR0" localSheetId="12">#REF!</definedName>
    <definedName name="TR0" localSheetId="10">#REF!</definedName>
    <definedName name="TR0" localSheetId="8">#REF!</definedName>
    <definedName name="TR0" localSheetId="6">#REF!</definedName>
    <definedName name="TR0" localSheetId="4">#REF!</definedName>
    <definedName name="TR0" localSheetId="1">#REF!</definedName>
    <definedName name="TR0" localSheetId="7">#REF!</definedName>
    <definedName name="TR0" localSheetId="3">#REF!</definedName>
    <definedName name="TR0" localSheetId="11">#REF!</definedName>
    <definedName name="TR0" localSheetId="9">#REF!</definedName>
    <definedName name="TR0" localSheetId="5">#REF!</definedName>
    <definedName name="TR0" localSheetId="17">#REF!</definedName>
    <definedName name="TR0" localSheetId="15">#REF!</definedName>
    <definedName name="TR0" localSheetId="13">#REF!</definedName>
    <definedName name="TR0" localSheetId="18">#REF!</definedName>
    <definedName name="TR0" localSheetId="16">#REF!</definedName>
    <definedName name="TR0" localSheetId="20">#REF!</definedName>
    <definedName name="TR0" localSheetId="14">#REF!</definedName>
    <definedName name="TR0">#REF!</definedName>
    <definedName name="tsadu" localSheetId="12">#REF!</definedName>
    <definedName name="tsadu" localSheetId="10">#REF!</definedName>
    <definedName name="tsadu" localSheetId="4">#REF!</definedName>
    <definedName name="tsadu">#REF!</definedName>
    <definedName name="tsadu1" localSheetId="12">#REF!</definedName>
    <definedName name="tsadu1" localSheetId="10">#REF!</definedName>
    <definedName name="tsadu1" localSheetId="4">#REF!</definedName>
    <definedName name="tsadu1">#REF!</definedName>
    <definedName name="TTLE" localSheetId="12">{#N/A,#N/A,FALSE,"AFR-ELC"}</definedName>
    <definedName name="TTLE" localSheetId="10">{#N/A,#N/A,FALSE,"AFR-ELC"}</definedName>
    <definedName name="TTLE" localSheetId="8">{#N/A,#N/A,FALSE,"AFR-ELC"}</definedName>
    <definedName name="TTLE" localSheetId="6">{#N/A,#N/A,FALSE,"AFR-ELC"}</definedName>
    <definedName name="TTLE" localSheetId="4">{#N/A,#N/A,FALSE,"AFR-ELC"}</definedName>
    <definedName name="TTLE" localSheetId="1">{#N/A,#N/A,FALSE,"AFR-ELC"}</definedName>
    <definedName name="TTLE" localSheetId="7">{#N/A,#N/A,FALSE,"AFR-ELC"}</definedName>
    <definedName name="TTLE" localSheetId="3">{#N/A,#N/A,FALSE,"AFR-ELC"}</definedName>
    <definedName name="TTLE" localSheetId="11">{#N/A,#N/A,FALSE,"AFR-ELC"}</definedName>
    <definedName name="TTLE" localSheetId="9">{#N/A,#N/A,FALSE,"AFR-ELC"}</definedName>
    <definedName name="TTLE" localSheetId="5">{#N/A,#N/A,FALSE,"AFR-ELC"}</definedName>
    <definedName name="TTLE" localSheetId="17">{#N/A,#N/A,FALSE,"AFR-ELC"}</definedName>
    <definedName name="TTLE" localSheetId="15">{#N/A,#N/A,FALSE,"AFR-ELC"}</definedName>
    <definedName name="TTLE" localSheetId="13">{#N/A,#N/A,FALSE,"AFR-ELC"}</definedName>
    <definedName name="TTLE" localSheetId="18">{#N/A,#N/A,FALSE,"AFR-ELC"}</definedName>
    <definedName name="TTLE" localSheetId="16">{#N/A,#N/A,FALSE,"AFR-ELC"}</definedName>
    <definedName name="TTLE" localSheetId="20">{#N/A,#N/A,FALSE,"AFR-ELC"}</definedName>
    <definedName name="TTLE" localSheetId="14">{#N/A,#N/A,FALSE,"AFR-ELC"}</definedName>
    <definedName name="TTLE">{#N/A,#N/A,FALSE,"AFR-ELC"}</definedName>
    <definedName name="TTLET" localSheetId="12" hidden="1">{#N/A,#N/A,FALSE,"AFR-ELC"}</definedName>
    <definedName name="TTLET" localSheetId="10" hidden="1">{#N/A,#N/A,FALSE,"AFR-ELC"}</definedName>
    <definedName name="TTLET" localSheetId="8" hidden="1">{#N/A,#N/A,FALSE,"AFR-ELC"}</definedName>
    <definedName name="TTLET" localSheetId="6" hidden="1">{#N/A,#N/A,FALSE,"AFR-ELC"}</definedName>
    <definedName name="TTLET" localSheetId="4" hidden="1">{#N/A,#N/A,FALSE,"AFR-ELC"}</definedName>
    <definedName name="TTLET" localSheetId="1" hidden="1">{#N/A,#N/A,FALSE,"AFR-ELC"}</definedName>
    <definedName name="TTLET" localSheetId="7" hidden="1">{#N/A,#N/A,FALSE,"AFR-ELC"}</definedName>
    <definedName name="TTLET" localSheetId="3" hidden="1">{#N/A,#N/A,FALSE,"AFR-ELC"}</definedName>
    <definedName name="TTLET" localSheetId="11" hidden="1">{#N/A,#N/A,FALSE,"AFR-ELC"}</definedName>
    <definedName name="TTLET" localSheetId="9" hidden="1">{#N/A,#N/A,FALSE,"AFR-ELC"}</definedName>
    <definedName name="TTLET" localSheetId="5" hidden="1">{#N/A,#N/A,FALSE,"AFR-ELC"}</definedName>
    <definedName name="TTLET" localSheetId="17" hidden="1">{#N/A,#N/A,FALSE,"AFR-ELC"}</definedName>
    <definedName name="TTLET" localSheetId="15" hidden="1">{#N/A,#N/A,FALSE,"AFR-ELC"}</definedName>
    <definedName name="TTLET" localSheetId="13" hidden="1">{#N/A,#N/A,FALSE,"AFR-ELC"}</definedName>
    <definedName name="TTLET" localSheetId="18" hidden="1">{#N/A,#N/A,FALSE,"AFR-ELC"}</definedName>
    <definedName name="TTLET" localSheetId="16" hidden="1">{#N/A,#N/A,FALSE,"AFR-ELC"}</definedName>
    <definedName name="TTLET" localSheetId="20" hidden="1">{#N/A,#N/A,FALSE,"AFR-ELC"}</definedName>
    <definedName name="TTLET" localSheetId="14" hidden="1">{#N/A,#N/A,FALSE,"AFR-ELC"}</definedName>
    <definedName name="TTLET" hidden="1">{#N/A,#N/A,FALSE,"AFR-ELC"}</definedName>
    <definedName name="u_n" localSheetId="12" hidden="1">{#N/A,#N/A,FALSE,"AFR-ELC"}</definedName>
    <definedName name="u_n" localSheetId="10" hidden="1">{#N/A,#N/A,FALSE,"AFR-ELC"}</definedName>
    <definedName name="u_n" localSheetId="6" hidden="1">{#N/A,#N/A,FALSE,"AFR-ELC"}</definedName>
    <definedName name="u_n" localSheetId="4" hidden="1">{#N/A,#N/A,FALSE,"AFR-ELC"}</definedName>
    <definedName name="u_n" localSheetId="1" hidden="1">{#N/A,#N/A,FALSE,"AFR-ELC"}</definedName>
    <definedName name="u_n" localSheetId="7" hidden="1">{#N/A,#N/A,FALSE,"AFR-ELC"}</definedName>
    <definedName name="u_n" localSheetId="3" hidden="1">{#N/A,#N/A,FALSE,"AFR-ELC"}</definedName>
    <definedName name="u_n" localSheetId="11" hidden="1">{#N/A,#N/A,FALSE,"AFR-ELC"}</definedName>
    <definedName name="u_n" localSheetId="9" hidden="1">{#N/A,#N/A,FALSE,"AFR-ELC"}</definedName>
    <definedName name="u_n" localSheetId="5" hidden="1">{#N/A,#N/A,FALSE,"AFR-ELC"}</definedName>
    <definedName name="u_n" localSheetId="17" hidden="1">{#N/A,#N/A,FALSE,"AFR-ELC"}</definedName>
    <definedName name="u_n" localSheetId="15" hidden="1">{#N/A,#N/A,FALSE,"AFR-ELC"}</definedName>
    <definedName name="u_n" localSheetId="13" hidden="1">{#N/A,#N/A,FALSE,"AFR-ELC"}</definedName>
    <definedName name="u_n" localSheetId="18" hidden="1">{#N/A,#N/A,FALSE,"AFR-ELC"}</definedName>
    <definedName name="u_n" localSheetId="16" hidden="1">{#N/A,#N/A,FALSE,"AFR-ELC"}</definedName>
    <definedName name="u_n" localSheetId="20" hidden="1">{#N/A,#N/A,FALSE,"AFR-ELC"}</definedName>
    <definedName name="u_n" localSheetId="14" hidden="1">{#N/A,#N/A,FALSE,"AFR-ELC"}</definedName>
    <definedName name="u_n" hidden="1">{#N/A,#N/A,FALSE,"AFR-ELC"}</definedName>
    <definedName name="UBA" localSheetId="12" hidden="1">{#N/A,#N/A,FALSE,"AFR-ELC"}</definedName>
    <definedName name="UBA" localSheetId="10" hidden="1">{#N/A,#N/A,FALSE,"AFR-ELC"}</definedName>
    <definedName name="UBA" localSheetId="6" hidden="1">{#N/A,#N/A,FALSE,"AFR-ELC"}</definedName>
    <definedName name="UBA" localSheetId="4" hidden="1">{#N/A,#N/A,FALSE,"AFR-ELC"}</definedName>
    <definedName name="UBA" localSheetId="1" hidden="1">{#N/A,#N/A,FALSE,"AFR-ELC"}</definedName>
    <definedName name="UBA" localSheetId="2" hidden="1">{#N/A,#N/A,FALSE,"AFR-ELC"}</definedName>
    <definedName name="UBA" localSheetId="7" hidden="1">{#N/A,#N/A,FALSE,"AFR-ELC"}</definedName>
    <definedName name="UBA" localSheetId="3" hidden="1">{#N/A,#N/A,FALSE,"AFR-ELC"}</definedName>
    <definedName name="UBA" localSheetId="11" hidden="1">{#N/A,#N/A,FALSE,"AFR-ELC"}</definedName>
    <definedName name="UBA" localSheetId="9" hidden="1">{#N/A,#N/A,FALSE,"AFR-ELC"}</definedName>
    <definedName name="UBA" localSheetId="5" hidden="1">{#N/A,#N/A,FALSE,"AFR-ELC"}</definedName>
    <definedName name="UBA" localSheetId="17" hidden="1">{#N/A,#N/A,FALSE,"AFR-ELC"}</definedName>
    <definedName name="UBA" localSheetId="15" hidden="1">{#N/A,#N/A,FALSE,"AFR-ELC"}</definedName>
    <definedName name="UBA" localSheetId="13" hidden="1">{#N/A,#N/A,FALSE,"AFR-ELC"}</definedName>
    <definedName name="UBA" localSheetId="18" hidden="1">{#N/A,#N/A,FALSE,"AFR-ELC"}</definedName>
    <definedName name="UBA" localSheetId="16" hidden="1">{#N/A,#N/A,FALSE,"AFR-ELC"}</definedName>
    <definedName name="UBA" localSheetId="20" hidden="1">{#N/A,#N/A,FALSE,"AFR-ELC"}</definedName>
    <definedName name="UBA" localSheetId="14" hidden="1">{#N/A,#N/A,FALSE,"AFR-ELC"}</definedName>
    <definedName name="UBA" hidden="1">{#N/A,#N/A,FALSE,"AFR-ELC"}</definedName>
    <definedName name="unattached" localSheetId="12" hidden="1">{#N/A,#N/A,FALSE,"el.det";#N/A,#N/A,FALSE,"mu.det";#N/A,#N/A,FALSE,"ug.det";#N/A,#N/A,FALSE,"ex.det";#N/A,#N/A,FALSE,"lux.det";#N/A,#N/A,FALSE,"custom.lot";#N/A,#N/A,FALSE,"condo.att";#N/A,#N/A,FALSE,"el.att";#N/A,#N/A,FALSE,"mu.att";#N/A,#N/A,FALSE,"ex.att";#N/A,#N/A,FALSE,"lux.att";#N/A,#N/A,FALSE,"all.by.village"}</definedName>
    <definedName name="unattached" localSheetId="10" hidden="1">{#N/A,#N/A,FALSE,"el.det";#N/A,#N/A,FALSE,"mu.det";#N/A,#N/A,FALSE,"ug.det";#N/A,#N/A,FALSE,"ex.det";#N/A,#N/A,FALSE,"lux.det";#N/A,#N/A,FALSE,"custom.lot";#N/A,#N/A,FALSE,"condo.att";#N/A,#N/A,FALSE,"el.att";#N/A,#N/A,FALSE,"mu.att";#N/A,#N/A,FALSE,"ex.att";#N/A,#N/A,FALSE,"lux.att";#N/A,#N/A,FALSE,"all.by.village"}</definedName>
    <definedName name="unattached" localSheetId="8" hidden="1">{#N/A,#N/A,FALSE,"el.det";#N/A,#N/A,FALSE,"mu.det";#N/A,#N/A,FALSE,"ug.det";#N/A,#N/A,FALSE,"ex.det";#N/A,#N/A,FALSE,"lux.det";#N/A,#N/A,FALSE,"custom.lot";#N/A,#N/A,FALSE,"condo.att";#N/A,#N/A,FALSE,"el.att";#N/A,#N/A,FALSE,"mu.att";#N/A,#N/A,FALSE,"ex.att";#N/A,#N/A,FALSE,"lux.att";#N/A,#N/A,FALSE,"all.by.village"}</definedName>
    <definedName name="unattached" localSheetId="6" hidden="1">{#N/A,#N/A,FALSE,"el.det";#N/A,#N/A,FALSE,"mu.det";#N/A,#N/A,FALSE,"ug.det";#N/A,#N/A,FALSE,"ex.det";#N/A,#N/A,FALSE,"lux.det";#N/A,#N/A,FALSE,"custom.lot";#N/A,#N/A,FALSE,"condo.att";#N/A,#N/A,FALSE,"el.att";#N/A,#N/A,FALSE,"mu.att";#N/A,#N/A,FALSE,"ex.att";#N/A,#N/A,FALSE,"lux.att";#N/A,#N/A,FALSE,"all.by.village"}</definedName>
    <definedName name="unattached" localSheetId="4" hidden="1">{#N/A,#N/A,FALSE,"el.det";#N/A,#N/A,FALSE,"mu.det";#N/A,#N/A,FALSE,"ug.det";#N/A,#N/A,FALSE,"ex.det";#N/A,#N/A,FALSE,"lux.det";#N/A,#N/A,FALSE,"custom.lot";#N/A,#N/A,FALSE,"condo.att";#N/A,#N/A,FALSE,"el.att";#N/A,#N/A,FALSE,"mu.att";#N/A,#N/A,FALSE,"ex.att";#N/A,#N/A,FALSE,"lux.att";#N/A,#N/A,FALSE,"all.by.village"}</definedName>
    <definedName name="unattached" localSheetId="1" hidden="1">{#N/A,#N/A,FALSE,"el.det";#N/A,#N/A,FALSE,"mu.det";#N/A,#N/A,FALSE,"ug.det";#N/A,#N/A,FALSE,"ex.det";#N/A,#N/A,FALSE,"lux.det";#N/A,#N/A,FALSE,"custom.lot";#N/A,#N/A,FALSE,"condo.att";#N/A,#N/A,FALSE,"el.att";#N/A,#N/A,FALSE,"mu.att";#N/A,#N/A,FALSE,"ex.att";#N/A,#N/A,FALSE,"lux.att";#N/A,#N/A,FALSE,"all.by.village"}</definedName>
    <definedName name="unattached" localSheetId="7" hidden="1">{#N/A,#N/A,FALSE,"el.det";#N/A,#N/A,FALSE,"mu.det";#N/A,#N/A,FALSE,"ug.det";#N/A,#N/A,FALSE,"ex.det";#N/A,#N/A,FALSE,"lux.det";#N/A,#N/A,FALSE,"custom.lot";#N/A,#N/A,FALSE,"condo.att";#N/A,#N/A,FALSE,"el.att";#N/A,#N/A,FALSE,"mu.att";#N/A,#N/A,FALSE,"ex.att";#N/A,#N/A,FALSE,"lux.att";#N/A,#N/A,FALSE,"all.by.village"}</definedName>
    <definedName name="unattached" localSheetId="3" hidden="1">{#N/A,#N/A,FALSE,"el.det";#N/A,#N/A,FALSE,"mu.det";#N/A,#N/A,FALSE,"ug.det";#N/A,#N/A,FALSE,"ex.det";#N/A,#N/A,FALSE,"lux.det";#N/A,#N/A,FALSE,"custom.lot";#N/A,#N/A,FALSE,"condo.att";#N/A,#N/A,FALSE,"el.att";#N/A,#N/A,FALSE,"mu.att";#N/A,#N/A,FALSE,"ex.att";#N/A,#N/A,FALSE,"lux.att";#N/A,#N/A,FALSE,"all.by.village"}</definedName>
    <definedName name="unattached" localSheetId="11" hidden="1">{#N/A,#N/A,FALSE,"el.det";#N/A,#N/A,FALSE,"mu.det";#N/A,#N/A,FALSE,"ug.det";#N/A,#N/A,FALSE,"ex.det";#N/A,#N/A,FALSE,"lux.det";#N/A,#N/A,FALSE,"custom.lot";#N/A,#N/A,FALSE,"condo.att";#N/A,#N/A,FALSE,"el.att";#N/A,#N/A,FALSE,"mu.att";#N/A,#N/A,FALSE,"ex.att";#N/A,#N/A,FALSE,"lux.att";#N/A,#N/A,FALSE,"all.by.village"}</definedName>
    <definedName name="unattached" localSheetId="9" hidden="1">{#N/A,#N/A,FALSE,"el.det";#N/A,#N/A,FALSE,"mu.det";#N/A,#N/A,FALSE,"ug.det";#N/A,#N/A,FALSE,"ex.det";#N/A,#N/A,FALSE,"lux.det";#N/A,#N/A,FALSE,"custom.lot";#N/A,#N/A,FALSE,"condo.att";#N/A,#N/A,FALSE,"el.att";#N/A,#N/A,FALSE,"mu.att";#N/A,#N/A,FALSE,"ex.att";#N/A,#N/A,FALSE,"lux.att";#N/A,#N/A,FALSE,"all.by.village"}</definedName>
    <definedName name="unattached" localSheetId="5" hidden="1">{#N/A,#N/A,FALSE,"el.det";#N/A,#N/A,FALSE,"mu.det";#N/A,#N/A,FALSE,"ug.det";#N/A,#N/A,FALSE,"ex.det";#N/A,#N/A,FALSE,"lux.det";#N/A,#N/A,FALSE,"custom.lot";#N/A,#N/A,FALSE,"condo.att";#N/A,#N/A,FALSE,"el.att";#N/A,#N/A,FALSE,"mu.att";#N/A,#N/A,FALSE,"ex.att";#N/A,#N/A,FALSE,"lux.att";#N/A,#N/A,FALSE,"all.by.village"}</definedName>
    <definedName name="unattached" localSheetId="17" hidden="1">{#N/A,#N/A,FALSE,"el.det";#N/A,#N/A,FALSE,"mu.det";#N/A,#N/A,FALSE,"ug.det";#N/A,#N/A,FALSE,"ex.det";#N/A,#N/A,FALSE,"lux.det";#N/A,#N/A,FALSE,"custom.lot";#N/A,#N/A,FALSE,"condo.att";#N/A,#N/A,FALSE,"el.att";#N/A,#N/A,FALSE,"mu.att";#N/A,#N/A,FALSE,"ex.att";#N/A,#N/A,FALSE,"lux.att";#N/A,#N/A,FALSE,"all.by.village"}</definedName>
    <definedName name="unattached" localSheetId="15" hidden="1">{#N/A,#N/A,FALSE,"el.det";#N/A,#N/A,FALSE,"mu.det";#N/A,#N/A,FALSE,"ug.det";#N/A,#N/A,FALSE,"ex.det";#N/A,#N/A,FALSE,"lux.det";#N/A,#N/A,FALSE,"custom.lot";#N/A,#N/A,FALSE,"condo.att";#N/A,#N/A,FALSE,"el.att";#N/A,#N/A,FALSE,"mu.att";#N/A,#N/A,FALSE,"ex.att";#N/A,#N/A,FALSE,"lux.att";#N/A,#N/A,FALSE,"all.by.village"}</definedName>
    <definedName name="unattached" localSheetId="13" hidden="1">{#N/A,#N/A,FALSE,"el.det";#N/A,#N/A,FALSE,"mu.det";#N/A,#N/A,FALSE,"ug.det";#N/A,#N/A,FALSE,"ex.det";#N/A,#N/A,FALSE,"lux.det";#N/A,#N/A,FALSE,"custom.lot";#N/A,#N/A,FALSE,"condo.att";#N/A,#N/A,FALSE,"el.att";#N/A,#N/A,FALSE,"mu.att";#N/A,#N/A,FALSE,"ex.att";#N/A,#N/A,FALSE,"lux.att";#N/A,#N/A,FALSE,"all.by.village"}</definedName>
    <definedName name="unattached" localSheetId="18" hidden="1">{#N/A,#N/A,FALSE,"el.det";#N/A,#N/A,FALSE,"mu.det";#N/A,#N/A,FALSE,"ug.det";#N/A,#N/A,FALSE,"ex.det";#N/A,#N/A,FALSE,"lux.det";#N/A,#N/A,FALSE,"custom.lot";#N/A,#N/A,FALSE,"condo.att";#N/A,#N/A,FALSE,"el.att";#N/A,#N/A,FALSE,"mu.att";#N/A,#N/A,FALSE,"ex.att";#N/A,#N/A,FALSE,"lux.att";#N/A,#N/A,FALSE,"all.by.village"}</definedName>
    <definedName name="unattached" localSheetId="16" hidden="1">{#N/A,#N/A,FALSE,"el.det";#N/A,#N/A,FALSE,"mu.det";#N/A,#N/A,FALSE,"ug.det";#N/A,#N/A,FALSE,"ex.det";#N/A,#N/A,FALSE,"lux.det";#N/A,#N/A,FALSE,"custom.lot";#N/A,#N/A,FALSE,"condo.att";#N/A,#N/A,FALSE,"el.att";#N/A,#N/A,FALSE,"mu.att";#N/A,#N/A,FALSE,"ex.att";#N/A,#N/A,FALSE,"lux.att";#N/A,#N/A,FALSE,"all.by.village"}</definedName>
    <definedName name="unattached" localSheetId="20" hidden="1">{#N/A,#N/A,FALSE,"el.det";#N/A,#N/A,FALSE,"mu.det";#N/A,#N/A,FALSE,"ug.det";#N/A,#N/A,FALSE,"ex.det";#N/A,#N/A,FALSE,"lux.det";#N/A,#N/A,FALSE,"custom.lot";#N/A,#N/A,FALSE,"condo.att";#N/A,#N/A,FALSE,"el.att";#N/A,#N/A,FALSE,"mu.att";#N/A,#N/A,FALSE,"ex.att";#N/A,#N/A,FALSE,"lux.att";#N/A,#N/A,FALSE,"all.by.village"}</definedName>
    <definedName name="unattached" localSheetId="14" hidden="1">{#N/A,#N/A,FALSE,"el.det";#N/A,#N/A,FALSE,"mu.det";#N/A,#N/A,FALSE,"ug.det";#N/A,#N/A,FALSE,"ex.det";#N/A,#N/A,FALSE,"lux.det";#N/A,#N/A,FALSE,"custom.lot";#N/A,#N/A,FALSE,"condo.att";#N/A,#N/A,FALSE,"el.att";#N/A,#N/A,FALSE,"mu.att";#N/A,#N/A,FALSE,"ex.att";#N/A,#N/A,FALSE,"lux.att";#N/A,#N/A,FALSE,"all.by.village"}</definedName>
    <definedName name="unattached" hidden="1">{#N/A,#N/A,FALSE,"el.det";#N/A,#N/A,FALSE,"mu.det";#N/A,#N/A,FALSE,"ug.det";#N/A,#N/A,FALSE,"ex.det";#N/A,#N/A,FALSE,"lux.det";#N/A,#N/A,FALSE,"custom.lot";#N/A,#N/A,FALSE,"condo.att";#N/A,#N/A,FALSE,"el.att";#N/A,#N/A,FALSE,"mu.att";#N/A,#N/A,FALSE,"ex.att";#N/A,#N/A,FALSE,"lux.att";#N/A,#N/A,FALSE,"all.by.village"}</definedName>
    <definedName name="Unit">"D1"</definedName>
    <definedName name="Unit_Margin">[18]BEP!$C$10</definedName>
    <definedName name="Unit_Rate">"E1"</definedName>
    <definedName name="Units">'[10]Construction Details'!$H$4</definedName>
    <definedName name="Units_Sold">[18]BEP!$C$5</definedName>
    <definedName name="ValDate">'[16]Val Details'!$C$53</definedName>
    <definedName name="Values_Entered" localSheetId="12">IF('2BD BLK FLAT '!Loan_Amount*'2BD BLK FLAT '!Interest_Rate*'2BD BLK FLAT '!Loan_Years*'2BD BLK FLAT '!Loan_Start&gt;0,1,0)</definedName>
    <definedName name="Values_Entered" localSheetId="10">IF('3BD BLK FLAT'!Loan_Amount*'3BD BLK FLAT'!Interest_Rate*'3BD BLK FLAT'!Loan_Years*'3BD BLK FLAT'!Loan_Start&gt;0,1,0)</definedName>
    <definedName name="Values_Entered" localSheetId="8">IF('3BD TERRACE'!Loan_Amount*'3BD TERRACE'!Interest_Rate*Loan_Years*Loan_Start&gt;0,1,0)</definedName>
    <definedName name="Values_Entered" localSheetId="6">IF('4BD SEMI-DETACHED'!Loan_Amount*'4BD SEMI-DETACHED'!Interest_Rate*Loan_Years*Loan_Start&gt;0,1,0)</definedName>
    <definedName name="Values_Entered" localSheetId="4">IF('6BD detatched'!Loan_Amount*'6BD detatched'!Interest_Rate*'6BD detatched'!Loan_Years*'6BD detatched'!Loan_Start&gt;0,1,0)</definedName>
    <definedName name="Values_Entered" localSheetId="1">IF('BILL (2)'!Loan_Amount*'BILL (2)'!Interest_Rate*Loan_Years*Loan_Start&gt;0,1,0)</definedName>
    <definedName name="Values_Entered" localSheetId="7">IF('Cover page (3 bd terrace'!Loan_Amount*'Cover page (3 bd terrace'!Interest_Rate*Loan_Years*Loan_Start&gt;0,1,0)</definedName>
    <definedName name="Values_Entered" localSheetId="3">IF('Cover page (6bd'!Loan_Amount*'Cover page (6bd'!Interest_Rate*[0]!Loan_Years*[0]!Loan_Start&gt;0,1,0)</definedName>
    <definedName name="Values_Entered" localSheetId="11">IF('cover page 2BD BLK FLAT'!Loan_Amount*'cover page 2BD BLK FLAT'!Interest_Rate*Loan_Years*Loan_Start&gt;0,1,0)</definedName>
    <definedName name="Values_Entered" localSheetId="9">IF('Cover page 3BD BLK FLAT'!Loan_Amount*'Cover page 3BD BLK FLAT'!Interest_Rate*[0]!Loan_Years*[0]!Loan_Start&gt;0,1,0)</definedName>
    <definedName name="Values_Entered" localSheetId="5">IF('Cover page 4bd semi detached'!Loan_Amount*'Cover page 4bd semi detached'!Interest_Rate*[0]!Loan_Years*[0]!Loan_Start&gt;0,1,0)</definedName>
    <definedName name="Values_Entered" localSheetId="17">IF('Cover page fence'!Loan_Amount*'Cover page fence'!Interest_Rate*Loan_Years*Loan_Start&gt;0,1,0)</definedName>
    <definedName name="Values_Entered" localSheetId="15">IF('Cover page GATEhouse'!Loan_Amount*'Cover page GATEhouse'!Interest_Rate*[0]!Loan_Years*[0]!Loan_Start&gt;0,1,0)</definedName>
    <definedName name="Values_Entered" localSheetId="13">IF('Cover page site office'!Loan_Amount*'Cover page site office'!Interest_Rate*Loan_Years*Loan_Start&gt;0,1,0)</definedName>
    <definedName name="Values_Entered" localSheetId="18">IF('Fence work '!Loan_Amount*'Fence work '!Interest_Rate*Loan_Years*Loan_Start&gt;0,1,0)</definedName>
    <definedName name="Values_Entered" localSheetId="16">IF('GATE HOUSE'!Loan_Amount*'GATE HOUSE'!Interest_Rate*Loan_Years*Loan_Start&gt;0,1,0)</definedName>
    <definedName name="Values_Entered" localSheetId="20">IF('General Summary'!Loan_Amount*'General Summary'!Interest_Rate*Loan_Years*Loan_Start&gt;0,1,0)</definedName>
    <definedName name="Values_Entered" localSheetId="14">IF('Site office'!Loan_Amount*'Site office'!Interest_Rate*Loan_Years*Loan_Start&gt;0,1,0)</definedName>
    <definedName name="Values_Entered">IF(Loan_Amount*Interest_Rate*Loan_Years*Loan_Start&gt;0,1,0)</definedName>
    <definedName name="Varcosts" localSheetId="12">#REF!</definedName>
    <definedName name="Varcosts" localSheetId="10">#REF!</definedName>
    <definedName name="Varcosts" localSheetId="8">#REF!</definedName>
    <definedName name="Varcosts" localSheetId="6">#REF!</definedName>
    <definedName name="Varcosts" localSheetId="4">#REF!</definedName>
    <definedName name="Varcosts" localSheetId="1">#REF!</definedName>
    <definedName name="Varcosts" localSheetId="7">#REF!</definedName>
    <definedName name="Varcosts" localSheetId="3">#REF!</definedName>
    <definedName name="Varcosts" localSheetId="11">#REF!</definedName>
    <definedName name="Varcosts" localSheetId="9">#REF!</definedName>
    <definedName name="Varcosts" localSheetId="5">#REF!</definedName>
    <definedName name="Varcosts" localSheetId="17">#REF!</definedName>
    <definedName name="Varcosts" localSheetId="15">#REF!</definedName>
    <definedName name="Varcosts" localSheetId="13">#REF!</definedName>
    <definedName name="Varcosts" localSheetId="18">#REF!</definedName>
    <definedName name="Varcosts" localSheetId="16">#REF!</definedName>
    <definedName name="Varcosts" localSheetId="20">#REF!</definedName>
    <definedName name="Varcosts" localSheetId="14">#REF!</definedName>
    <definedName name="Varcosts">#REF!</definedName>
    <definedName name="Variable_Costs">[18]BEP!$C$7</definedName>
    <definedName name="VAT" localSheetId="12">{#N/A,#N/A,FALSE,"AFR-ELC"}</definedName>
    <definedName name="VAT" localSheetId="10">{#N/A,#N/A,FALSE,"AFR-ELC"}</definedName>
    <definedName name="VAT" localSheetId="8">{#N/A,#N/A,FALSE,"AFR-ELC"}</definedName>
    <definedName name="VAT" localSheetId="6">{#N/A,#N/A,FALSE,"AFR-ELC"}</definedName>
    <definedName name="VAT" localSheetId="4">{#N/A,#N/A,FALSE,"AFR-ELC"}</definedName>
    <definedName name="VAT" localSheetId="1">{#N/A,#N/A,FALSE,"AFR-ELC"}</definedName>
    <definedName name="VAT" localSheetId="7">{#N/A,#N/A,FALSE,"AFR-ELC"}</definedName>
    <definedName name="VAT" localSheetId="3">{#N/A,#N/A,FALSE,"AFR-ELC"}</definedName>
    <definedName name="VAT" localSheetId="11">{#N/A,#N/A,FALSE,"AFR-ELC"}</definedName>
    <definedName name="VAT" localSheetId="9">{#N/A,#N/A,FALSE,"AFR-ELC"}</definedName>
    <definedName name="VAT" localSheetId="5">{#N/A,#N/A,FALSE,"AFR-ELC"}</definedName>
    <definedName name="VAT" localSheetId="17">{#N/A,#N/A,FALSE,"AFR-ELC"}</definedName>
    <definedName name="VAT" localSheetId="15">{#N/A,#N/A,FALSE,"AFR-ELC"}</definedName>
    <definedName name="VAT" localSheetId="13">{#N/A,#N/A,FALSE,"AFR-ELC"}</definedName>
    <definedName name="VAT" localSheetId="18">{#N/A,#N/A,FALSE,"AFR-ELC"}</definedName>
    <definedName name="VAT" localSheetId="16">{#N/A,#N/A,FALSE,"AFR-ELC"}</definedName>
    <definedName name="VAT" localSheetId="20">{#N/A,#N/A,FALSE,"AFR-ELC"}</definedName>
    <definedName name="VAT" localSheetId="14">{#N/A,#N/A,FALSE,"AFR-ELC"}</definedName>
    <definedName name="VAT">{#N/A,#N/A,FALSE,"AFR-ELC"}</definedName>
    <definedName name="Vibrated_Reinforced_Concrete__1_2_4___19mm__aggregate__in">"5 BRM DUPLEX "</definedName>
    <definedName name="Vinyl_tiles">[11]Prices!$B$560</definedName>
    <definedName name="Vitrified_tiles">[11]Prices!$B$561</definedName>
    <definedName name="Vitrified_tiling">[15]Rates!$A$210</definedName>
    <definedName name="vvvvv" localSheetId="12" hidden="1">{#N/A,#N/A,FALSE,"AFR-ELC"}</definedName>
    <definedName name="vvvvv" localSheetId="10" hidden="1">{#N/A,#N/A,FALSE,"AFR-ELC"}</definedName>
    <definedName name="vvvvv" localSheetId="8" hidden="1">{#N/A,#N/A,FALSE,"AFR-ELC"}</definedName>
    <definedName name="vvvvv" localSheetId="6" hidden="1">{#N/A,#N/A,FALSE,"AFR-ELC"}</definedName>
    <definedName name="vvvvv" localSheetId="4" hidden="1">{#N/A,#N/A,FALSE,"AFR-ELC"}</definedName>
    <definedName name="vvvvv" localSheetId="0" hidden="1">{#N/A,#N/A,FALSE,"AFR-ELC"}</definedName>
    <definedName name="vvvvv" localSheetId="1" hidden="1">{#N/A,#N/A,FALSE,"AFR-ELC"}</definedName>
    <definedName name="vvvvv" localSheetId="7" hidden="1">{#N/A,#N/A,FALSE,"AFR-ELC"}</definedName>
    <definedName name="vvvvv" localSheetId="3" hidden="1">{#N/A,#N/A,FALSE,"AFR-ELC"}</definedName>
    <definedName name="vvvvv" localSheetId="11" hidden="1">{#N/A,#N/A,FALSE,"AFR-ELC"}</definedName>
    <definedName name="vvvvv" localSheetId="9" hidden="1">{#N/A,#N/A,FALSE,"AFR-ELC"}</definedName>
    <definedName name="vvvvv" localSheetId="5" hidden="1">{#N/A,#N/A,FALSE,"AFR-ELC"}</definedName>
    <definedName name="vvvvv" localSheetId="17" hidden="1">{#N/A,#N/A,FALSE,"AFR-ELC"}</definedName>
    <definedName name="vvvvv" localSheetId="15" hidden="1">{#N/A,#N/A,FALSE,"AFR-ELC"}</definedName>
    <definedName name="vvvvv" localSheetId="13" hidden="1">{#N/A,#N/A,FALSE,"AFR-ELC"}</definedName>
    <definedName name="vvvvv" localSheetId="18" hidden="1">{#N/A,#N/A,FALSE,"AFR-ELC"}</definedName>
    <definedName name="vvvvv" localSheetId="16" hidden="1">{#N/A,#N/A,FALSE,"AFR-ELC"}</definedName>
    <definedName name="vvvvv" localSheetId="20" hidden="1">{#N/A,#N/A,FALSE,"AFR-ELC"}</definedName>
    <definedName name="vvvvv" localSheetId="14" hidden="1">{#N/A,#N/A,FALSE,"AFR-ELC"}</definedName>
    <definedName name="vvvvv" hidden="1">{#N/A,#N/A,FALSE,"AFR-ELC"}</definedName>
    <definedName name="w">#REF!</definedName>
    <definedName name="wacko" localSheetId="12" hidden="1">{#N/A,#N/A,FALSE,"el.det";#N/A,#N/A,FALSE,"mu.det";#N/A,#N/A,FALSE,"ug.det";#N/A,#N/A,FALSE,"ex.det";#N/A,#N/A,FALSE,"lux.det";#N/A,#N/A,FALSE,"custom.lot";#N/A,#N/A,FALSE,"condo.att";#N/A,#N/A,FALSE,"el.att";#N/A,#N/A,FALSE,"mu.att";#N/A,#N/A,FALSE,"ex.att";#N/A,#N/A,FALSE,"lux.att";#N/A,#N/A,FALSE,"all.by.village"}</definedName>
    <definedName name="wacko" localSheetId="10" hidden="1">{#N/A,#N/A,FALSE,"el.det";#N/A,#N/A,FALSE,"mu.det";#N/A,#N/A,FALSE,"ug.det";#N/A,#N/A,FALSE,"ex.det";#N/A,#N/A,FALSE,"lux.det";#N/A,#N/A,FALSE,"custom.lot";#N/A,#N/A,FALSE,"condo.att";#N/A,#N/A,FALSE,"el.att";#N/A,#N/A,FALSE,"mu.att";#N/A,#N/A,FALSE,"ex.att";#N/A,#N/A,FALSE,"lux.att";#N/A,#N/A,FALSE,"all.by.village"}</definedName>
    <definedName name="wacko" localSheetId="8" hidden="1">{#N/A,#N/A,FALSE,"el.det";#N/A,#N/A,FALSE,"mu.det";#N/A,#N/A,FALSE,"ug.det";#N/A,#N/A,FALSE,"ex.det";#N/A,#N/A,FALSE,"lux.det";#N/A,#N/A,FALSE,"custom.lot";#N/A,#N/A,FALSE,"condo.att";#N/A,#N/A,FALSE,"el.att";#N/A,#N/A,FALSE,"mu.att";#N/A,#N/A,FALSE,"ex.att";#N/A,#N/A,FALSE,"lux.att";#N/A,#N/A,FALSE,"all.by.village"}</definedName>
    <definedName name="wacko" localSheetId="6" hidden="1">{#N/A,#N/A,FALSE,"el.det";#N/A,#N/A,FALSE,"mu.det";#N/A,#N/A,FALSE,"ug.det";#N/A,#N/A,FALSE,"ex.det";#N/A,#N/A,FALSE,"lux.det";#N/A,#N/A,FALSE,"custom.lot";#N/A,#N/A,FALSE,"condo.att";#N/A,#N/A,FALSE,"el.att";#N/A,#N/A,FALSE,"mu.att";#N/A,#N/A,FALSE,"ex.att";#N/A,#N/A,FALSE,"lux.att";#N/A,#N/A,FALSE,"all.by.village"}</definedName>
    <definedName name="wacko" localSheetId="4" hidden="1">{#N/A,#N/A,FALSE,"el.det";#N/A,#N/A,FALSE,"mu.det";#N/A,#N/A,FALSE,"ug.det";#N/A,#N/A,FALSE,"ex.det";#N/A,#N/A,FALSE,"lux.det";#N/A,#N/A,FALSE,"custom.lot";#N/A,#N/A,FALSE,"condo.att";#N/A,#N/A,FALSE,"el.att";#N/A,#N/A,FALSE,"mu.att";#N/A,#N/A,FALSE,"ex.att";#N/A,#N/A,FALSE,"lux.att";#N/A,#N/A,FALSE,"all.by.village"}</definedName>
    <definedName name="wacko" localSheetId="1" hidden="1">{#N/A,#N/A,FALSE,"el.det";#N/A,#N/A,FALSE,"mu.det";#N/A,#N/A,FALSE,"ug.det";#N/A,#N/A,FALSE,"ex.det";#N/A,#N/A,FALSE,"lux.det";#N/A,#N/A,FALSE,"custom.lot";#N/A,#N/A,FALSE,"condo.att";#N/A,#N/A,FALSE,"el.att";#N/A,#N/A,FALSE,"mu.att";#N/A,#N/A,FALSE,"ex.att";#N/A,#N/A,FALSE,"lux.att";#N/A,#N/A,FALSE,"all.by.village"}</definedName>
    <definedName name="wacko" localSheetId="7" hidden="1">{#N/A,#N/A,FALSE,"el.det";#N/A,#N/A,FALSE,"mu.det";#N/A,#N/A,FALSE,"ug.det";#N/A,#N/A,FALSE,"ex.det";#N/A,#N/A,FALSE,"lux.det";#N/A,#N/A,FALSE,"custom.lot";#N/A,#N/A,FALSE,"condo.att";#N/A,#N/A,FALSE,"el.att";#N/A,#N/A,FALSE,"mu.att";#N/A,#N/A,FALSE,"ex.att";#N/A,#N/A,FALSE,"lux.att";#N/A,#N/A,FALSE,"all.by.village"}</definedName>
    <definedName name="wacko" localSheetId="3" hidden="1">{#N/A,#N/A,FALSE,"el.det";#N/A,#N/A,FALSE,"mu.det";#N/A,#N/A,FALSE,"ug.det";#N/A,#N/A,FALSE,"ex.det";#N/A,#N/A,FALSE,"lux.det";#N/A,#N/A,FALSE,"custom.lot";#N/A,#N/A,FALSE,"condo.att";#N/A,#N/A,FALSE,"el.att";#N/A,#N/A,FALSE,"mu.att";#N/A,#N/A,FALSE,"ex.att";#N/A,#N/A,FALSE,"lux.att";#N/A,#N/A,FALSE,"all.by.village"}</definedName>
    <definedName name="wacko" localSheetId="11" hidden="1">{#N/A,#N/A,FALSE,"el.det";#N/A,#N/A,FALSE,"mu.det";#N/A,#N/A,FALSE,"ug.det";#N/A,#N/A,FALSE,"ex.det";#N/A,#N/A,FALSE,"lux.det";#N/A,#N/A,FALSE,"custom.lot";#N/A,#N/A,FALSE,"condo.att";#N/A,#N/A,FALSE,"el.att";#N/A,#N/A,FALSE,"mu.att";#N/A,#N/A,FALSE,"ex.att";#N/A,#N/A,FALSE,"lux.att";#N/A,#N/A,FALSE,"all.by.village"}</definedName>
    <definedName name="wacko" localSheetId="9" hidden="1">{#N/A,#N/A,FALSE,"el.det";#N/A,#N/A,FALSE,"mu.det";#N/A,#N/A,FALSE,"ug.det";#N/A,#N/A,FALSE,"ex.det";#N/A,#N/A,FALSE,"lux.det";#N/A,#N/A,FALSE,"custom.lot";#N/A,#N/A,FALSE,"condo.att";#N/A,#N/A,FALSE,"el.att";#N/A,#N/A,FALSE,"mu.att";#N/A,#N/A,FALSE,"ex.att";#N/A,#N/A,FALSE,"lux.att";#N/A,#N/A,FALSE,"all.by.village"}</definedName>
    <definedName name="wacko" localSheetId="5" hidden="1">{#N/A,#N/A,FALSE,"el.det";#N/A,#N/A,FALSE,"mu.det";#N/A,#N/A,FALSE,"ug.det";#N/A,#N/A,FALSE,"ex.det";#N/A,#N/A,FALSE,"lux.det";#N/A,#N/A,FALSE,"custom.lot";#N/A,#N/A,FALSE,"condo.att";#N/A,#N/A,FALSE,"el.att";#N/A,#N/A,FALSE,"mu.att";#N/A,#N/A,FALSE,"ex.att";#N/A,#N/A,FALSE,"lux.att";#N/A,#N/A,FALSE,"all.by.village"}</definedName>
    <definedName name="wacko" localSheetId="17" hidden="1">{#N/A,#N/A,FALSE,"el.det";#N/A,#N/A,FALSE,"mu.det";#N/A,#N/A,FALSE,"ug.det";#N/A,#N/A,FALSE,"ex.det";#N/A,#N/A,FALSE,"lux.det";#N/A,#N/A,FALSE,"custom.lot";#N/A,#N/A,FALSE,"condo.att";#N/A,#N/A,FALSE,"el.att";#N/A,#N/A,FALSE,"mu.att";#N/A,#N/A,FALSE,"ex.att";#N/A,#N/A,FALSE,"lux.att";#N/A,#N/A,FALSE,"all.by.village"}</definedName>
    <definedName name="wacko" localSheetId="15" hidden="1">{#N/A,#N/A,FALSE,"el.det";#N/A,#N/A,FALSE,"mu.det";#N/A,#N/A,FALSE,"ug.det";#N/A,#N/A,FALSE,"ex.det";#N/A,#N/A,FALSE,"lux.det";#N/A,#N/A,FALSE,"custom.lot";#N/A,#N/A,FALSE,"condo.att";#N/A,#N/A,FALSE,"el.att";#N/A,#N/A,FALSE,"mu.att";#N/A,#N/A,FALSE,"ex.att";#N/A,#N/A,FALSE,"lux.att";#N/A,#N/A,FALSE,"all.by.village"}</definedName>
    <definedName name="wacko" localSheetId="13" hidden="1">{#N/A,#N/A,FALSE,"el.det";#N/A,#N/A,FALSE,"mu.det";#N/A,#N/A,FALSE,"ug.det";#N/A,#N/A,FALSE,"ex.det";#N/A,#N/A,FALSE,"lux.det";#N/A,#N/A,FALSE,"custom.lot";#N/A,#N/A,FALSE,"condo.att";#N/A,#N/A,FALSE,"el.att";#N/A,#N/A,FALSE,"mu.att";#N/A,#N/A,FALSE,"ex.att";#N/A,#N/A,FALSE,"lux.att";#N/A,#N/A,FALSE,"all.by.village"}</definedName>
    <definedName name="wacko" localSheetId="18" hidden="1">{#N/A,#N/A,FALSE,"el.det";#N/A,#N/A,FALSE,"mu.det";#N/A,#N/A,FALSE,"ug.det";#N/A,#N/A,FALSE,"ex.det";#N/A,#N/A,FALSE,"lux.det";#N/A,#N/A,FALSE,"custom.lot";#N/A,#N/A,FALSE,"condo.att";#N/A,#N/A,FALSE,"el.att";#N/A,#N/A,FALSE,"mu.att";#N/A,#N/A,FALSE,"ex.att";#N/A,#N/A,FALSE,"lux.att";#N/A,#N/A,FALSE,"all.by.village"}</definedName>
    <definedName name="wacko" localSheetId="16" hidden="1">{#N/A,#N/A,FALSE,"el.det";#N/A,#N/A,FALSE,"mu.det";#N/A,#N/A,FALSE,"ug.det";#N/A,#N/A,FALSE,"ex.det";#N/A,#N/A,FALSE,"lux.det";#N/A,#N/A,FALSE,"custom.lot";#N/A,#N/A,FALSE,"condo.att";#N/A,#N/A,FALSE,"el.att";#N/A,#N/A,FALSE,"mu.att";#N/A,#N/A,FALSE,"ex.att";#N/A,#N/A,FALSE,"lux.att";#N/A,#N/A,FALSE,"all.by.village"}</definedName>
    <definedName name="wacko" localSheetId="20" hidden="1">{#N/A,#N/A,FALSE,"el.det";#N/A,#N/A,FALSE,"mu.det";#N/A,#N/A,FALSE,"ug.det";#N/A,#N/A,FALSE,"ex.det";#N/A,#N/A,FALSE,"lux.det";#N/A,#N/A,FALSE,"custom.lot";#N/A,#N/A,FALSE,"condo.att";#N/A,#N/A,FALSE,"el.att";#N/A,#N/A,FALSE,"mu.att";#N/A,#N/A,FALSE,"ex.att";#N/A,#N/A,FALSE,"lux.att";#N/A,#N/A,FALSE,"all.by.village"}</definedName>
    <definedName name="wacko" localSheetId="14" hidden="1">{#N/A,#N/A,FALSE,"el.det";#N/A,#N/A,FALSE,"mu.det";#N/A,#N/A,FALSE,"ug.det";#N/A,#N/A,FALSE,"ex.det";#N/A,#N/A,FALSE,"lux.det";#N/A,#N/A,FALSE,"custom.lot";#N/A,#N/A,FALSE,"condo.att";#N/A,#N/A,FALSE,"el.att";#N/A,#N/A,FALSE,"mu.att";#N/A,#N/A,FALSE,"ex.att";#N/A,#N/A,FALSE,"lux.att";#N/A,#N/A,FALSE,"all.by.village"}</definedName>
    <definedName name="wacko" hidden="1">{#N/A,#N/A,FALSE,"el.det";#N/A,#N/A,FALSE,"mu.det";#N/A,#N/A,FALSE,"ug.det";#N/A,#N/A,FALSE,"ex.det";#N/A,#N/A,FALSE,"lux.det";#N/A,#N/A,FALSE,"custom.lot";#N/A,#N/A,FALSE,"condo.att";#N/A,#N/A,FALSE,"el.att";#N/A,#N/A,FALSE,"mu.att";#N/A,#N/A,FALSE,"ex.att";#N/A,#N/A,FALSE,"lux.att";#N/A,#N/A,FALSE,"all.by.village"}</definedName>
    <definedName name="wal">#REF!</definedName>
    <definedName name="walfin" localSheetId="12">#REF!</definedName>
    <definedName name="walfin" localSheetId="10">#REF!</definedName>
    <definedName name="walfin" localSheetId="6">#REF!</definedName>
    <definedName name="walfin" localSheetId="4">#REF!</definedName>
    <definedName name="walfin">#REF!</definedName>
    <definedName name="walfin1" localSheetId="12">#REF!</definedName>
    <definedName name="walfin1" localSheetId="10">#REF!</definedName>
    <definedName name="walfin1" localSheetId="6">#REF!</definedName>
    <definedName name="walfin1" localSheetId="4">#REF!</definedName>
    <definedName name="walfin1">#REF!</definedName>
    <definedName name="walfin2" localSheetId="12">#REF!</definedName>
    <definedName name="walfin2" localSheetId="10">#REF!</definedName>
    <definedName name="walfin2" localSheetId="4">#REF!</definedName>
    <definedName name="walfin2">#REF!</definedName>
    <definedName name="Wall_paper">[11]Prices!$B$563</definedName>
    <definedName name="Wall_tiles_HQ">[11]Prices!$B$567</definedName>
    <definedName name="was" localSheetId="12">{#N/A,#N/A,FALSE,"AFR-ELC"}</definedName>
    <definedName name="was" localSheetId="10">{#N/A,#N/A,FALSE,"AFR-ELC"}</definedName>
    <definedName name="was" localSheetId="8">{#N/A,#N/A,FALSE,"AFR-ELC"}</definedName>
    <definedName name="was" localSheetId="6">{#N/A,#N/A,FALSE,"AFR-ELC"}</definedName>
    <definedName name="was" localSheetId="4">{#N/A,#N/A,FALSE,"AFR-ELC"}</definedName>
    <definedName name="was" localSheetId="1">{#N/A,#N/A,FALSE,"AFR-ELC"}</definedName>
    <definedName name="was" localSheetId="7">{#N/A,#N/A,FALSE,"AFR-ELC"}</definedName>
    <definedName name="was" localSheetId="3">{#N/A,#N/A,FALSE,"AFR-ELC"}</definedName>
    <definedName name="was" localSheetId="11">{#N/A,#N/A,FALSE,"AFR-ELC"}</definedName>
    <definedName name="was" localSheetId="9">{#N/A,#N/A,FALSE,"AFR-ELC"}</definedName>
    <definedName name="was" localSheetId="5">{#N/A,#N/A,FALSE,"AFR-ELC"}</definedName>
    <definedName name="was" localSheetId="17">{#N/A,#N/A,FALSE,"AFR-ELC"}</definedName>
    <definedName name="was" localSheetId="15">{#N/A,#N/A,FALSE,"AFR-ELC"}</definedName>
    <definedName name="was" localSheetId="13">{#N/A,#N/A,FALSE,"AFR-ELC"}</definedName>
    <definedName name="was" localSheetId="18">{#N/A,#N/A,FALSE,"AFR-ELC"}</definedName>
    <definedName name="was" localSheetId="16">{#N/A,#N/A,FALSE,"AFR-ELC"}</definedName>
    <definedName name="was" localSheetId="20">{#N/A,#N/A,FALSE,"AFR-ELC"}</definedName>
    <definedName name="was" localSheetId="14">{#N/A,#N/A,FALSE,"AFR-ELC"}</definedName>
    <definedName name="was">{#N/A,#N/A,FALSE,"AFR-ELC"}</definedName>
    <definedName name="Washhandbasin_l">[11]Prices!$B$569</definedName>
    <definedName name="Water">[11]Prices!$B$571</definedName>
    <definedName name="Water_bar">[11]Prices!$B$572</definedName>
    <definedName name="wd" localSheetId="12">#REF!</definedName>
    <definedName name="wd" localSheetId="10">#REF!</definedName>
    <definedName name="wd" localSheetId="6">#REF!</definedName>
    <definedName name="wd" localSheetId="4">#REF!</definedName>
    <definedName name="wd">#REF!</definedName>
    <definedName name="WERTYUIO" localSheetId="12">{#N/A,#N/A,FALSE,"AFR-ELC"}</definedName>
    <definedName name="WERTYUIO" localSheetId="10">{#N/A,#N/A,FALSE,"AFR-ELC"}</definedName>
    <definedName name="WERTYUIO" localSheetId="6">{#N/A,#N/A,FALSE,"AFR-ELC"}</definedName>
    <definedName name="WERTYUIO" localSheetId="4">{#N/A,#N/A,FALSE,"AFR-ELC"}</definedName>
    <definedName name="WERTYUIO" localSheetId="1">{#N/A,#N/A,FALSE,"AFR-ELC"}</definedName>
    <definedName name="WERTYUIO" localSheetId="7">{#N/A,#N/A,FALSE,"AFR-ELC"}</definedName>
    <definedName name="WERTYUIO" localSheetId="3">{#N/A,#N/A,FALSE,"AFR-ELC"}</definedName>
    <definedName name="WERTYUIO" localSheetId="11">{#N/A,#N/A,FALSE,"AFR-ELC"}</definedName>
    <definedName name="WERTYUIO" localSheetId="9">{#N/A,#N/A,FALSE,"AFR-ELC"}</definedName>
    <definedName name="WERTYUIO" localSheetId="5">{#N/A,#N/A,FALSE,"AFR-ELC"}</definedName>
    <definedName name="WERTYUIO" localSheetId="17">{#N/A,#N/A,FALSE,"AFR-ELC"}</definedName>
    <definedName name="WERTYUIO" localSheetId="15">{#N/A,#N/A,FALSE,"AFR-ELC"}</definedName>
    <definedName name="WERTYUIO" localSheetId="13">{#N/A,#N/A,FALSE,"AFR-ELC"}</definedName>
    <definedName name="WERTYUIO" localSheetId="18">{#N/A,#N/A,FALSE,"AFR-ELC"}</definedName>
    <definedName name="WERTYUIO" localSheetId="16">{#N/A,#N/A,FALSE,"AFR-ELC"}</definedName>
    <definedName name="WERTYUIO" localSheetId="20">{#N/A,#N/A,FALSE,"AFR-ELC"}</definedName>
    <definedName name="WERTYUIO" localSheetId="14">{#N/A,#N/A,FALSE,"AFR-ELC"}</definedName>
    <definedName name="WERTYUIO">{#N/A,#N/A,FALSE,"AFR-ELC"}</definedName>
    <definedName name="wf">#REF!</definedName>
    <definedName name="WHAT" localSheetId="12" hidden="1">{#N/A,#N/A,FALSE,"II-2 POP.HH";#N/A,#N/A,FALSE,"II-3 AGE.DIST";#N/A,#N/A,FALSE,"II-4 HH.DIST";#N/A,#N/A,FALSE,"II-5 EMP.INDUS"}</definedName>
    <definedName name="WHAT" localSheetId="10" hidden="1">{#N/A,#N/A,FALSE,"II-2 POP.HH";#N/A,#N/A,FALSE,"II-3 AGE.DIST";#N/A,#N/A,FALSE,"II-4 HH.DIST";#N/A,#N/A,FALSE,"II-5 EMP.INDUS"}</definedName>
    <definedName name="WHAT" localSheetId="8" hidden="1">{#N/A,#N/A,FALSE,"II-2 POP.HH";#N/A,#N/A,FALSE,"II-3 AGE.DIST";#N/A,#N/A,FALSE,"II-4 HH.DIST";#N/A,#N/A,FALSE,"II-5 EMP.INDUS"}</definedName>
    <definedName name="WHAT" localSheetId="6" hidden="1">{#N/A,#N/A,FALSE,"II-2 POP.HH";#N/A,#N/A,FALSE,"II-3 AGE.DIST";#N/A,#N/A,FALSE,"II-4 HH.DIST";#N/A,#N/A,FALSE,"II-5 EMP.INDUS"}</definedName>
    <definedName name="WHAT" localSheetId="4" hidden="1">{#N/A,#N/A,FALSE,"II-2 POP.HH";#N/A,#N/A,FALSE,"II-3 AGE.DIST";#N/A,#N/A,FALSE,"II-4 HH.DIST";#N/A,#N/A,FALSE,"II-5 EMP.INDUS"}</definedName>
    <definedName name="WHAT" localSheetId="1" hidden="1">{#N/A,#N/A,FALSE,"II-2 POP.HH";#N/A,#N/A,FALSE,"II-3 AGE.DIST";#N/A,#N/A,FALSE,"II-4 HH.DIST";#N/A,#N/A,FALSE,"II-5 EMP.INDUS"}</definedName>
    <definedName name="WHAT" localSheetId="7" hidden="1">{#N/A,#N/A,FALSE,"II-2 POP.HH";#N/A,#N/A,FALSE,"II-3 AGE.DIST";#N/A,#N/A,FALSE,"II-4 HH.DIST";#N/A,#N/A,FALSE,"II-5 EMP.INDUS"}</definedName>
    <definedName name="WHAT" localSheetId="3" hidden="1">{#N/A,#N/A,FALSE,"II-2 POP.HH";#N/A,#N/A,FALSE,"II-3 AGE.DIST";#N/A,#N/A,FALSE,"II-4 HH.DIST";#N/A,#N/A,FALSE,"II-5 EMP.INDUS"}</definedName>
    <definedName name="WHAT" localSheetId="11" hidden="1">{#N/A,#N/A,FALSE,"II-2 POP.HH";#N/A,#N/A,FALSE,"II-3 AGE.DIST";#N/A,#N/A,FALSE,"II-4 HH.DIST";#N/A,#N/A,FALSE,"II-5 EMP.INDUS"}</definedName>
    <definedName name="WHAT" localSheetId="9" hidden="1">{#N/A,#N/A,FALSE,"II-2 POP.HH";#N/A,#N/A,FALSE,"II-3 AGE.DIST";#N/A,#N/A,FALSE,"II-4 HH.DIST";#N/A,#N/A,FALSE,"II-5 EMP.INDUS"}</definedName>
    <definedName name="WHAT" localSheetId="5" hidden="1">{#N/A,#N/A,FALSE,"II-2 POP.HH";#N/A,#N/A,FALSE,"II-3 AGE.DIST";#N/A,#N/A,FALSE,"II-4 HH.DIST";#N/A,#N/A,FALSE,"II-5 EMP.INDUS"}</definedName>
    <definedName name="WHAT" localSheetId="17" hidden="1">{#N/A,#N/A,FALSE,"II-2 POP.HH";#N/A,#N/A,FALSE,"II-3 AGE.DIST";#N/A,#N/A,FALSE,"II-4 HH.DIST";#N/A,#N/A,FALSE,"II-5 EMP.INDUS"}</definedName>
    <definedName name="WHAT" localSheetId="15" hidden="1">{#N/A,#N/A,FALSE,"II-2 POP.HH";#N/A,#N/A,FALSE,"II-3 AGE.DIST";#N/A,#N/A,FALSE,"II-4 HH.DIST";#N/A,#N/A,FALSE,"II-5 EMP.INDUS"}</definedName>
    <definedName name="WHAT" localSheetId="13" hidden="1">{#N/A,#N/A,FALSE,"II-2 POP.HH";#N/A,#N/A,FALSE,"II-3 AGE.DIST";#N/A,#N/A,FALSE,"II-4 HH.DIST";#N/A,#N/A,FALSE,"II-5 EMP.INDUS"}</definedName>
    <definedName name="WHAT" localSheetId="18" hidden="1">{#N/A,#N/A,FALSE,"II-2 POP.HH";#N/A,#N/A,FALSE,"II-3 AGE.DIST";#N/A,#N/A,FALSE,"II-4 HH.DIST";#N/A,#N/A,FALSE,"II-5 EMP.INDUS"}</definedName>
    <definedName name="WHAT" localSheetId="16" hidden="1">{#N/A,#N/A,FALSE,"II-2 POP.HH";#N/A,#N/A,FALSE,"II-3 AGE.DIST";#N/A,#N/A,FALSE,"II-4 HH.DIST";#N/A,#N/A,FALSE,"II-5 EMP.INDUS"}</definedName>
    <definedName name="WHAT" localSheetId="20" hidden="1">{#N/A,#N/A,FALSE,"II-2 POP.HH";#N/A,#N/A,FALSE,"II-3 AGE.DIST";#N/A,#N/A,FALSE,"II-4 HH.DIST";#N/A,#N/A,FALSE,"II-5 EMP.INDUS"}</definedName>
    <definedName name="WHAT" localSheetId="14" hidden="1">{#N/A,#N/A,FALSE,"II-2 POP.HH";#N/A,#N/A,FALSE,"II-3 AGE.DIST";#N/A,#N/A,FALSE,"II-4 HH.DIST";#N/A,#N/A,FALSE,"II-5 EMP.INDUS"}</definedName>
    <definedName name="WHAT" hidden="1">{#N/A,#N/A,FALSE,"II-2 POP.HH";#N/A,#N/A,FALSE,"II-3 AGE.DIST";#N/A,#N/A,FALSE,"II-4 HH.DIST";#N/A,#N/A,FALSE,"II-5 EMP.INDUS"}</definedName>
    <definedName name="what2" localSheetId="12" hidden="1">{#N/A,#N/A,FALSE,"II-2 POP.HH";#N/A,#N/A,FALSE,"II-3 AGE.DIST";#N/A,#N/A,FALSE,"II-4 HH.DIST";#N/A,#N/A,FALSE,"II-5 EMP.INDUS"}</definedName>
    <definedName name="what2" localSheetId="10" hidden="1">{#N/A,#N/A,FALSE,"II-2 POP.HH";#N/A,#N/A,FALSE,"II-3 AGE.DIST";#N/A,#N/A,FALSE,"II-4 HH.DIST";#N/A,#N/A,FALSE,"II-5 EMP.INDUS"}</definedName>
    <definedName name="what2" localSheetId="8" hidden="1">{#N/A,#N/A,FALSE,"II-2 POP.HH";#N/A,#N/A,FALSE,"II-3 AGE.DIST";#N/A,#N/A,FALSE,"II-4 HH.DIST";#N/A,#N/A,FALSE,"II-5 EMP.INDUS"}</definedName>
    <definedName name="what2" localSheetId="6" hidden="1">{#N/A,#N/A,FALSE,"II-2 POP.HH";#N/A,#N/A,FALSE,"II-3 AGE.DIST";#N/A,#N/A,FALSE,"II-4 HH.DIST";#N/A,#N/A,FALSE,"II-5 EMP.INDUS"}</definedName>
    <definedName name="what2" localSheetId="4" hidden="1">{#N/A,#N/A,FALSE,"II-2 POP.HH";#N/A,#N/A,FALSE,"II-3 AGE.DIST";#N/A,#N/A,FALSE,"II-4 HH.DIST";#N/A,#N/A,FALSE,"II-5 EMP.INDUS"}</definedName>
    <definedName name="what2" localSheetId="1" hidden="1">{#N/A,#N/A,FALSE,"II-2 POP.HH";#N/A,#N/A,FALSE,"II-3 AGE.DIST";#N/A,#N/A,FALSE,"II-4 HH.DIST";#N/A,#N/A,FALSE,"II-5 EMP.INDUS"}</definedName>
    <definedName name="what2" localSheetId="7" hidden="1">{#N/A,#N/A,FALSE,"II-2 POP.HH";#N/A,#N/A,FALSE,"II-3 AGE.DIST";#N/A,#N/A,FALSE,"II-4 HH.DIST";#N/A,#N/A,FALSE,"II-5 EMP.INDUS"}</definedName>
    <definedName name="what2" localSheetId="3" hidden="1">{#N/A,#N/A,FALSE,"II-2 POP.HH";#N/A,#N/A,FALSE,"II-3 AGE.DIST";#N/A,#N/A,FALSE,"II-4 HH.DIST";#N/A,#N/A,FALSE,"II-5 EMP.INDUS"}</definedName>
    <definedName name="what2" localSheetId="11" hidden="1">{#N/A,#N/A,FALSE,"II-2 POP.HH";#N/A,#N/A,FALSE,"II-3 AGE.DIST";#N/A,#N/A,FALSE,"II-4 HH.DIST";#N/A,#N/A,FALSE,"II-5 EMP.INDUS"}</definedName>
    <definedName name="what2" localSheetId="9" hidden="1">{#N/A,#N/A,FALSE,"II-2 POP.HH";#N/A,#N/A,FALSE,"II-3 AGE.DIST";#N/A,#N/A,FALSE,"II-4 HH.DIST";#N/A,#N/A,FALSE,"II-5 EMP.INDUS"}</definedName>
    <definedName name="what2" localSheetId="5" hidden="1">{#N/A,#N/A,FALSE,"II-2 POP.HH";#N/A,#N/A,FALSE,"II-3 AGE.DIST";#N/A,#N/A,FALSE,"II-4 HH.DIST";#N/A,#N/A,FALSE,"II-5 EMP.INDUS"}</definedName>
    <definedName name="what2" localSheetId="17" hidden="1">{#N/A,#N/A,FALSE,"II-2 POP.HH";#N/A,#N/A,FALSE,"II-3 AGE.DIST";#N/A,#N/A,FALSE,"II-4 HH.DIST";#N/A,#N/A,FALSE,"II-5 EMP.INDUS"}</definedName>
    <definedName name="what2" localSheetId="15" hidden="1">{#N/A,#N/A,FALSE,"II-2 POP.HH";#N/A,#N/A,FALSE,"II-3 AGE.DIST";#N/A,#N/A,FALSE,"II-4 HH.DIST";#N/A,#N/A,FALSE,"II-5 EMP.INDUS"}</definedName>
    <definedName name="what2" localSheetId="13" hidden="1">{#N/A,#N/A,FALSE,"II-2 POP.HH";#N/A,#N/A,FALSE,"II-3 AGE.DIST";#N/A,#N/A,FALSE,"II-4 HH.DIST";#N/A,#N/A,FALSE,"II-5 EMP.INDUS"}</definedName>
    <definedName name="what2" localSheetId="18" hidden="1">{#N/A,#N/A,FALSE,"II-2 POP.HH";#N/A,#N/A,FALSE,"II-3 AGE.DIST";#N/A,#N/A,FALSE,"II-4 HH.DIST";#N/A,#N/A,FALSE,"II-5 EMP.INDUS"}</definedName>
    <definedName name="what2" localSheetId="16" hidden="1">{#N/A,#N/A,FALSE,"II-2 POP.HH";#N/A,#N/A,FALSE,"II-3 AGE.DIST";#N/A,#N/A,FALSE,"II-4 HH.DIST";#N/A,#N/A,FALSE,"II-5 EMP.INDUS"}</definedName>
    <definedName name="what2" localSheetId="20" hidden="1">{#N/A,#N/A,FALSE,"II-2 POP.HH";#N/A,#N/A,FALSE,"II-3 AGE.DIST";#N/A,#N/A,FALSE,"II-4 HH.DIST";#N/A,#N/A,FALSE,"II-5 EMP.INDUS"}</definedName>
    <definedName name="what2" localSheetId="14" hidden="1">{#N/A,#N/A,FALSE,"II-2 POP.HH";#N/A,#N/A,FALSE,"II-3 AGE.DIST";#N/A,#N/A,FALSE,"II-4 HH.DIST";#N/A,#N/A,FALSE,"II-5 EMP.INDUS"}</definedName>
    <definedName name="what2" hidden="1">{#N/A,#N/A,FALSE,"II-2 POP.HH";#N/A,#N/A,FALSE,"II-3 AGE.DIST";#N/A,#N/A,FALSE,"II-4 HH.DIST";#N/A,#N/A,FALSE,"II-5 EMP.INDUS"}</definedName>
    <definedName name="width1">'[3]MAIN BLD TAKE OFF'!$I$18</definedName>
    <definedName name="win" localSheetId="12">#REF!</definedName>
    <definedName name="win" localSheetId="10">#REF!</definedName>
    <definedName name="win" localSheetId="8">#REF!</definedName>
    <definedName name="win" localSheetId="6">#REF!</definedName>
    <definedName name="win" localSheetId="4">#REF!</definedName>
    <definedName name="win" localSheetId="1">#REF!</definedName>
    <definedName name="win" localSheetId="2">#REF!</definedName>
    <definedName name="win" localSheetId="7">#REF!</definedName>
    <definedName name="win" localSheetId="3">#REF!</definedName>
    <definedName name="win" localSheetId="11">#REF!</definedName>
    <definedName name="win" localSheetId="9">#REF!</definedName>
    <definedName name="win" localSheetId="5">#REF!</definedName>
    <definedName name="win" localSheetId="17">#REF!</definedName>
    <definedName name="win" localSheetId="15">#REF!</definedName>
    <definedName name="win" localSheetId="13">#REF!</definedName>
    <definedName name="win" localSheetId="18">#REF!</definedName>
    <definedName name="win" localSheetId="16">#REF!</definedName>
    <definedName name="win" localSheetId="20">#REF!</definedName>
    <definedName name="win" localSheetId="14">#REF!</definedName>
    <definedName name="win">#REF!</definedName>
    <definedName name="wl" localSheetId="12">#REF!</definedName>
    <definedName name="wl" localSheetId="10">#REF!</definedName>
    <definedName name="wl" localSheetId="4">#REF!</definedName>
    <definedName name="wl">#REF!</definedName>
    <definedName name="wrn.96126.00._.ValCo.Segmentation." localSheetId="12" hidden="1">{#N/A,#N/A,FALSE,"el.det";#N/A,#N/A,FALSE,"mu.det";#N/A,#N/A,FALSE,"ug.det";#N/A,#N/A,FALSE,"ex.det";#N/A,#N/A,FALSE,"lux.det";#N/A,#N/A,FALSE,"custom.lot";#N/A,#N/A,FALSE,"condo.att";#N/A,#N/A,FALSE,"el.att";#N/A,#N/A,FALSE,"mu.att";#N/A,#N/A,FALSE,"ex.att";#N/A,#N/A,FALSE,"lux.att";#N/A,#N/A,FALSE,"all.by.village"}</definedName>
    <definedName name="wrn.96126.00._.ValCo.Segmentation." localSheetId="10" hidden="1">{#N/A,#N/A,FALSE,"el.det";#N/A,#N/A,FALSE,"mu.det";#N/A,#N/A,FALSE,"ug.det";#N/A,#N/A,FALSE,"ex.det";#N/A,#N/A,FALSE,"lux.det";#N/A,#N/A,FALSE,"custom.lot";#N/A,#N/A,FALSE,"condo.att";#N/A,#N/A,FALSE,"el.att";#N/A,#N/A,FALSE,"mu.att";#N/A,#N/A,FALSE,"ex.att";#N/A,#N/A,FALSE,"lux.att";#N/A,#N/A,FALSE,"all.by.village"}</definedName>
    <definedName name="wrn.96126.00._.ValCo.Segmentation." localSheetId="8" hidden="1">{#N/A,#N/A,FALSE,"el.det";#N/A,#N/A,FALSE,"mu.det";#N/A,#N/A,FALSE,"ug.det";#N/A,#N/A,FALSE,"ex.det";#N/A,#N/A,FALSE,"lux.det";#N/A,#N/A,FALSE,"custom.lot";#N/A,#N/A,FALSE,"condo.att";#N/A,#N/A,FALSE,"el.att";#N/A,#N/A,FALSE,"mu.att";#N/A,#N/A,FALSE,"ex.att";#N/A,#N/A,FALSE,"lux.att";#N/A,#N/A,FALSE,"all.by.village"}</definedName>
    <definedName name="wrn.96126.00._.ValCo.Segmentation." localSheetId="6" hidden="1">{#N/A,#N/A,FALSE,"el.det";#N/A,#N/A,FALSE,"mu.det";#N/A,#N/A,FALSE,"ug.det";#N/A,#N/A,FALSE,"ex.det";#N/A,#N/A,FALSE,"lux.det";#N/A,#N/A,FALSE,"custom.lot";#N/A,#N/A,FALSE,"condo.att";#N/A,#N/A,FALSE,"el.att";#N/A,#N/A,FALSE,"mu.att";#N/A,#N/A,FALSE,"ex.att";#N/A,#N/A,FALSE,"lux.att";#N/A,#N/A,FALSE,"all.by.village"}</definedName>
    <definedName name="wrn.96126.00._.ValCo.Segmentation." localSheetId="4" hidden="1">{#N/A,#N/A,FALSE,"el.det";#N/A,#N/A,FALSE,"mu.det";#N/A,#N/A,FALSE,"ug.det";#N/A,#N/A,FALSE,"ex.det";#N/A,#N/A,FALSE,"lux.det";#N/A,#N/A,FALSE,"custom.lot";#N/A,#N/A,FALSE,"condo.att";#N/A,#N/A,FALSE,"el.att";#N/A,#N/A,FALSE,"mu.att";#N/A,#N/A,FALSE,"ex.att";#N/A,#N/A,FALSE,"lux.att";#N/A,#N/A,FALSE,"all.by.village"}</definedName>
    <definedName name="wrn.96126.00._.ValCo.Segmentation." localSheetId="1" hidden="1">{#N/A,#N/A,FALSE,"el.det";#N/A,#N/A,FALSE,"mu.det";#N/A,#N/A,FALSE,"ug.det";#N/A,#N/A,FALSE,"ex.det";#N/A,#N/A,FALSE,"lux.det";#N/A,#N/A,FALSE,"custom.lot";#N/A,#N/A,FALSE,"condo.att";#N/A,#N/A,FALSE,"el.att";#N/A,#N/A,FALSE,"mu.att";#N/A,#N/A,FALSE,"ex.att";#N/A,#N/A,FALSE,"lux.att";#N/A,#N/A,FALSE,"all.by.village"}</definedName>
    <definedName name="wrn.96126.00._.ValCo.Segmentation." localSheetId="7" hidden="1">{#N/A,#N/A,FALSE,"el.det";#N/A,#N/A,FALSE,"mu.det";#N/A,#N/A,FALSE,"ug.det";#N/A,#N/A,FALSE,"ex.det";#N/A,#N/A,FALSE,"lux.det";#N/A,#N/A,FALSE,"custom.lot";#N/A,#N/A,FALSE,"condo.att";#N/A,#N/A,FALSE,"el.att";#N/A,#N/A,FALSE,"mu.att";#N/A,#N/A,FALSE,"ex.att";#N/A,#N/A,FALSE,"lux.att";#N/A,#N/A,FALSE,"all.by.village"}</definedName>
    <definedName name="wrn.96126.00._.ValCo.Segmentation." localSheetId="3" hidden="1">{#N/A,#N/A,FALSE,"el.det";#N/A,#N/A,FALSE,"mu.det";#N/A,#N/A,FALSE,"ug.det";#N/A,#N/A,FALSE,"ex.det";#N/A,#N/A,FALSE,"lux.det";#N/A,#N/A,FALSE,"custom.lot";#N/A,#N/A,FALSE,"condo.att";#N/A,#N/A,FALSE,"el.att";#N/A,#N/A,FALSE,"mu.att";#N/A,#N/A,FALSE,"ex.att";#N/A,#N/A,FALSE,"lux.att";#N/A,#N/A,FALSE,"all.by.village"}</definedName>
    <definedName name="wrn.96126.00._.ValCo.Segmentation." localSheetId="11" hidden="1">{#N/A,#N/A,FALSE,"el.det";#N/A,#N/A,FALSE,"mu.det";#N/A,#N/A,FALSE,"ug.det";#N/A,#N/A,FALSE,"ex.det";#N/A,#N/A,FALSE,"lux.det";#N/A,#N/A,FALSE,"custom.lot";#N/A,#N/A,FALSE,"condo.att";#N/A,#N/A,FALSE,"el.att";#N/A,#N/A,FALSE,"mu.att";#N/A,#N/A,FALSE,"ex.att";#N/A,#N/A,FALSE,"lux.att";#N/A,#N/A,FALSE,"all.by.village"}</definedName>
    <definedName name="wrn.96126.00._.ValCo.Segmentation." localSheetId="9" hidden="1">{#N/A,#N/A,FALSE,"el.det";#N/A,#N/A,FALSE,"mu.det";#N/A,#N/A,FALSE,"ug.det";#N/A,#N/A,FALSE,"ex.det";#N/A,#N/A,FALSE,"lux.det";#N/A,#N/A,FALSE,"custom.lot";#N/A,#N/A,FALSE,"condo.att";#N/A,#N/A,FALSE,"el.att";#N/A,#N/A,FALSE,"mu.att";#N/A,#N/A,FALSE,"ex.att";#N/A,#N/A,FALSE,"lux.att";#N/A,#N/A,FALSE,"all.by.village"}</definedName>
    <definedName name="wrn.96126.00._.ValCo.Segmentation." localSheetId="5" hidden="1">{#N/A,#N/A,FALSE,"el.det";#N/A,#N/A,FALSE,"mu.det";#N/A,#N/A,FALSE,"ug.det";#N/A,#N/A,FALSE,"ex.det";#N/A,#N/A,FALSE,"lux.det";#N/A,#N/A,FALSE,"custom.lot";#N/A,#N/A,FALSE,"condo.att";#N/A,#N/A,FALSE,"el.att";#N/A,#N/A,FALSE,"mu.att";#N/A,#N/A,FALSE,"ex.att";#N/A,#N/A,FALSE,"lux.att";#N/A,#N/A,FALSE,"all.by.village"}</definedName>
    <definedName name="wrn.96126.00._.ValCo.Segmentation." localSheetId="17" hidden="1">{#N/A,#N/A,FALSE,"el.det";#N/A,#N/A,FALSE,"mu.det";#N/A,#N/A,FALSE,"ug.det";#N/A,#N/A,FALSE,"ex.det";#N/A,#N/A,FALSE,"lux.det";#N/A,#N/A,FALSE,"custom.lot";#N/A,#N/A,FALSE,"condo.att";#N/A,#N/A,FALSE,"el.att";#N/A,#N/A,FALSE,"mu.att";#N/A,#N/A,FALSE,"ex.att";#N/A,#N/A,FALSE,"lux.att";#N/A,#N/A,FALSE,"all.by.village"}</definedName>
    <definedName name="wrn.96126.00._.ValCo.Segmentation." localSheetId="15" hidden="1">{#N/A,#N/A,FALSE,"el.det";#N/A,#N/A,FALSE,"mu.det";#N/A,#N/A,FALSE,"ug.det";#N/A,#N/A,FALSE,"ex.det";#N/A,#N/A,FALSE,"lux.det";#N/A,#N/A,FALSE,"custom.lot";#N/A,#N/A,FALSE,"condo.att";#N/A,#N/A,FALSE,"el.att";#N/A,#N/A,FALSE,"mu.att";#N/A,#N/A,FALSE,"ex.att";#N/A,#N/A,FALSE,"lux.att";#N/A,#N/A,FALSE,"all.by.village"}</definedName>
    <definedName name="wrn.96126.00._.ValCo.Segmentation." localSheetId="13" hidden="1">{#N/A,#N/A,FALSE,"el.det";#N/A,#N/A,FALSE,"mu.det";#N/A,#N/A,FALSE,"ug.det";#N/A,#N/A,FALSE,"ex.det";#N/A,#N/A,FALSE,"lux.det";#N/A,#N/A,FALSE,"custom.lot";#N/A,#N/A,FALSE,"condo.att";#N/A,#N/A,FALSE,"el.att";#N/A,#N/A,FALSE,"mu.att";#N/A,#N/A,FALSE,"ex.att";#N/A,#N/A,FALSE,"lux.att";#N/A,#N/A,FALSE,"all.by.village"}</definedName>
    <definedName name="wrn.96126.00._.ValCo.Segmentation." localSheetId="18" hidden="1">{#N/A,#N/A,FALSE,"el.det";#N/A,#N/A,FALSE,"mu.det";#N/A,#N/A,FALSE,"ug.det";#N/A,#N/A,FALSE,"ex.det";#N/A,#N/A,FALSE,"lux.det";#N/A,#N/A,FALSE,"custom.lot";#N/A,#N/A,FALSE,"condo.att";#N/A,#N/A,FALSE,"el.att";#N/A,#N/A,FALSE,"mu.att";#N/A,#N/A,FALSE,"ex.att";#N/A,#N/A,FALSE,"lux.att";#N/A,#N/A,FALSE,"all.by.village"}</definedName>
    <definedName name="wrn.96126.00._.ValCo.Segmentation." localSheetId="16" hidden="1">{#N/A,#N/A,FALSE,"el.det";#N/A,#N/A,FALSE,"mu.det";#N/A,#N/A,FALSE,"ug.det";#N/A,#N/A,FALSE,"ex.det";#N/A,#N/A,FALSE,"lux.det";#N/A,#N/A,FALSE,"custom.lot";#N/A,#N/A,FALSE,"condo.att";#N/A,#N/A,FALSE,"el.att";#N/A,#N/A,FALSE,"mu.att";#N/A,#N/A,FALSE,"ex.att";#N/A,#N/A,FALSE,"lux.att";#N/A,#N/A,FALSE,"all.by.village"}</definedName>
    <definedName name="wrn.96126.00._.ValCo.Segmentation." localSheetId="20" hidden="1">{#N/A,#N/A,FALSE,"el.det";#N/A,#N/A,FALSE,"mu.det";#N/A,#N/A,FALSE,"ug.det";#N/A,#N/A,FALSE,"ex.det";#N/A,#N/A,FALSE,"lux.det";#N/A,#N/A,FALSE,"custom.lot";#N/A,#N/A,FALSE,"condo.att";#N/A,#N/A,FALSE,"el.att";#N/A,#N/A,FALSE,"mu.att";#N/A,#N/A,FALSE,"ex.att";#N/A,#N/A,FALSE,"lux.att";#N/A,#N/A,FALSE,"all.by.village"}</definedName>
    <definedName name="wrn.96126.00._.ValCo.Segmentation." localSheetId="14" hidden="1">{#N/A,#N/A,FALSE,"el.det";#N/A,#N/A,FALSE,"mu.det";#N/A,#N/A,FALSE,"ug.det";#N/A,#N/A,FALSE,"ex.det";#N/A,#N/A,FALSE,"lux.det";#N/A,#N/A,FALSE,"custom.lot";#N/A,#N/A,FALSE,"condo.att";#N/A,#N/A,FALSE,"el.att";#N/A,#N/A,FALSE,"mu.att";#N/A,#N/A,FALSE,"ex.att";#N/A,#N/A,FALSE,"lux.att";#N/A,#N/A,FALSE,"all.by.village"}</definedName>
    <definedName name="wrn.96126.00._.ValCo.Segmentation." hidden="1">{#N/A,#N/A,FALSE,"el.det";#N/A,#N/A,FALSE,"mu.det";#N/A,#N/A,FALSE,"ug.det";#N/A,#N/A,FALSE,"ex.det";#N/A,#N/A,FALSE,"lux.det";#N/A,#N/A,FALSE,"custom.lot";#N/A,#N/A,FALSE,"condo.att";#N/A,#N/A,FALSE,"el.att";#N/A,#N/A,FALSE,"mu.att";#N/A,#N/A,FALSE,"ex.att";#N/A,#N/A,FALSE,"lux.att";#N/A,#N/A,FALSE,"all.by.village"}</definedName>
    <definedName name="wrn.ABUBAKAR._.RIMI._.KAD." localSheetId="12" hidden="1">{#N/A,#N/A,FALSE,"AFR-ELC"}</definedName>
    <definedName name="wrn.ABUBAKAR._.RIMI._.KAD." localSheetId="10" hidden="1">{#N/A,#N/A,FALSE,"AFR-ELC"}</definedName>
    <definedName name="wrn.ABUBAKAR._.RIMI._.KAD." localSheetId="8" hidden="1">{#N/A,#N/A,FALSE,"AFR-ELC"}</definedName>
    <definedName name="wrn.ABUBAKAR._.RIMI._.KAD." localSheetId="6" hidden="1">{#N/A,#N/A,FALSE,"AFR-ELC"}</definedName>
    <definedName name="wrn.ABUBAKAR._.RIMI._.KAD." localSheetId="4" hidden="1">{#N/A,#N/A,FALSE,"AFR-ELC"}</definedName>
    <definedName name="wrn.ABUBAKAR._.RIMI._.KAD." localSheetId="0" hidden="1">{#N/A,#N/A,FALSE,"AFR-ELC"}</definedName>
    <definedName name="wrn.ABUBAKAR._.RIMI._.KAD." localSheetId="1" hidden="1">{#N/A,#N/A,FALSE,"AFR-ELC"}</definedName>
    <definedName name="wrn.ABUBAKAR._.RIMI._.KAD." localSheetId="7" hidden="1">{#N/A,#N/A,FALSE,"AFR-ELC"}</definedName>
    <definedName name="wrn.ABUBAKAR._.RIMI._.KAD." localSheetId="3" hidden="1">{#N/A,#N/A,FALSE,"AFR-ELC"}</definedName>
    <definedName name="wrn.ABUBAKAR._.RIMI._.KAD." localSheetId="11" hidden="1">{#N/A,#N/A,FALSE,"AFR-ELC"}</definedName>
    <definedName name="wrn.ABUBAKAR._.RIMI._.KAD." localSheetId="9" hidden="1">{#N/A,#N/A,FALSE,"AFR-ELC"}</definedName>
    <definedName name="wrn.ABUBAKAR._.RIMI._.KAD." localSheetId="5" hidden="1">{#N/A,#N/A,FALSE,"AFR-ELC"}</definedName>
    <definedName name="wrn.ABUBAKAR._.RIMI._.KAD." localSheetId="17" hidden="1">{#N/A,#N/A,FALSE,"AFR-ELC"}</definedName>
    <definedName name="wrn.ABUBAKAR._.RIMI._.KAD." localSheetId="15" hidden="1">{#N/A,#N/A,FALSE,"AFR-ELC"}</definedName>
    <definedName name="wrn.ABUBAKAR._.RIMI._.KAD." localSheetId="13" hidden="1">{#N/A,#N/A,FALSE,"AFR-ELC"}</definedName>
    <definedName name="wrn.ABUBAKAR._.RIMI._.KAD." localSheetId="18" hidden="1">{#N/A,#N/A,FALSE,"AFR-ELC"}</definedName>
    <definedName name="wrn.ABUBAKAR._.RIMI._.KAD." localSheetId="16" hidden="1">{#N/A,#N/A,FALSE,"AFR-ELC"}</definedName>
    <definedName name="wrn.ABUBAKAR._.RIMI._.KAD." localSheetId="20" hidden="1">{#N/A,#N/A,FALSE,"AFR-ELC"}</definedName>
    <definedName name="wrn.ABUBAKAR._.RIMI._.KAD." localSheetId="14" hidden="1">{#N/A,#N/A,FALSE,"AFR-ELC"}</definedName>
    <definedName name="wrn.ABUBAKAR._.RIMI._.KAD." hidden="1">{#N/A,#N/A,FALSE,"AFR-ELC"}</definedName>
    <definedName name="wrn.AFRIBANK._.ELECTRICAL._.BILL._.by._.Effiong._.A.._.Uko." localSheetId="12">{#N/A,#N/A,FALSE,"AFR-ELC"}</definedName>
    <definedName name="wrn.AFRIBANK._.ELECTRICAL._.BILL._.by._.Effiong._.A.._.Uko." localSheetId="10">{#N/A,#N/A,FALSE,"AFR-ELC"}</definedName>
    <definedName name="wrn.AFRIBANK._.ELECTRICAL._.BILL._.by._.Effiong._.A.._.Uko." localSheetId="8">{#N/A,#N/A,FALSE,"AFR-ELC"}</definedName>
    <definedName name="wrn.AFRIBANK._.ELECTRICAL._.BILL._.by._.Effiong._.A.._.Uko." localSheetId="6">{#N/A,#N/A,FALSE,"AFR-ELC"}</definedName>
    <definedName name="wrn.AFRIBANK._.ELECTRICAL._.BILL._.by._.Effiong._.A.._.Uko." localSheetId="4">{#N/A,#N/A,FALSE,"AFR-ELC"}</definedName>
    <definedName name="wrn.AFRIBANK._.ELECTRICAL._.BILL._.by._.Effiong._.A.._.Uko." localSheetId="0" hidden="1">{#N/A,#N/A,FALSE,"AFR-ELC"}</definedName>
    <definedName name="wrn.AFRIBANK._.ELECTRICAL._.BILL._.by._.Effiong._.A.._.Uko." localSheetId="1">{#N/A,#N/A,FALSE,"AFR-ELC"}</definedName>
    <definedName name="wrn.AFRIBANK._.ELECTRICAL._.BILL._.by._.Effiong._.A.._.Uko." localSheetId="2" hidden="1">{#N/A,#N/A,FALSE,"AFR-ELC"}</definedName>
    <definedName name="wrn.AFRIBANK._.ELECTRICAL._.BILL._.by._.Effiong._.A.._.Uko." localSheetId="7">{#N/A,#N/A,FALSE,"AFR-ELC"}</definedName>
    <definedName name="wrn.AFRIBANK._.ELECTRICAL._.BILL._.by._.Effiong._.A.._.Uko." localSheetId="3">{#N/A,#N/A,FALSE,"AFR-ELC"}</definedName>
    <definedName name="wrn.AFRIBANK._.ELECTRICAL._.BILL._.by._.Effiong._.A.._.Uko." localSheetId="11">{#N/A,#N/A,FALSE,"AFR-ELC"}</definedName>
    <definedName name="wrn.AFRIBANK._.ELECTRICAL._.BILL._.by._.Effiong._.A.._.Uko." localSheetId="9">{#N/A,#N/A,FALSE,"AFR-ELC"}</definedName>
    <definedName name="wrn.AFRIBANK._.ELECTRICAL._.BILL._.by._.Effiong._.A.._.Uko." localSheetId="5">{#N/A,#N/A,FALSE,"AFR-ELC"}</definedName>
    <definedName name="wrn.AFRIBANK._.ELECTRICAL._.BILL._.by._.Effiong._.A.._.Uko." localSheetId="17">{#N/A,#N/A,FALSE,"AFR-ELC"}</definedName>
    <definedName name="wrn.AFRIBANK._.ELECTRICAL._.BILL._.by._.Effiong._.A.._.Uko." localSheetId="15">{#N/A,#N/A,FALSE,"AFR-ELC"}</definedName>
    <definedName name="wrn.AFRIBANK._.ELECTRICAL._.BILL._.by._.Effiong._.A.._.Uko." localSheetId="13">{#N/A,#N/A,FALSE,"AFR-ELC"}</definedName>
    <definedName name="wrn.AFRIBANK._.ELECTRICAL._.BILL._.by._.Effiong._.A.._.Uko." localSheetId="18">{#N/A,#N/A,FALSE,"AFR-ELC"}</definedName>
    <definedName name="wrn.AFRIBANK._.ELECTRICAL._.BILL._.by._.Effiong._.A.._.Uko." localSheetId="16">{#N/A,#N/A,FALSE,"AFR-ELC"}</definedName>
    <definedName name="wrn.AFRIBANK._.ELECTRICAL._.BILL._.by._.Effiong._.A.._.Uko." localSheetId="20">{#N/A,#N/A,FALSE,"AFR-ELC"}</definedName>
    <definedName name="wrn.AFRIBANK._.ELECTRICAL._.BILL._.by._.Effiong._.A.._.Uko." localSheetId="14">{#N/A,#N/A,FALSE,"AFR-ELC"}</definedName>
    <definedName name="wrn.AFRIBANK._.ELECTRICAL._.BILL._.by._.Effiong._.A.._.Uko." hidden="1">{#N/A,#N/A,FALSE,"AFR-ELC"}</definedName>
    <definedName name="wrn.Aging._.and._.Trend._.Analysis." localSheetId="12"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JDSuite." localSheetId="12" hidden="1">{"AJD",#N/A,TRUE,"Summary";"AJD",#N/A,TRUE,"CFCONC-outputs";"AJD",#N/A,TRUE,"P&amp;LCONC-outputs";"AJD",#N/A,TRUE,"BSCONC-outputs";"AJD",#N/A,TRUE,"FSCONC-outputs"}</definedName>
    <definedName name="wrn.AJDSuite." localSheetId="10" hidden="1">{"AJD",#N/A,TRUE,"Summary";"AJD",#N/A,TRUE,"CFCONC-outputs";"AJD",#N/A,TRUE,"P&amp;LCONC-outputs";"AJD",#N/A,TRUE,"BSCONC-outputs";"AJD",#N/A,TRUE,"FSCONC-outputs"}</definedName>
    <definedName name="wrn.AJDSuite." localSheetId="8" hidden="1">{"AJD",#N/A,TRUE,"Summary";"AJD",#N/A,TRUE,"CFCONC-outputs";"AJD",#N/A,TRUE,"P&amp;LCONC-outputs";"AJD",#N/A,TRUE,"BSCONC-outputs";"AJD",#N/A,TRUE,"FSCONC-outputs"}</definedName>
    <definedName name="wrn.AJDSuite." localSheetId="6" hidden="1">{"AJD",#N/A,TRUE,"Summary";"AJD",#N/A,TRUE,"CFCONC-outputs";"AJD",#N/A,TRUE,"P&amp;LCONC-outputs";"AJD",#N/A,TRUE,"BSCONC-outputs";"AJD",#N/A,TRUE,"FSCONC-outputs"}</definedName>
    <definedName name="wrn.AJDSuite." localSheetId="4" hidden="1">{"AJD",#N/A,TRUE,"Summary";"AJD",#N/A,TRUE,"CFCONC-outputs";"AJD",#N/A,TRUE,"P&amp;LCONC-outputs";"AJD",#N/A,TRUE,"BSCONC-outputs";"AJD",#N/A,TRUE,"FSCONC-outputs"}</definedName>
    <definedName name="wrn.AJDSuite." localSheetId="1" hidden="1">{"AJD",#N/A,TRUE,"Summary";"AJD",#N/A,TRUE,"CFCONC-outputs";"AJD",#N/A,TRUE,"P&amp;LCONC-outputs";"AJD",#N/A,TRUE,"BSCONC-outputs";"AJD",#N/A,TRUE,"FSCONC-outputs"}</definedName>
    <definedName name="wrn.AJDSuite." localSheetId="7" hidden="1">{"AJD",#N/A,TRUE,"Summary";"AJD",#N/A,TRUE,"CFCONC-outputs";"AJD",#N/A,TRUE,"P&amp;LCONC-outputs";"AJD",#N/A,TRUE,"BSCONC-outputs";"AJD",#N/A,TRUE,"FSCONC-outputs"}</definedName>
    <definedName name="wrn.AJDSuite." localSheetId="3" hidden="1">{"AJD",#N/A,TRUE,"Summary";"AJD",#N/A,TRUE,"CFCONC-outputs";"AJD",#N/A,TRUE,"P&amp;LCONC-outputs";"AJD",#N/A,TRUE,"BSCONC-outputs";"AJD",#N/A,TRUE,"FSCONC-outputs"}</definedName>
    <definedName name="wrn.AJDSuite." localSheetId="11" hidden="1">{"AJD",#N/A,TRUE,"Summary";"AJD",#N/A,TRUE,"CFCONC-outputs";"AJD",#N/A,TRUE,"P&amp;LCONC-outputs";"AJD",#N/A,TRUE,"BSCONC-outputs";"AJD",#N/A,TRUE,"FSCONC-outputs"}</definedName>
    <definedName name="wrn.AJDSuite." localSheetId="9" hidden="1">{"AJD",#N/A,TRUE,"Summary";"AJD",#N/A,TRUE,"CFCONC-outputs";"AJD",#N/A,TRUE,"P&amp;LCONC-outputs";"AJD",#N/A,TRUE,"BSCONC-outputs";"AJD",#N/A,TRUE,"FSCONC-outputs"}</definedName>
    <definedName name="wrn.AJDSuite." localSheetId="5" hidden="1">{"AJD",#N/A,TRUE,"Summary";"AJD",#N/A,TRUE,"CFCONC-outputs";"AJD",#N/A,TRUE,"P&amp;LCONC-outputs";"AJD",#N/A,TRUE,"BSCONC-outputs";"AJD",#N/A,TRUE,"FSCONC-outputs"}</definedName>
    <definedName name="wrn.AJDSuite." localSheetId="17" hidden="1">{"AJD",#N/A,TRUE,"Summary";"AJD",#N/A,TRUE,"CFCONC-outputs";"AJD",#N/A,TRUE,"P&amp;LCONC-outputs";"AJD",#N/A,TRUE,"BSCONC-outputs";"AJD",#N/A,TRUE,"FSCONC-outputs"}</definedName>
    <definedName name="wrn.AJDSuite." localSheetId="15" hidden="1">{"AJD",#N/A,TRUE,"Summary";"AJD",#N/A,TRUE,"CFCONC-outputs";"AJD",#N/A,TRUE,"P&amp;LCONC-outputs";"AJD",#N/A,TRUE,"BSCONC-outputs";"AJD",#N/A,TRUE,"FSCONC-outputs"}</definedName>
    <definedName name="wrn.AJDSuite." localSheetId="13" hidden="1">{"AJD",#N/A,TRUE,"Summary";"AJD",#N/A,TRUE,"CFCONC-outputs";"AJD",#N/A,TRUE,"P&amp;LCONC-outputs";"AJD",#N/A,TRUE,"BSCONC-outputs";"AJD",#N/A,TRUE,"FSCONC-outputs"}</definedName>
    <definedName name="wrn.AJDSuite." localSheetId="18" hidden="1">{"AJD",#N/A,TRUE,"Summary";"AJD",#N/A,TRUE,"CFCONC-outputs";"AJD",#N/A,TRUE,"P&amp;LCONC-outputs";"AJD",#N/A,TRUE,"BSCONC-outputs";"AJD",#N/A,TRUE,"FSCONC-outputs"}</definedName>
    <definedName name="wrn.AJDSuite." localSheetId="16" hidden="1">{"AJD",#N/A,TRUE,"Summary";"AJD",#N/A,TRUE,"CFCONC-outputs";"AJD",#N/A,TRUE,"P&amp;LCONC-outputs";"AJD",#N/A,TRUE,"BSCONC-outputs";"AJD",#N/A,TRUE,"FSCONC-outputs"}</definedName>
    <definedName name="wrn.AJDSuite." localSheetId="20" hidden="1">{"AJD",#N/A,TRUE,"Summary";"AJD",#N/A,TRUE,"CFCONC-outputs";"AJD",#N/A,TRUE,"P&amp;LCONC-outputs";"AJD",#N/A,TRUE,"BSCONC-outputs";"AJD",#N/A,TRUE,"FSCONC-outputs"}</definedName>
    <definedName name="wrn.AJDSuite." localSheetId="14" hidden="1">{"AJD",#N/A,TRUE,"Summary";"AJD",#N/A,TRUE,"CFCONC-outputs";"AJD",#N/A,TRUE,"P&amp;LCONC-outputs";"AJD",#N/A,TRUE,"BSCONC-outputs";"AJD",#N/A,TRUE,"FSCONC-outputs"}</definedName>
    <definedName name="wrn.AJDSuite." hidden="1">{"AJD",#N/A,TRUE,"Summary";"AJD",#N/A,TRUE,"CFCONC-outputs";"AJD",#N/A,TRUE,"P&amp;LCONC-outputs";"AJD",#N/A,TRUE,"BSCONC-outputs";"AJD",#N/A,TRUE,"FSCONC-outputs"}</definedName>
    <definedName name="wrn.All._.Sheets." localSheetId="12">{#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0">{#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8">{#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6">{#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4">{#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7">{#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3">{#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1">{#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9">{#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5">{#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7">{#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5">{#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3">{#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8">{#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6">{#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20">{#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4">{#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B.O.Q." localSheetId="12" hidden="1">{#N/A,#N/A,FALSE,"Elect B.O.Q";#N/A,#N/A,FALSE,"Plumbing b.O.Q";#N/A,#N/A,FALSE,"Ac B.O.Q"}</definedName>
    <definedName name="wrn.B.O.Q." localSheetId="10" hidden="1">{#N/A,#N/A,FALSE,"Elect B.O.Q";#N/A,#N/A,FALSE,"Plumbing b.O.Q";#N/A,#N/A,FALSE,"Ac B.O.Q"}</definedName>
    <definedName name="wrn.B.O.Q." localSheetId="6" hidden="1">{#N/A,#N/A,FALSE,"Elect B.O.Q";#N/A,#N/A,FALSE,"Plumbing b.O.Q";#N/A,#N/A,FALSE,"Ac B.O.Q"}</definedName>
    <definedName name="wrn.B.O.Q." localSheetId="4" hidden="1">{#N/A,#N/A,FALSE,"Elect B.O.Q";#N/A,#N/A,FALSE,"Plumbing b.O.Q";#N/A,#N/A,FALSE,"Ac B.O.Q"}</definedName>
    <definedName name="wrn.B.O.Q." localSheetId="2" hidden="1">{#N/A,#N/A,FALSE,"Elect B.O.Q";#N/A,#N/A,FALSE,"Plumbing b.O.Q";#N/A,#N/A,FALSE,"Ac B.O.Q"}</definedName>
    <definedName name="wrn.B.O.Q." hidden="1">{#N/A,#N/A,FALSE,"Elect B.O.Q";#N/A,#N/A,FALSE,"Plumbing b.O.Q";#N/A,#N/A,FALSE,"Ac B.O.Q"}</definedName>
    <definedName name="wrn.Construction._.Costs." localSheetId="12" hidden="1">{"Const Costs Dev",#N/A,FALSE,"Construction Cost Inputs";"Const Costs orig ccy",#N/A,FALSE,"Construction Cost Inputs";"Const Costs USD",#N/A,FALSE,"Construction Cost Inputs"}</definedName>
    <definedName name="wrn.Construction._.Costs." localSheetId="10" hidden="1">{"Const Costs Dev",#N/A,FALSE,"Construction Cost Inputs";"Const Costs orig ccy",#N/A,FALSE,"Construction Cost Inputs";"Const Costs USD",#N/A,FALSE,"Construction Cost Inputs"}</definedName>
    <definedName name="wrn.Construction._.Costs." localSheetId="8" hidden="1">{"Const Costs Dev",#N/A,FALSE,"Construction Cost Inputs";"Const Costs orig ccy",#N/A,FALSE,"Construction Cost Inputs";"Const Costs USD",#N/A,FALSE,"Construction Cost Inputs"}</definedName>
    <definedName name="wrn.Construction._.Costs." localSheetId="6" hidden="1">{"Const Costs Dev",#N/A,FALSE,"Construction Cost Inputs";"Const Costs orig ccy",#N/A,FALSE,"Construction Cost Inputs";"Const Costs USD",#N/A,FALSE,"Construction Cost Inputs"}</definedName>
    <definedName name="wrn.Construction._.Costs." localSheetId="4" hidden="1">{"Const Costs Dev",#N/A,FALSE,"Construction Cost Inputs";"Const Costs orig ccy",#N/A,FALSE,"Construction Cost Inputs";"Const Costs USD",#N/A,FALSE,"Construction Cost Inputs"}</definedName>
    <definedName name="wrn.Construction._.Costs." localSheetId="1" hidden="1">{"Const Costs Dev",#N/A,FALSE,"Construction Cost Inputs";"Const Costs orig ccy",#N/A,FALSE,"Construction Cost Inputs";"Const Costs USD",#N/A,FALSE,"Construction Cost Inputs"}</definedName>
    <definedName name="wrn.Construction._.Costs." localSheetId="7" hidden="1">{"Const Costs Dev",#N/A,FALSE,"Construction Cost Inputs";"Const Costs orig ccy",#N/A,FALSE,"Construction Cost Inputs";"Const Costs USD",#N/A,FALSE,"Construction Cost Inputs"}</definedName>
    <definedName name="wrn.Construction._.Costs." localSheetId="3" hidden="1">{"Const Costs Dev",#N/A,FALSE,"Construction Cost Inputs";"Const Costs orig ccy",#N/A,FALSE,"Construction Cost Inputs";"Const Costs USD",#N/A,FALSE,"Construction Cost Inputs"}</definedName>
    <definedName name="wrn.Construction._.Costs." localSheetId="11" hidden="1">{"Const Costs Dev",#N/A,FALSE,"Construction Cost Inputs";"Const Costs orig ccy",#N/A,FALSE,"Construction Cost Inputs";"Const Costs USD",#N/A,FALSE,"Construction Cost Inputs"}</definedName>
    <definedName name="wrn.Construction._.Costs." localSheetId="9" hidden="1">{"Const Costs Dev",#N/A,FALSE,"Construction Cost Inputs";"Const Costs orig ccy",#N/A,FALSE,"Construction Cost Inputs";"Const Costs USD",#N/A,FALSE,"Construction Cost Inputs"}</definedName>
    <definedName name="wrn.Construction._.Costs." localSheetId="5" hidden="1">{"Const Costs Dev",#N/A,FALSE,"Construction Cost Inputs";"Const Costs orig ccy",#N/A,FALSE,"Construction Cost Inputs";"Const Costs USD",#N/A,FALSE,"Construction Cost Inputs"}</definedName>
    <definedName name="wrn.Construction._.Costs." localSheetId="17" hidden="1">{"Const Costs Dev",#N/A,FALSE,"Construction Cost Inputs";"Const Costs orig ccy",#N/A,FALSE,"Construction Cost Inputs";"Const Costs USD",#N/A,FALSE,"Construction Cost Inputs"}</definedName>
    <definedName name="wrn.Construction._.Costs." localSheetId="15" hidden="1">{"Const Costs Dev",#N/A,FALSE,"Construction Cost Inputs";"Const Costs orig ccy",#N/A,FALSE,"Construction Cost Inputs";"Const Costs USD",#N/A,FALSE,"Construction Cost Inputs"}</definedName>
    <definedName name="wrn.Construction._.Costs." localSheetId="13" hidden="1">{"Const Costs Dev",#N/A,FALSE,"Construction Cost Inputs";"Const Costs orig ccy",#N/A,FALSE,"Construction Cost Inputs";"Const Costs USD",#N/A,FALSE,"Construction Cost Inputs"}</definedName>
    <definedName name="wrn.Construction._.Costs." localSheetId="18" hidden="1">{"Const Costs Dev",#N/A,FALSE,"Construction Cost Inputs";"Const Costs orig ccy",#N/A,FALSE,"Construction Cost Inputs";"Const Costs USD",#N/A,FALSE,"Construction Cost Inputs"}</definedName>
    <definedName name="wrn.Construction._.Costs." localSheetId="16" hidden="1">{"Const Costs Dev",#N/A,FALSE,"Construction Cost Inputs";"Const Costs orig ccy",#N/A,FALSE,"Construction Cost Inputs";"Const Costs USD",#N/A,FALSE,"Construction Cost Inputs"}</definedName>
    <definedName name="wrn.Construction._.Costs." localSheetId="20" hidden="1">{"Const Costs Dev",#N/A,FALSE,"Construction Cost Inputs";"Const Costs orig ccy",#N/A,FALSE,"Construction Cost Inputs";"Const Costs USD",#N/A,FALSE,"Construction Cost Inputs"}</definedName>
    <definedName name="wrn.Construction._.Costs." localSheetId="14" hidden="1">{"Const Costs Dev",#N/A,FALSE,"Construction Cost Inputs";"Const Costs orig ccy",#N/A,FALSE,"Construction Cost Inputs";"Const Costs USD",#N/A,FALSE,"Construction Cost Inputs"}</definedName>
    <definedName name="wrn.Construction._.Costs." hidden="1">{"Const Costs Dev",#N/A,FALSE,"Construction Cost Inputs";"Const Costs orig ccy",#N/A,FALSE,"Construction Cost Inputs";"Const Costs USD",#N/A,FALSE,"Construction Cost Inputs"}</definedName>
    <definedName name="wrn.demand." localSheetId="12" hidden="1">{#N/A,#N/A,FALSE,"III-1 Sum.Dem";#N/A,#N/A,FALSE,"III-2 RER.Dem.Pop";#N/A,#N/A,FALSE,"III-3 RER.Cap.Pop";#N/A,#N/A,FALSE,"III-4 RER.Dem.TCSS";#N/A,#N/A,FALSE,"III-5 RER.Cap.TCSS";#N/A,#N/A,FALSE,"III-6 Pow.Center.Dem";#N/A,#N/A,FALSE,"III-7 Off.Demand";#N/A,#N/A,FALSE,"III-8 Htl.Dem"}</definedName>
    <definedName name="wrn.demand." localSheetId="10" hidden="1">{#N/A,#N/A,FALSE,"III-1 Sum.Dem";#N/A,#N/A,FALSE,"III-2 RER.Dem.Pop";#N/A,#N/A,FALSE,"III-3 RER.Cap.Pop";#N/A,#N/A,FALSE,"III-4 RER.Dem.TCSS";#N/A,#N/A,FALSE,"III-5 RER.Cap.TCSS";#N/A,#N/A,FALSE,"III-6 Pow.Center.Dem";#N/A,#N/A,FALSE,"III-7 Off.Demand";#N/A,#N/A,FALSE,"III-8 Htl.Dem"}</definedName>
    <definedName name="wrn.demand." localSheetId="8" hidden="1">{#N/A,#N/A,FALSE,"III-1 Sum.Dem";#N/A,#N/A,FALSE,"III-2 RER.Dem.Pop";#N/A,#N/A,FALSE,"III-3 RER.Cap.Pop";#N/A,#N/A,FALSE,"III-4 RER.Dem.TCSS";#N/A,#N/A,FALSE,"III-5 RER.Cap.TCSS";#N/A,#N/A,FALSE,"III-6 Pow.Center.Dem";#N/A,#N/A,FALSE,"III-7 Off.Demand";#N/A,#N/A,FALSE,"III-8 Htl.Dem"}</definedName>
    <definedName name="wrn.demand." localSheetId="6" hidden="1">{#N/A,#N/A,FALSE,"III-1 Sum.Dem";#N/A,#N/A,FALSE,"III-2 RER.Dem.Pop";#N/A,#N/A,FALSE,"III-3 RER.Cap.Pop";#N/A,#N/A,FALSE,"III-4 RER.Dem.TCSS";#N/A,#N/A,FALSE,"III-5 RER.Cap.TCSS";#N/A,#N/A,FALSE,"III-6 Pow.Center.Dem";#N/A,#N/A,FALSE,"III-7 Off.Demand";#N/A,#N/A,FALSE,"III-8 Htl.Dem"}</definedName>
    <definedName name="wrn.demand." localSheetId="4" hidden="1">{#N/A,#N/A,FALSE,"III-1 Sum.Dem";#N/A,#N/A,FALSE,"III-2 RER.Dem.Pop";#N/A,#N/A,FALSE,"III-3 RER.Cap.Pop";#N/A,#N/A,FALSE,"III-4 RER.Dem.TCSS";#N/A,#N/A,FALSE,"III-5 RER.Cap.TCSS";#N/A,#N/A,FALSE,"III-6 Pow.Center.Dem";#N/A,#N/A,FALSE,"III-7 Off.Demand";#N/A,#N/A,FALSE,"III-8 Htl.Dem"}</definedName>
    <definedName name="wrn.demand." localSheetId="1" hidden="1">{#N/A,#N/A,FALSE,"III-1 Sum.Dem";#N/A,#N/A,FALSE,"III-2 RER.Dem.Pop";#N/A,#N/A,FALSE,"III-3 RER.Cap.Pop";#N/A,#N/A,FALSE,"III-4 RER.Dem.TCSS";#N/A,#N/A,FALSE,"III-5 RER.Cap.TCSS";#N/A,#N/A,FALSE,"III-6 Pow.Center.Dem";#N/A,#N/A,FALSE,"III-7 Off.Demand";#N/A,#N/A,FALSE,"III-8 Htl.Dem"}</definedName>
    <definedName name="wrn.demand." localSheetId="7" hidden="1">{#N/A,#N/A,FALSE,"III-1 Sum.Dem";#N/A,#N/A,FALSE,"III-2 RER.Dem.Pop";#N/A,#N/A,FALSE,"III-3 RER.Cap.Pop";#N/A,#N/A,FALSE,"III-4 RER.Dem.TCSS";#N/A,#N/A,FALSE,"III-5 RER.Cap.TCSS";#N/A,#N/A,FALSE,"III-6 Pow.Center.Dem";#N/A,#N/A,FALSE,"III-7 Off.Demand";#N/A,#N/A,FALSE,"III-8 Htl.Dem"}</definedName>
    <definedName name="wrn.demand." localSheetId="3" hidden="1">{#N/A,#N/A,FALSE,"III-1 Sum.Dem";#N/A,#N/A,FALSE,"III-2 RER.Dem.Pop";#N/A,#N/A,FALSE,"III-3 RER.Cap.Pop";#N/A,#N/A,FALSE,"III-4 RER.Dem.TCSS";#N/A,#N/A,FALSE,"III-5 RER.Cap.TCSS";#N/A,#N/A,FALSE,"III-6 Pow.Center.Dem";#N/A,#N/A,FALSE,"III-7 Off.Demand";#N/A,#N/A,FALSE,"III-8 Htl.Dem"}</definedName>
    <definedName name="wrn.demand." localSheetId="11" hidden="1">{#N/A,#N/A,FALSE,"III-1 Sum.Dem";#N/A,#N/A,FALSE,"III-2 RER.Dem.Pop";#N/A,#N/A,FALSE,"III-3 RER.Cap.Pop";#N/A,#N/A,FALSE,"III-4 RER.Dem.TCSS";#N/A,#N/A,FALSE,"III-5 RER.Cap.TCSS";#N/A,#N/A,FALSE,"III-6 Pow.Center.Dem";#N/A,#N/A,FALSE,"III-7 Off.Demand";#N/A,#N/A,FALSE,"III-8 Htl.Dem"}</definedName>
    <definedName name="wrn.demand." localSheetId="9" hidden="1">{#N/A,#N/A,FALSE,"III-1 Sum.Dem";#N/A,#N/A,FALSE,"III-2 RER.Dem.Pop";#N/A,#N/A,FALSE,"III-3 RER.Cap.Pop";#N/A,#N/A,FALSE,"III-4 RER.Dem.TCSS";#N/A,#N/A,FALSE,"III-5 RER.Cap.TCSS";#N/A,#N/A,FALSE,"III-6 Pow.Center.Dem";#N/A,#N/A,FALSE,"III-7 Off.Demand";#N/A,#N/A,FALSE,"III-8 Htl.Dem"}</definedName>
    <definedName name="wrn.demand." localSheetId="5" hidden="1">{#N/A,#N/A,FALSE,"III-1 Sum.Dem";#N/A,#N/A,FALSE,"III-2 RER.Dem.Pop";#N/A,#N/A,FALSE,"III-3 RER.Cap.Pop";#N/A,#N/A,FALSE,"III-4 RER.Dem.TCSS";#N/A,#N/A,FALSE,"III-5 RER.Cap.TCSS";#N/A,#N/A,FALSE,"III-6 Pow.Center.Dem";#N/A,#N/A,FALSE,"III-7 Off.Demand";#N/A,#N/A,FALSE,"III-8 Htl.Dem"}</definedName>
    <definedName name="wrn.demand." localSheetId="17" hidden="1">{#N/A,#N/A,FALSE,"III-1 Sum.Dem";#N/A,#N/A,FALSE,"III-2 RER.Dem.Pop";#N/A,#N/A,FALSE,"III-3 RER.Cap.Pop";#N/A,#N/A,FALSE,"III-4 RER.Dem.TCSS";#N/A,#N/A,FALSE,"III-5 RER.Cap.TCSS";#N/A,#N/A,FALSE,"III-6 Pow.Center.Dem";#N/A,#N/A,FALSE,"III-7 Off.Demand";#N/A,#N/A,FALSE,"III-8 Htl.Dem"}</definedName>
    <definedName name="wrn.demand." localSheetId="15" hidden="1">{#N/A,#N/A,FALSE,"III-1 Sum.Dem";#N/A,#N/A,FALSE,"III-2 RER.Dem.Pop";#N/A,#N/A,FALSE,"III-3 RER.Cap.Pop";#N/A,#N/A,FALSE,"III-4 RER.Dem.TCSS";#N/A,#N/A,FALSE,"III-5 RER.Cap.TCSS";#N/A,#N/A,FALSE,"III-6 Pow.Center.Dem";#N/A,#N/A,FALSE,"III-7 Off.Demand";#N/A,#N/A,FALSE,"III-8 Htl.Dem"}</definedName>
    <definedName name="wrn.demand." localSheetId="13" hidden="1">{#N/A,#N/A,FALSE,"III-1 Sum.Dem";#N/A,#N/A,FALSE,"III-2 RER.Dem.Pop";#N/A,#N/A,FALSE,"III-3 RER.Cap.Pop";#N/A,#N/A,FALSE,"III-4 RER.Dem.TCSS";#N/A,#N/A,FALSE,"III-5 RER.Cap.TCSS";#N/A,#N/A,FALSE,"III-6 Pow.Center.Dem";#N/A,#N/A,FALSE,"III-7 Off.Demand";#N/A,#N/A,FALSE,"III-8 Htl.Dem"}</definedName>
    <definedName name="wrn.demand." localSheetId="18" hidden="1">{#N/A,#N/A,FALSE,"III-1 Sum.Dem";#N/A,#N/A,FALSE,"III-2 RER.Dem.Pop";#N/A,#N/A,FALSE,"III-3 RER.Cap.Pop";#N/A,#N/A,FALSE,"III-4 RER.Dem.TCSS";#N/A,#N/A,FALSE,"III-5 RER.Cap.TCSS";#N/A,#N/A,FALSE,"III-6 Pow.Center.Dem";#N/A,#N/A,FALSE,"III-7 Off.Demand";#N/A,#N/A,FALSE,"III-8 Htl.Dem"}</definedName>
    <definedName name="wrn.demand." localSheetId="16" hidden="1">{#N/A,#N/A,FALSE,"III-1 Sum.Dem";#N/A,#N/A,FALSE,"III-2 RER.Dem.Pop";#N/A,#N/A,FALSE,"III-3 RER.Cap.Pop";#N/A,#N/A,FALSE,"III-4 RER.Dem.TCSS";#N/A,#N/A,FALSE,"III-5 RER.Cap.TCSS";#N/A,#N/A,FALSE,"III-6 Pow.Center.Dem";#N/A,#N/A,FALSE,"III-7 Off.Demand";#N/A,#N/A,FALSE,"III-8 Htl.Dem"}</definedName>
    <definedName name="wrn.demand." localSheetId="20" hidden="1">{#N/A,#N/A,FALSE,"III-1 Sum.Dem";#N/A,#N/A,FALSE,"III-2 RER.Dem.Pop";#N/A,#N/A,FALSE,"III-3 RER.Cap.Pop";#N/A,#N/A,FALSE,"III-4 RER.Dem.TCSS";#N/A,#N/A,FALSE,"III-5 RER.Cap.TCSS";#N/A,#N/A,FALSE,"III-6 Pow.Center.Dem";#N/A,#N/A,FALSE,"III-7 Off.Demand";#N/A,#N/A,FALSE,"III-8 Htl.Dem"}</definedName>
    <definedName name="wrn.demand." localSheetId="14" hidden="1">{#N/A,#N/A,FALSE,"III-1 Sum.Dem";#N/A,#N/A,FALSE,"III-2 RER.Dem.Pop";#N/A,#N/A,FALSE,"III-3 RER.Cap.Pop";#N/A,#N/A,FALSE,"III-4 RER.Dem.TCSS";#N/A,#N/A,FALSE,"III-5 RER.Cap.TCSS";#N/A,#N/A,FALSE,"III-6 Pow.Center.Dem";#N/A,#N/A,FALSE,"III-7 Off.Demand";#N/A,#N/A,FALSE,"III-8 Htl.Dem"}</definedName>
    <definedName name="wrn.demand." hidden="1">{#N/A,#N/A,FALSE,"III-1 Sum.Dem";#N/A,#N/A,FALSE,"III-2 RER.Dem.Pop";#N/A,#N/A,FALSE,"III-3 RER.Cap.Pop";#N/A,#N/A,FALSE,"III-4 RER.Dem.TCSS";#N/A,#N/A,FALSE,"III-5 RER.Cap.TCSS";#N/A,#N/A,FALSE,"III-6 Pow.Center.Dem";#N/A,#N/A,FALSE,"III-7 Off.Demand";#N/A,#N/A,FALSE,"III-8 Htl.Dem"}</definedName>
    <definedName name="wrn.demographics." localSheetId="12" hidden="1">{#N/A,#N/A,FALSE,"pop.hh";#N/A,#N/A,FALSE,"age.dist";#N/A,#N/A,FALSE,"hh.income";#N/A,#N/A,FALSE,"hh.chars"}</definedName>
    <definedName name="wrn.demographics." localSheetId="10" hidden="1">{#N/A,#N/A,FALSE,"pop.hh";#N/A,#N/A,FALSE,"age.dist";#N/A,#N/A,FALSE,"hh.income";#N/A,#N/A,FALSE,"hh.chars"}</definedName>
    <definedName name="wrn.demographics." localSheetId="8" hidden="1">{#N/A,#N/A,FALSE,"pop.hh";#N/A,#N/A,FALSE,"age.dist";#N/A,#N/A,FALSE,"hh.income";#N/A,#N/A,FALSE,"hh.chars"}</definedName>
    <definedName name="wrn.demographics." localSheetId="6" hidden="1">{#N/A,#N/A,FALSE,"pop.hh";#N/A,#N/A,FALSE,"age.dist";#N/A,#N/A,FALSE,"hh.income";#N/A,#N/A,FALSE,"hh.chars"}</definedName>
    <definedName name="wrn.demographics." localSheetId="4" hidden="1">{#N/A,#N/A,FALSE,"pop.hh";#N/A,#N/A,FALSE,"age.dist";#N/A,#N/A,FALSE,"hh.income";#N/A,#N/A,FALSE,"hh.chars"}</definedName>
    <definedName name="wrn.demographics." localSheetId="1" hidden="1">{#N/A,#N/A,FALSE,"pop.hh";#N/A,#N/A,FALSE,"age.dist";#N/A,#N/A,FALSE,"hh.income";#N/A,#N/A,FALSE,"hh.chars"}</definedName>
    <definedName name="wrn.demographics." localSheetId="7" hidden="1">{#N/A,#N/A,FALSE,"pop.hh";#N/A,#N/A,FALSE,"age.dist";#N/A,#N/A,FALSE,"hh.income";#N/A,#N/A,FALSE,"hh.chars"}</definedName>
    <definedName name="wrn.demographics." localSheetId="3" hidden="1">{#N/A,#N/A,FALSE,"pop.hh";#N/A,#N/A,FALSE,"age.dist";#N/A,#N/A,FALSE,"hh.income";#N/A,#N/A,FALSE,"hh.chars"}</definedName>
    <definedName name="wrn.demographics." localSheetId="11" hidden="1">{#N/A,#N/A,FALSE,"pop.hh";#N/A,#N/A,FALSE,"age.dist";#N/A,#N/A,FALSE,"hh.income";#N/A,#N/A,FALSE,"hh.chars"}</definedName>
    <definedName name="wrn.demographics." localSheetId="9" hidden="1">{#N/A,#N/A,FALSE,"pop.hh";#N/A,#N/A,FALSE,"age.dist";#N/A,#N/A,FALSE,"hh.income";#N/A,#N/A,FALSE,"hh.chars"}</definedName>
    <definedName name="wrn.demographics." localSheetId="5" hidden="1">{#N/A,#N/A,FALSE,"pop.hh";#N/A,#N/A,FALSE,"age.dist";#N/A,#N/A,FALSE,"hh.income";#N/A,#N/A,FALSE,"hh.chars"}</definedName>
    <definedName name="wrn.demographics." localSheetId="17" hidden="1">{#N/A,#N/A,FALSE,"pop.hh";#N/A,#N/A,FALSE,"age.dist";#N/A,#N/A,FALSE,"hh.income";#N/A,#N/A,FALSE,"hh.chars"}</definedName>
    <definedName name="wrn.demographics." localSheetId="15" hidden="1">{#N/A,#N/A,FALSE,"pop.hh";#N/A,#N/A,FALSE,"age.dist";#N/A,#N/A,FALSE,"hh.income";#N/A,#N/A,FALSE,"hh.chars"}</definedName>
    <definedName name="wrn.demographics." localSheetId="13" hidden="1">{#N/A,#N/A,FALSE,"pop.hh";#N/A,#N/A,FALSE,"age.dist";#N/A,#N/A,FALSE,"hh.income";#N/A,#N/A,FALSE,"hh.chars"}</definedName>
    <definedName name="wrn.demographics." localSheetId="18" hidden="1">{#N/A,#N/A,FALSE,"pop.hh";#N/A,#N/A,FALSE,"age.dist";#N/A,#N/A,FALSE,"hh.income";#N/A,#N/A,FALSE,"hh.chars"}</definedName>
    <definedName name="wrn.demographics." localSheetId="16" hidden="1">{#N/A,#N/A,FALSE,"pop.hh";#N/A,#N/A,FALSE,"age.dist";#N/A,#N/A,FALSE,"hh.income";#N/A,#N/A,FALSE,"hh.chars"}</definedName>
    <definedName name="wrn.demographics." localSheetId="20" hidden="1">{#N/A,#N/A,FALSE,"pop.hh";#N/A,#N/A,FALSE,"age.dist";#N/A,#N/A,FALSE,"hh.income";#N/A,#N/A,FALSE,"hh.chars"}</definedName>
    <definedName name="wrn.demographics." localSheetId="14" hidden="1">{#N/A,#N/A,FALSE,"pop.hh";#N/A,#N/A,FALSE,"age.dist";#N/A,#N/A,FALSE,"hh.income";#N/A,#N/A,FALSE,"hh.chars"}</definedName>
    <definedName name="wrn.demographics." hidden="1">{#N/A,#N/A,FALSE,"pop.hh";#N/A,#N/A,FALSE,"age.dist";#N/A,#N/A,FALSE,"hh.income";#N/A,#N/A,FALSE,"hh.chars"}</definedName>
    <definedName name="wrn.Demos." localSheetId="12" hidden="1">{#N/A,#N/A,FALSE,"II-2 POP.HH";#N/A,#N/A,FALSE,"II-3 AGE.DIST";#N/A,#N/A,FALSE,"II-4 HH.DIST";#N/A,#N/A,FALSE,"II-5 EMP.INDUS"}</definedName>
    <definedName name="wrn.Demos." localSheetId="10" hidden="1">{#N/A,#N/A,FALSE,"II-2 POP.HH";#N/A,#N/A,FALSE,"II-3 AGE.DIST";#N/A,#N/A,FALSE,"II-4 HH.DIST";#N/A,#N/A,FALSE,"II-5 EMP.INDUS"}</definedName>
    <definedName name="wrn.Demos." localSheetId="8" hidden="1">{#N/A,#N/A,FALSE,"II-2 POP.HH";#N/A,#N/A,FALSE,"II-3 AGE.DIST";#N/A,#N/A,FALSE,"II-4 HH.DIST";#N/A,#N/A,FALSE,"II-5 EMP.INDUS"}</definedName>
    <definedName name="wrn.Demos." localSheetId="6" hidden="1">{#N/A,#N/A,FALSE,"II-2 POP.HH";#N/A,#N/A,FALSE,"II-3 AGE.DIST";#N/A,#N/A,FALSE,"II-4 HH.DIST";#N/A,#N/A,FALSE,"II-5 EMP.INDUS"}</definedName>
    <definedName name="wrn.Demos." localSheetId="4" hidden="1">{#N/A,#N/A,FALSE,"II-2 POP.HH";#N/A,#N/A,FALSE,"II-3 AGE.DIST";#N/A,#N/A,FALSE,"II-4 HH.DIST";#N/A,#N/A,FALSE,"II-5 EMP.INDUS"}</definedName>
    <definedName name="wrn.Demos." localSheetId="1" hidden="1">{#N/A,#N/A,FALSE,"II-2 POP.HH";#N/A,#N/A,FALSE,"II-3 AGE.DIST";#N/A,#N/A,FALSE,"II-4 HH.DIST";#N/A,#N/A,FALSE,"II-5 EMP.INDUS"}</definedName>
    <definedName name="wrn.Demos." localSheetId="7" hidden="1">{#N/A,#N/A,FALSE,"II-2 POP.HH";#N/A,#N/A,FALSE,"II-3 AGE.DIST";#N/A,#N/A,FALSE,"II-4 HH.DIST";#N/A,#N/A,FALSE,"II-5 EMP.INDUS"}</definedName>
    <definedName name="wrn.Demos." localSheetId="3" hidden="1">{#N/A,#N/A,FALSE,"II-2 POP.HH";#N/A,#N/A,FALSE,"II-3 AGE.DIST";#N/A,#N/A,FALSE,"II-4 HH.DIST";#N/A,#N/A,FALSE,"II-5 EMP.INDUS"}</definedName>
    <definedName name="wrn.Demos." localSheetId="11" hidden="1">{#N/A,#N/A,FALSE,"II-2 POP.HH";#N/A,#N/A,FALSE,"II-3 AGE.DIST";#N/A,#N/A,FALSE,"II-4 HH.DIST";#N/A,#N/A,FALSE,"II-5 EMP.INDUS"}</definedName>
    <definedName name="wrn.Demos." localSheetId="9" hidden="1">{#N/A,#N/A,FALSE,"II-2 POP.HH";#N/A,#N/A,FALSE,"II-3 AGE.DIST";#N/A,#N/A,FALSE,"II-4 HH.DIST";#N/A,#N/A,FALSE,"II-5 EMP.INDUS"}</definedName>
    <definedName name="wrn.Demos." localSheetId="5" hidden="1">{#N/A,#N/A,FALSE,"II-2 POP.HH";#N/A,#N/A,FALSE,"II-3 AGE.DIST";#N/A,#N/A,FALSE,"II-4 HH.DIST";#N/A,#N/A,FALSE,"II-5 EMP.INDUS"}</definedName>
    <definedName name="wrn.Demos." localSheetId="17" hidden="1">{#N/A,#N/A,FALSE,"II-2 POP.HH";#N/A,#N/A,FALSE,"II-3 AGE.DIST";#N/A,#N/A,FALSE,"II-4 HH.DIST";#N/A,#N/A,FALSE,"II-5 EMP.INDUS"}</definedName>
    <definedName name="wrn.Demos." localSheetId="15" hidden="1">{#N/A,#N/A,FALSE,"II-2 POP.HH";#N/A,#N/A,FALSE,"II-3 AGE.DIST";#N/A,#N/A,FALSE,"II-4 HH.DIST";#N/A,#N/A,FALSE,"II-5 EMP.INDUS"}</definedName>
    <definedName name="wrn.Demos." localSheetId="13" hidden="1">{#N/A,#N/A,FALSE,"II-2 POP.HH";#N/A,#N/A,FALSE,"II-3 AGE.DIST";#N/A,#N/A,FALSE,"II-4 HH.DIST";#N/A,#N/A,FALSE,"II-5 EMP.INDUS"}</definedName>
    <definedName name="wrn.Demos." localSheetId="18" hidden="1">{#N/A,#N/A,FALSE,"II-2 POP.HH";#N/A,#N/A,FALSE,"II-3 AGE.DIST";#N/A,#N/A,FALSE,"II-4 HH.DIST";#N/A,#N/A,FALSE,"II-5 EMP.INDUS"}</definedName>
    <definedName name="wrn.Demos." localSheetId="16" hidden="1">{#N/A,#N/A,FALSE,"II-2 POP.HH";#N/A,#N/A,FALSE,"II-3 AGE.DIST";#N/A,#N/A,FALSE,"II-4 HH.DIST";#N/A,#N/A,FALSE,"II-5 EMP.INDUS"}</definedName>
    <definedName name="wrn.Demos." localSheetId="20" hidden="1">{#N/A,#N/A,FALSE,"II-2 POP.HH";#N/A,#N/A,FALSE,"II-3 AGE.DIST";#N/A,#N/A,FALSE,"II-4 HH.DIST";#N/A,#N/A,FALSE,"II-5 EMP.INDUS"}</definedName>
    <definedName name="wrn.Demos." localSheetId="14" hidden="1">{#N/A,#N/A,FALSE,"II-2 POP.HH";#N/A,#N/A,FALSE,"II-3 AGE.DIST";#N/A,#N/A,FALSE,"II-4 HH.DIST";#N/A,#N/A,FALSE,"II-5 EMP.INDUS"}</definedName>
    <definedName name="wrn.Demos." hidden="1">{#N/A,#N/A,FALSE,"II-2 POP.HH";#N/A,#N/A,FALSE,"II-3 AGE.DIST";#N/A,#N/A,FALSE,"II-4 HH.DIST";#N/A,#N/A,FALSE,"II-5 EMP.INDUS"}</definedName>
    <definedName name="wrn.Financing._.Inputs." localSheetId="12" hidden="1">{"BuildIn 2 Funding Assump",#N/A,FALSE,"Building Inputs";"BuildIn Capex plus Extras",#N/A,FALSE,"Building Inputs"}</definedName>
    <definedName name="wrn.Financing._.Inputs." localSheetId="10" hidden="1">{"BuildIn 2 Funding Assump",#N/A,FALSE,"Building Inputs";"BuildIn Capex plus Extras",#N/A,FALSE,"Building Inputs"}</definedName>
    <definedName name="wrn.Financing._.Inputs." localSheetId="8" hidden="1">{"BuildIn 2 Funding Assump",#N/A,FALSE,"Building Inputs";"BuildIn Capex plus Extras",#N/A,FALSE,"Building Inputs"}</definedName>
    <definedName name="wrn.Financing._.Inputs." localSheetId="6" hidden="1">{"BuildIn 2 Funding Assump",#N/A,FALSE,"Building Inputs";"BuildIn Capex plus Extras",#N/A,FALSE,"Building Inputs"}</definedName>
    <definedName name="wrn.Financing._.Inputs." localSheetId="4" hidden="1">{"BuildIn 2 Funding Assump",#N/A,FALSE,"Building Inputs";"BuildIn Capex plus Extras",#N/A,FALSE,"Building Inputs"}</definedName>
    <definedName name="wrn.Financing._.Inputs." localSheetId="1" hidden="1">{"BuildIn 2 Funding Assump",#N/A,FALSE,"Building Inputs";"BuildIn Capex plus Extras",#N/A,FALSE,"Building Inputs"}</definedName>
    <definedName name="wrn.Financing._.Inputs." localSheetId="7" hidden="1">{"BuildIn 2 Funding Assump",#N/A,FALSE,"Building Inputs";"BuildIn Capex plus Extras",#N/A,FALSE,"Building Inputs"}</definedName>
    <definedName name="wrn.Financing._.Inputs." localSheetId="3" hidden="1">{"BuildIn 2 Funding Assump",#N/A,FALSE,"Building Inputs";"BuildIn Capex plus Extras",#N/A,FALSE,"Building Inputs"}</definedName>
    <definedName name="wrn.Financing._.Inputs." localSheetId="11" hidden="1">{"BuildIn 2 Funding Assump",#N/A,FALSE,"Building Inputs";"BuildIn Capex plus Extras",#N/A,FALSE,"Building Inputs"}</definedName>
    <definedName name="wrn.Financing._.Inputs." localSheetId="9" hidden="1">{"BuildIn 2 Funding Assump",#N/A,FALSE,"Building Inputs";"BuildIn Capex plus Extras",#N/A,FALSE,"Building Inputs"}</definedName>
    <definedName name="wrn.Financing._.Inputs." localSheetId="5" hidden="1">{"BuildIn 2 Funding Assump",#N/A,FALSE,"Building Inputs";"BuildIn Capex plus Extras",#N/A,FALSE,"Building Inputs"}</definedName>
    <definedName name="wrn.Financing._.Inputs." localSheetId="17" hidden="1">{"BuildIn 2 Funding Assump",#N/A,FALSE,"Building Inputs";"BuildIn Capex plus Extras",#N/A,FALSE,"Building Inputs"}</definedName>
    <definedName name="wrn.Financing._.Inputs." localSheetId="15" hidden="1">{"BuildIn 2 Funding Assump",#N/A,FALSE,"Building Inputs";"BuildIn Capex plus Extras",#N/A,FALSE,"Building Inputs"}</definedName>
    <definedName name="wrn.Financing._.Inputs." localSheetId="13" hidden="1">{"BuildIn 2 Funding Assump",#N/A,FALSE,"Building Inputs";"BuildIn Capex plus Extras",#N/A,FALSE,"Building Inputs"}</definedName>
    <definedName name="wrn.Financing._.Inputs." localSheetId="18" hidden="1">{"BuildIn 2 Funding Assump",#N/A,FALSE,"Building Inputs";"BuildIn Capex plus Extras",#N/A,FALSE,"Building Inputs"}</definedName>
    <definedName name="wrn.Financing._.Inputs." localSheetId="16" hidden="1">{"BuildIn 2 Funding Assump",#N/A,FALSE,"Building Inputs";"BuildIn Capex plus Extras",#N/A,FALSE,"Building Inputs"}</definedName>
    <definedName name="wrn.Financing._.Inputs." localSheetId="20" hidden="1">{"BuildIn 2 Funding Assump",#N/A,FALSE,"Building Inputs";"BuildIn Capex plus Extras",#N/A,FALSE,"Building Inputs"}</definedName>
    <definedName name="wrn.Financing._.Inputs." localSheetId="14" hidden="1">{"BuildIn 2 Funding Assump",#N/A,FALSE,"Building Inputs";"BuildIn Capex plus Extras",#N/A,FALSE,"Building Inputs"}</definedName>
    <definedName name="wrn.Financing._.Inputs." hidden="1">{"BuildIn 2 Funding Assump",#N/A,FALSE,"Building Inputs";"BuildIn Capex plus Extras",#N/A,FALSE,"Building Inputs"}</definedName>
    <definedName name="wrn.Inputs._.outputs." localSheetId="12" hidden="1">{"key inputs",#N/A,FALSE,"Key Inputs";"key outputs",#N/A,FALSE,"Outputs";"Other inputs",#N/A,FALSE,"Other Inputs";"cashflow",#N/A,FALSE,"Statemnts"}</definedName>
    <definedName name="wrn.Inputs._.outputs." localSheetId="10" hidden="1">{"key inputs",#N/A,FALSE,"Key Inputs";"key outputs",#N/A,FALSE,"Outputs";"Other inputs",#N/A,FALSE,"Other Inputs";"cashflow",#N/A,FALSE,"Statemnts"}</definedName>
    <definedName name="wrn.Inputs._.outputs." localSheetId="8" hidden="1">{"key inputs",#N/A,FALSE,"Key Inputs";"key outputs",#N/A,FALSE,"Outputs";"Other inputs",#N/A,FALSE,"Other Inputs";"cashflow",#N/A,FALSE,"Statemnts"}</definedName>
    <definedName name="wrn.Inputs._.outputs." localSheetId="6" hidden="1">{"key inputs",#N/A,FALSE,"Key Inputs";"key outputs",#N/A,FALSE,"Outputs";"Other inputs",#N/A,FALSE,"Other Inputs";"cashflow",#N/A,FALSE,"Statemnts"}</definedName>
    <definedName name="wrn.Inputs._.outputs." localSheetId="4" hidden="1">{"key inputs",#N/A,FALSE,"Key Inputs";"key outputs",#N/A,FALSE,"Outputs";"Other inputs",#N/A,FALSE,"Other Inputs";"cashflow",#N/A,FALSE,"Statemnts"}</definedName>
    <definedName name="wrn.Inputs._.outputs." localSheetId="1" hidden="1">{"key inputs",#N/A,FALSE,"Key Inputs";"key outputs",#N/A,FALSE,"Outputs";"Other inputs",#N/A,FALSE,"Other Inputs";"cashflow",#N/A,FALSE,"Statemnts"}</definedName>
    <definedName name="wrn.Inputs._.outputs." localSheetId="7" hidden="1">{"key inputs",#N/A,FALSE,"Key Inputs";"key outputs",#N/A,FALSE,"Outputs";"Other inputs",#N/A,FALSE,"Other Inputs";"cashflow",#N/A,FALSE,"Statemnts"}</definedName>
    <definedName name="wrn.Inputs._.outputs." localSheetId="3" hidden="1">{"key inputs",#N/A,FALSE,"Key Inputs";"key outputs",#N/A,FALSE,"Outputs";"Other inputs",#N/A,FALSE,"Other Inputs";"cashflow",#N/A,FALSE,"Statemnts"}</definedName>
    <definedName name="wrn.Inputs._.outputs." localSheetId="11" hidden="1">{"key inputs",#N/A,FALSE,"Key Inputs";"key outputs",#N/A,FALSE,"Outputs";"Other inputs",#N/A,FALSE,"Other Inputs";"cashflow",#N/A,FALSE,"Statemnts"}</definedName>
    <definedName name="wrn.Inputs._.outputs." localSheetId="9" hidden="1">{"key inputs",#N/A,FALSE,"Key Inputs";"key outputs",#N/A,FALSE,"Outputs";"Other inputs",#N/A,FALSE,"Other Inputs";"cashflow",#N/A,FALSE,"Statemnts"}</definedName>
    <definedName name="wrn.Inputs._.outputs." localSheetId="5" hidden="1">{"key inputs",#N/A,FALSE,"Key Inputs";"key outputs",#N/A,FALSE,"Outputs";"Other inputs",#N/A,FALSE,"Other Inputs";"cashflow",#N/A,FALSE,"Statemnts"}</definedName>
    <definedName name="wrn.Inputs._.outputs." localSheetId="17" hidden="1">{"key inputs",#N/A,FALSE,"Key Inputs";"key outputs",#N/A,FALSE,"Outputs";"Other inputs",#N/A,FALSE,"Other Inputs";"cashflow",#N/A,FALSE,"Statemnts"}</definedName>
    <definedName name="wrn.Inputs._.outputs." localSheetId="15" hidden="1">{"key inputs",#N/A,FALSE,"Key Inputs";"key outputs",#N/A,FALSE,"Outputs";"Other inputs",#N/A,FALSE,"Other Inputs";"cashflow",#N/A,FALSE,"Statemnts"}</definedName>
    <definedName name="wrn.Inputs._.outputs." localSheetId="13" hidden="1">{"key inputs",#N/A,FALSE,"Key Inputs";"key outputs",#N/A,FALSE,"Outputs";"Other inputs",#N/A,FALSE,"Other Inputs";"cashflow",#N/A,FALSE,"Statemnts"}</definedName>
    <definedName name="wrn.Inputs._.outputs." localSheetId="18" hidden="1">{"key inputs",#N/A,FALSE,"Key Inputs";"key outputs",#N/A,FALSE,"Outputs";"Other inputs",#N/A,FALSE,"Other Inputs";"cashflow",#N/A,FALSE,"Statemnts"}</definedName>
    <definedName name="wrn.Inputs._.outputs." localSheetId="16" hidden="1">{"key inputs",#N/A,FALSE,"Key Inputs";"key outputs",#N/A,FALSE,"Outputs";"Other inputs",#N/A,FALSE,"Other Inputs";"cashflow",#N/A,FALSE,"Statemnts"}</definedName>
    <definedName name="wrn.Inputs._.outputs." localSheetId="20" hidden="1">{"key inputs",#N/A,FALSE,"Key Inputs";"key outputs",#N/A,FALSE,"Outputs";"Other inputs",#N/A,FALSE,"Other Inputs";"cashflow",#N/A,FALSE,"Statemnts"}</definedName>
    <definedName name="wrn.Inputs._.outputs." localSheetId="14" hidden="1">{"key inputs",#N/A,FALSE,"Key Inputs";"key outputs",#N/A,FALSE,"Outputs";"Other inputs",#N/A,FALSE,"Other Inputs";"cashflow",#N/A,FALSE,"Statemnts"}</definedName>
    <definedName name="wrn.Inputs._.outputs." hidden="1">{"key inputs",#N/A,FALSE,"Key Inputs";"key outputs",#N/A,FALSE,"Outputs";"Other inputs",#N/A,FALSE,"Other Inputs";"cashflow",#N/A,FALSE,"Statemnts"}</definedName>
    <definedName name="wrn.OCS._.REPORT." localSheetId="12" hidden="1">{#N/A,#N/A,FALSE,"Cover";#N/A,#N/A,FALSE,"Index";#N/A,#N/A,FALSE,"Spec";#N/A,#N/A,FALSE,"Breakdown";#N/A,#N/A,FALSE,"Cost Plan"}</definedName>
    <definedName name="wrn.OCS._.REPORT." localSheetId="10" hidden="1">{#N/A,#N/A,FALSE,"Cover";#N/A,#N/A,FALSE,"Index";#N/A,#N/A,FALSE,"Spec";#N/A,#N/A,FALSE,"Breakdown";#N/A,#N/A,FALSE,"Cost Plan"}</definedName>
    <definedName name="wrn.OCS._.REPORT." localSheetId="6" hidden="1">{#N/A,#N/A,FALSE,"Cover";#N/A,#N/A,FALSE,"Index";#N/A,#N/A,FALSE,"Spec";#N/A,#N/A,FALSE,"Breakdown";#N/A,#N/A,FALSE,"Cost Plan"}</definedName>
    <definedName name="wrn.OCS._.REPORT." localSheetId="4" hidden="1">{#N/A,#N/A,FALSE,"Cover";#N/A,#N/A,FALSE,"Index";#N/A,#N/A,FALSE,"Spec";#N/A,#N/A,FALSE,"Breakdown";#N/A,#N/A,FALSE,"Cost Plan"}</definedName>
    <definedName name="wrn.OCS._.REPORT." localSheetId="2" hidden="1">{#N/A,#N/A,FALSE,"Cover";#N/A,#N/A,FALSE,"Index";#N/A,#N/A,FALSE,"Spec";#N/A,#N/A,FALSE,"Breakdown";#N/A,#N/A,FALSE,"Cost Plan"}</definedName>
    <definedName name="wrn.OCS._.REPORT." hidden="1">{#N/A,#N/A,FALSE,"Cover";#N/A,#N/A,FALSE,"Index";#N/A,#N/A,FALSE,"Spec";#N/A,#N/A,FALSE,"Breakdown";#N/A,#N/A,FALSE,"Cost Plan"}</definedName>
    <definedName name="wrn.OpCostIn." localSheetId="12" hidden="1">{"OpCostIn Technical",#N/A,FALSE,"Operations Cost Inputs";"OpCostIn V plus F",#N/A,FALSE,"Operations Cost Inputs";"OpCostIn Maint",#N/A,FALSE,"Operations Cost Inputs";"OpCostIn LDs Add Cost",#N/A,FALSE,"Operations Cost Inputs"}</definedName>
    <definedName name="wrn.OpCostIn." localSheetId="10" hidden="1">{"OpCostIn Technical",#N/A,FALSE,"Operations Cost Inputs";"OpCostIn V plus F",#N/A,FALSE,"Operations Cost Inputs";"OpCostIn Maint",#N/A,FALSE,"Operations Cost Inputs";"OpCostIn LDs Add Cost",#N/A,FALSE,"Operations Cost Inputs"}</definedName>
    <definedName name="wrn.OpCostIn." localSheetId="8" hidden="1">{"OpCostIn Technical",#N/A,FALSE,"Operations Cost Inputs";"OpCostIn V plus F",#N/A,FALSE,"Operations Cost Inputs";"OpCostIn Maint",#N/A,FALSE,"Operations Cost Inputs";"OpCostIn LDs Add Cost",#N/A,FALSE,"Operations Cost Inputs"}</definedName>
    <definedName name="wrn.OpCostIn." localSheetId="6" hidden="1">{"OpCostIn Technical",#N/A,FALSE,"Operations Cost Inputs";"OpCostIn V plus F",#N/A,FALSE,"Operations Cost Inputs";"OpCostIn Maint",#N/A,FALSE,"Operations Cost Inputs";"OpCostIn LDs Add Cost",#N/A,FALSE,"Operations Cost Inputs"}</definedName>
    <definedName name="wrn.OpCostIn." localSheetId="4" hidden="1">{"OpCostIn Technical",#N/A,FALSE,"Operations Cost Inputs";"OpCostIn V plus F",#N/A,FALSE,"Operations Cost Inputs";"OpCostIn Maint",#N/A,FALSE,"Operations Cost Inputs";"OpCostIn LDs Add Cost",#N/A,FALSE,"Operations Cost Inputs"}</definedName>
    <definedName name="wrn.OpCostIn." localSheetId="1" hidden="1">{"OpCostIn Technical",#N/A,FALSE,"Operations Cost Inputs";"OpCostIn V plus F",#N/A,FALSE,"Operations Cost Inputs";"OpCostIn Maint",#N/A,FALSE,"Operations Cost Inputs";"OpCostIn LDs Add Cost",#N/A,FALSE,"Operations Cost Inputs"}</definedName>
    <definedName name="wrn.OpCostIn." localSheetId="7" hidden="1">{"OpCostIn Technical",#N/A,FALSE,"Operations Cost Inputs";"OpCostIn V plus F",#N/A,FALSE,"Operations Cost Inputs";"OpCostIn Maint",#N/A,FALSE,"Operations Cost Inputs";"OpCostIn LDs Add Cost",#N/A,FALSE,"Operations Cost Inputs"}</definedName>
    <definedName name="wrn.OpCostIn." localSheetId="3" hidden="1">{"OpCostIn Technical",#N/A,FALSE,"Operations Cost Inputs";"OpCostIn V plus F",#N/A,FALSE,"Operations Cost Inputs";"OpCostIn Maint",#N/A,FALSE,"Operations Cost Inputs";"OpCostIn LDs Add Cost",#N/A,FALSE,"Operations Cost Inputs"}</definedName>
    <definedName name="wrn.OpCostIn." localSheetId="11" hidden="1">{"OpCostIn Technical",#N/A,FALSE,"Operations Cost Inputs";"OpCostIn V plus F",#N/A,FALSE,"Operations Cost Inputs";"OpCostIn Maint",#N/A,FALSE,"Operations Cost Inputs";"OpCostIn LDs Add Cost",#N/A,FALSE,"Operations Cost Inputs"}</definedName>
    <definedName name="wrn.OpCostIn." localSheetId="9" hidden="1">{"OpCostIn Technical",#N/A,FALSE,"Operations Cost Inputs";"OpCostIn V plus F",#N/A,FALSE,"Operations Cost Inputs";"OpCostIn Maint",#N/A,FALSE,"Operations Cost Inputs";"OpCostIn LDs Add Cost",#N/A,FALSE,"Operations Cost Inputs"}</definedName>
    <definedName name="wrn.OpCostIn." localSheetId="5" hidden="1">{"OpCostIn Technical",#N/A,FALSE,"Operations Cost Inputs";"OpCostIn V plus F",#N/A,FALSE,"Operations Cost Inputs";"OpCostIn Maint",#N/A,FALSE,"Operations Cost Inputs";"OpCostIn LDs Add Cost",#N/A,FALSE,"Operations Cost Inputs"}</definedName>
    <definedName name="wrn.OpCostIn." localSheetId="17" hidden="1">{"OpCostIn Technical",#N/A,FALSE,"Operations Cost Inputs";"OpCostIn V plus F",#N/A,FALSE,"Operations Cost Inputs";"OpCostIn Maint",#N/A,FALSE,"Operations Cost Inputs";"OpCostIn LDs Add Cost",#N/A,FALSE,"Operations Cost Inputs"}</definedName>
    <definedName name="wrn.OpCostIn." localSheetId="15" hidden="1">{"OpCostIn Technical",#N/A,FALSE,"Operations Cost Inputs";"OpCostIn V plus F",#N/A,FALSE,"Operations Cost Inputs";"OpCostIn Maint",#N/A,FALSE,"Operations Cost Inputs";"OpCostIn LDs Add Cost",#N/A,FALSE,"Operations Cost Inputs"}</definedName>
    <definedName name="wrn.OpCostIn." localSheetId="13" hidden="1">{"OpCostIn Technical",#N/A,FALSE,"Operations Cost Inputs";"OpCostIn V plus F",#N/A,FALSE,"Operations Cost Inputs";"OpCostIn Maint",#N/A,FALSE,"Operations Cost Inputs";"OpCostIn LDs Add Cost",#N/A,FALSE,"Operations Cost Inputs"}</definedName>
    <definedName name="wrn.OpCostIn." localSheetId="18" hidden="1">{"OpCostIn Technical",#N/A,FALSE,"Operations Cost Inputs";"OpCostIn V plus F",#N/A,FALSE,"Operations Cost Inputs";"OpCostIn Maint",#N/A,FALSE,"Operations Cost Inputs";"OpCostIn LDs Add Cost",#N/A,FALSE,"Operations Cost Inputs"}</definedName>
    <definedName name="wrn.OpCostIn." localSheetId="16" hidden="1">{"OpCostIn Technical",#N/A,FALSE,"Operations Cost Inputs";"OpCostIn V plus F",#N/A,FALSE,"Operations Cost Inputs";"OpCostIn Maint",#N/A,FALSE,"Operations Cost Inputs";"OpCostIn LDs Add Cost",#N/A,FALSE,"Operations Cost Inputs"}</definedName>
    <definedName name="wrn.OpCostIn." localSheetId="20" hidden="1">{"OpCostIn Technical",#N/A,FALSE,"Operations Cost Inputs";"OpCostIn V plus F",#N/A,FALSE,"Operations Cost Inputs";"OpCostIn Maint",#N/A,FALSE,"Operations Cost Inputs";"OpCostIn LDs Add Cost",#N/A,FALSE,"Operations Cost Inputs"}</definedName>
    <definedName name="wrn.OpCostIn." localSheetId="14" hidden="1">{"OpCostIn Technical",#N/A,FALSE,"Operations Cost Inputs";"OpCostIn V plus F",#N/A,FALSE,"Operations Cost Inputs";"OpCostIn Maint",#N/A,FALSE,"Operations Cost Inputs";"OpCostIn LDs Add Cost",#N/A,FALSE,"Operations Cost Inputs"}</definedName>
    <definedName name="wrn.OpCostIn." hidden="1">{"OpCostIn Technical",#N/A,FALSE,"Operations Cost Inputs";"OpCostIn V plus F",#N/A,FALSE,"Operations Cost Inputs";"OpCostIn Maint",#N/A,FALSE,"Operations Cost Inputs";"OpCostIn LDs Add Cost",#N/A,FALSE,"Operations Cost Inputs"}</definedName>
    <definedName name="wrn.Print." localSheetId="12" hidden="1">{#N/A,#N/A,TRUE,"Cover";#N/A,#N/A,TRUE,"Stack";#N/A,#N/A,TRUE,"Cost S";#N/A,#N/A,TRUE,"Financing";#N/A,#N/A,TRUE," CF";#N/A,#N/A,TRUE,"CF Mnthly";#N/A,#N/A,TRUE,"CF assum";#N/A,#N/A,TRUE,"Unit Sales";#N/A,#N/A,TRUE,"REV";#N/A,#N/A,TRUE,"Bdgt Backup"}</definedName>
    <definedName name="wrn.Print." localSheetId="10" hidden="1">{#N/A,#N/A,TRUE,"Cover";#N/A,#N/A,TRUE,"Stack";#N/A,#N/A,TRUE,"Cost S";#N/A,#N/A,TRUE,"Financing";#N/A,#N/A,TRUE," CF";#N/A,#N/A,TRUE,"CF Mnthly";#N/A,#N/A,TRUE,"CF assum";#N/A,#N/A,TRUE,"Unit Sales";#N/A,#N/A,TRUE,"REV";#N/A,#N/A,TRUE,"Bdgt Backup"}</definedName>
    <definedName name="wrn.Print." localSheetId="8" hidden="1">{#N/A,#N/A,TRUE,"Cover";#N/A,#N/A,TRUE,"Stack";#N/A,#N/A,TRUE,"Cost S";#N/A,#N/A,TRUE,"Financing";#N/A,#N/A,TRUE," CF";#N/A,#N/A,TRUE,"CF Mnthly";#N/A,#N/A,TRUE,"CF assum";#N/A,#N/A,TRUE,"Unit Sales";#N/A,#N/A,TRUE,"REV";#N/A,#N/A,TRUE,"Bdgt Backup"}</definedName>
    <definedName name="wrn.Print." localSheetId="6" hidden="1">{#N/A,#N/A,TRUE,"Cover";#N/A,#N/A,TRUE,"Stack";#N/A,#N/A,TRUE,"Cost S";#N/A,#N/A,TRUE,"Financing";#N/A,#N/A,TRUE," CF";#N/A,#N/A,TRUE,"CF Mnthly";#N/A,#N/A,TRUE,"CF assum";#N/A,#N/A,TRUE,"Unit Sales";#N/A,#N/A,TRUE,"REV";#N/A,#N/A,TRUE,"Bdgt Backup"}</definedName>
    <definedName name="wrn.Print." localSheetId="4" hidden="1">{#N/A,#N/A,TRUE,"Cover";#N/A,#N/A,TRUE,"Stack";#N/A,#N/A,TRUE,"Cost S";#N/A,#N/A,TRUE,"Financing";#N/A,#N/A,TRUE," CF";#N/A,#N/A,TRUE,"CF Mnthly";#N/A,#N/A,TRUE,"CF assum";#N/A,#N/A,TRUE,"Unit Sales";#N/A,#N/A,TRUE,"REV";#N/A,#N/A,TRUE,"Bdgt Backup"}</definedName>
    <definedName name="wrn.Print." localSheetId="1" hidden="1">{#N/A,#N/A,TRUE,"Cover";#N/A,#N/A,TRUE,"Stack";#N/A,#N/A,TRUE,"Cost S";#N/A,#N/A,TRUE,"Financing";#N/A,#N/A,TRUE," CF";#N/A,#N/A,TRUE,"CF Mnthly";#N/A,#N/A,TRUE,"CF assum";#N/A,#N/A,TRUE,"Unit Sales";#N/A,#N/A,TRUE,"REV";#N/A,#N/A,TRUE,"Bdgt Backup"}</definedName>
    <definedName name="wrn.Print." localSheetId="7" hidden="1">{#N/A,#N/A,TRUE,"Cover";#N/A,#N/A,TRUE,"Stack";#N/A,#N/A,TRUE,"Cost S";#N/A,#N/A,TRUE,"Financing";#N/A,#N/A,TRUE," CF";#N/A,#N/A,TRUE,"CF Mnthly";#N/A,#N/A,TRUE,"CF assum";#N/A,#N/A,TRUE,"Unit Sales";#N/A,#N/A,TRUE,"REV";#N/A,#N/A,TRUE,"Bdgt Backup"}</definedName>
    <definedName name="wrn.Print." localSheetId="3" hidden="1">{#N/A,#N/A,TRUE,"Cover";#N/A,#N/A,TRUE,"Stack";#N/A,#N/A,TRUE,"Cost S";#N/A,#N/A,TRUE,"Financing";#N/A,#N/A,TRUE," CF";#N/A,#N/A,TRUE,"CF Mnthly";#N/A,#N/A,TRUE,"CF assum";#N/A,#N/A,TRUE,"Unit Sales";#N/A,#N/A,TRUE,"REV";#N/A,#N/A,TRUE,"Bdgt Backup"}</definedName>
    <definedName name="wrn.Print." localSheetId="11" hidden="1">{#N/A,#N/A,TRUE,"Cover";#N/A,#N/A,TRUE,"Stack";#N/A,#N/A,TRUE,"Cost S";#N/A,#N/A,TRUE,"Financing";#N/A,#N/A,TRUE," CF";#N/A,#N/A,TRUE,"CF Mnthly";#N/A,#N/A,TRUE,"CF assum";#N/A,#N/A,TRUE,"Unit Sales";#N/A,#N/A,TRUE,"REV";#N/A,#N/A,TRUE,"Bdgt Backup"}</definedName>
    <definedName name="wrn.Print." localSheetId="9" hidden="1">{#N/A,#N/A,TRUE,"Cover";#N/A,#N/A,TRUE,"Stack";#N/A,#N/A,TRUE,"Cost S";#N/A,#N/A,TRUE,"Financing";#N/A,#N/A,TRUE," CF";#N/A,#N/A,TRUE,"CF Mnthly";#N/A,#N/A,TRUE,"CF assum";#N/A,#N/A,TRUE,"Unit Sales";#N/A,#N/A,TRUE,"REV";#N/A,#N/A,TRUE,"Bdgt Backup"}</definedName>
    <definedName name="wrn.Print." localSheetId="5" hidden="1">{#N/A,#N/A,TRUE,"Cover";#N/A,#N/A,TRUE,"Stack";#N/A,#N/A,TRUE,"Cost S";#N/A,#N/A,TRUE,"Financing";#N/A,#N/A,TRUE," CF";#N/A,#N/A,TRUE,"CF Mnthly";#N/A,#N/A,TRUE,"CF assum";#N/A,#N/A,TRUE,"Unit Sales";#N/A,#N/A,TRUE,"REV";#N/A,#N/A,TRUE,"Bdgt Backup"}</definedName>
    <definedName name="wrn.Print." localSheetId="17" hidden="1">{#N/A,#N/A,TRUE,"Cover";#N/A,#N/A,TRUE,"Stack";#N/A,#N/A,TRUE,"Cost S";#N/A,#N/A,TRUE,"Financing";#N/A,#N/A,TRUE," CF";#N/A,#N/A,TRUE,"CF Mnthly";#N/A,#N/A,TRUE,"CF assum";#N/A,#N/A,TRUE,"Unit Sales";#N/A,#N/A,TRUE,"REV";#N/A,#N/A,TRUE,"Bdgt Backup"}</definedName>
    <definedName name="wrn.Print." localSheetId="15" hidden="1">{#N/A,#N/A,TRUE,"Cover";#N/A,#N/A,TRUE,"Stack";#N/A,#N/A,TRUE,"Cost S";#N/A,#N/A,TRUE,"Financing";#N/A,#N/A,TRUE," CF";#N/A,#N/A,TRUE,"CF Mnthly";#N/A,#N/A,TRUE,"CF assum";#N/A,#N/A,TRUE,"Unit Sales";#N/A,#N/A,TRUE,"REV";#N/A,#N/A,TRUE,"Bdgt Backup"}</definedName>
    <definedName name="wrn.Print." localSheetId="13" hidden="1">{#N/A,#N/A,TRUE,"Cover";#N/A,#N/A,TRUE,"Stack";#N/A,#N/A,TRUE,"Cost S";#N/A,#N/A,TRUE,"Financing";#N/A,#N/A,TRUE," CF";#N/A,#N/A,TRUE,"CF Mnthly";#N/A,#N/A,TRUE,"CF assum";#N/A,#N/A,TRUE,"Unit Sales";#N/A,#N/A,TRUE,"REV";#N/A,#N/A,TRUE,"Bdgt Backup"}</definedName>
    <definedName name="wrn.Print." localSheetId="18" hidden="1">{#N/A,#N/A,TRUE,"Cover";#N/A,#N/A,TRUE,"Stack";#N/A,#N/A,TRUE,"Cost S";#N/A,#N/A,TRUE,"Financing";#N/A,#N/A,TRUE," CF";#N/A,#N/A,TRUE,"CF Mnthly";#N/A,#N/A,TRUE,"CF assum";#N/A,#N/A,TRUE,"Unit Sales";#N/A,#N/A,TRUE,"REV";#N/A,#N/A,TRUE,"Bdgt Backup"}</definedName>
    <definedName name="wrn.Print." localSheetId="16" hidden="1">{#N/A,#N/A,TRUE,"Cover";#N/A,#N/A,TRUE,"Stack";#N/A,#N/A,TRUE,"Cost S";#N/A,#N/A,TRUE,"Financing";#N/A,#N/A,TRUE," CF";#N/A,#N/A,TRUE,"CF Mnthly";#N/A,#N/A,TRUE,"CF assum";#N/A,#N/A,TRUE,"Unit Sales";#N/A,#N/A,TRUE,"REV";#N/A,#N/A,TRUE,"Bdgt Backup"}</definedName>
    <definedName name="wrn.Print." localSheetId="20" hidden="1">{#N/A,#N/A,TRUE,"Cover";#N/A,#N/A,TRUE,"Stack";#N/A,#N/A,TRUE,"Cost S";#N/A,#N/A,TRUE,"Financing";#N/A,#N/A,TRUE," CF";#N/A,#N/A,TRUE,"CF Mnthly";#N/A,#N/A,TRUE,"CF assum";#N/A,#N/A,TRUE,"Unit Sales";#N/A,#N/A,TRUE,"REV";#N/A,#N/A,TRUE,"Bdgt Backup"}</definedName>
    <definedName name="wrn.Print." localSheetId="14" hidden="1">{#N/A,#N/A,TRUE,"Cover";#N/A,#N/A,TRUE,"Stack";#N/A,#N/A,TRUE,"Cost S";#N/A,#N/A,TRUE,"Financing";#N/A,#N/A,TRUE," CF";#N/A,#N/A,TRUE,"CF Mnthly";#N/A,#N/A,TRUE,"CF assum";#N/A,#N/A,TRUE,"Unit Sales";#N/A,#N/A,TRUE,"REV";#N/A,#N/A,TRUE,"Bdgt Backup"}</definedName>
    <definedName name="wrn.Print." hidden="1">{#N/A,#N/A,TRUE,"Cover";#N/A,#N/A,TRUE,"Stack";#N/A,#N/A,TRUE,"Cost S";#N/A,#N/A,TRUE,"Financing";#N/A,#N/A,TRUE," CF";#N/A,#N/A,TRUE,"CF Mnthly";#N/A,#N/A,TRUE,"CF assum";#N/A,#N/A,TRUE,"Unit Sales";#N/A,#N/A,TRUE,"REV";#N/A,#N/A,TRUE,"Bdgt Backup"}</definedName>
    <definedName name="wrn.Short._.Print." localSheetId="12" hidden="1">{#N/A,#N/A,FALSE,"Cover";#N/A,#N/A,FALSE,"Stack";#N/A,#N/A,FALSE,"Cost S";#N/A,#N/A,FALSE," CF";#N/A,#N/A,FALSE,"Investor"}</definedName>
    <definedName name="wrn.Short._.Print." localSheetId="10" hidden="1">{#N/A,#N/A,FALSE,"Cover";#N/A,#N/A,FALSE,"Stack";#N/A,#N/A,FALSE,"Cost S";#N/A,#N/A,FALSE," CF";#N/A,#N/A,FALSE,"Investor"}</definedName>
    <definedName name="wrn.Short._.Print." localSheetId="8" hidden="1">{#N/A,#N/A,FALSE,"Cover";#N/A,#N/A,FALSE,"Stack";#N/A,#N/A,FALSE,"Cost S";#N/A,#N/A,FALSE," CF";#N/A,#N/A,FALSE,"Investor"}</definedName>
    <definedName name="wrn.Short._.Print." localSheetId="6" hidden="1">{#N/A,#N/A,FALSE,"Cover";#N/A,#N/A,FALSE,"Stack";#N/A,#N/A,FALSE,"Cost S";#N/A,#N/A,FALSE," CF";#N/A,#N/A,FALSE,"Investor"}</definedName>
    <definedName name="wrn.Short._.Print." localSheetId="4" hidden="1">{#N/A,#N/A,FALSE,"Cover";#N/A,#N/A,FALSE,"Stack";#N/A,#N/A,FALSE,"Cost S";#N/A,#N/A,FALSE," CF";#N/A,#N/A,FALSE,"Investor"}</definedName>
    <definedName name="wrn.Short._.Print." localSheetId="1" hidden="1">{#N/A,#N/A,FALSE,"Cover";#N/A,#N/A,FALSE,"Stack";#N/A,#N/A,FALSE,"Cost S";#N/A,#N/A,FALSE," CF";#N/A,#N/A,FALSE,"Investor"}</definedName>
    <definedName name="wrn.Short._.Print." localSheetId="7" hidden="1">{#N/A,#N/A,FALSE,"Cover";#N/A,#N/A,FALSE,"Stack";#N/A,#N/A,FALSE,"Cost S";#N/A,#N/A,FALSE," CF";#N/A,#N/A,FALSE,"Investor"}</definedName>
    <definedName name="wrn.Short._.Print." localSheetId="3" hidden="1">{#N/A,#N/A,FALSE,"Cover";#N/A,#N/A,FALSE,"Stack";#N/A,#N/A,FALSE,"Cost S";#N/A,#N/A,FALSE," CF";#N/A,#N/A,FALSE,"Investor"}</definedName>
    <definedName name="wrn.Short._.Print." localSheetId="11" hidden="1">{#N/A,#N/A,FALSE,"Cover";#N/A,#N/A,FALSE,"Stack";#N/A,#N/A,FALSE,"Cost S";#N/A,#N/A,FALSE," CF";#N/A,#N/A,FALSE,"Investor"}</definedName>
    <definedName name="wrn.Short._.Print." localSheetId="9" hidden="1">{#N/A,#N/A,FALSE,"Cover";#N/A,#N/A,FALSE,"Stack";#N/A,#N/A,FALSE,"Cost S";#N/A,#N/A,FALSE," CF";#N/A,#N/A,FALSE,"Investor"}</definedName>
    <definedName name="wrn.Short._.Print." localSheetId="5" hidden="1">{#N/A,#N/A,FALSE,"Cover";#N/A,#N/A,FALSE,"Stack";#N/A,#N/A,FALSE,"Cost S";#N/A,#N/A,FALSE," CF";#N/A,#N/A,FALSE,"Investor"}</definedName>
    <definedName name="wrn.Short._.Print." localSheetId="17" hidden="1">{#N/A,#N/A,FALSE,"Cover";#N/A,#N/A,FALSE,"Stack";#N/A,#N/A,FALSE,"Cost S";#N/A,#N/A,FALSE," CF";#N/A,#N/A,FALSE,"Investor"}</definedName>
    <definedName name="wrn.Short._.Print." localSheetId="15" hidden="1">{#N/A,#N/A,FALSE,"Cover";#N/A,#N/A,FALSE,"Stack";#N/A,#N/A,FALSE,"Cost S";#N/A,#N/A,FALSE," CF";#N/A,#N/A,FALSE,"Investor"}</definedName>
    <definedName name="wrn.Short._.Print." localSheetId="13" hidden="1">{#N/A,#N/A,FALSE,"Cover";#N/A,#N/A,FALSE,"Stack";#N/A,#N/A,FALSE,"Cost S";#N/A,#N/A,FALSE," CF";#N/A,#N/A,FALSE,"Investor"}</definedName>
    <definedName name="wrn.Short._.Print." localSheetId="18" hidden="1">{#N/A,#N/A,FALSE,"Cover";#N/A,#N/A,FALSE,"Stack";#N/A,#N/A,FALSE,"Cost S";#N/A,#N/A,FALSE," CF";#N/A,#N/A,FALSE,"Investor"}</definedName>
    <definedName name="wrn.Short._.Print." localSheetId="16" hidden="1">{#N/A,#N/A,FALSE,"Cover";#N/A,#N/A,FALSE,"Stack";#N/A,#N/A,FALSE,"Cost S";#N/A,#N/A,FALSE," CF";#N/A,#N/A,FALSE,"Investor"}</definedName>
    <definedName name="wrn.Short._.Print." localSheetId="20" hidden="1">{#N/A,#N/A,FALSE,"Cover";#N/A,#N/A,FALSE,"Stack";#N/A,#N/A,FALSE,"Cost S";#N/A,#N/A,FALSE," CF";#N/A,#N/A,FALSE,"Investor"}</definedName>
    <definedName name="wrn.Short._.Print." localSheetId="14" hidden="1">{#N/A,#N/A,FALSE,"Cover";#N/A,#N/A,FALSE,"Stack";#N/A,#N/A,FALSE,"Cost S";#N/A,#N/A,FALSE," CF";#N/A,#N/A,FALSE,"Investor"}</definedName>
    <definedName name="wrn.Short._.Print." hidden="1">{#N/A,#N/A,FALSE,"Cover";#N/A,#N/A,FALSE,"Stack";#N/A,#N/A,FALSE,"Cost S";#N/A,#N/A,FALSE," CF";#N/A,#N/A,FALSE,"Investor"}</definedName>
    <definedName name="wrn.Summary._.results." localSheetId="12" hidden="1">{"key inputs",#N/A,TRUE,"Key Inputs";"key outputs",#N/A,TRUE,"Outputs";"Other inputs",#N/A,TRUE,"Other Inputs";"Revenue",#N/A,TRUE,"Rev"}</definedName>
    <definedName name="wrn.Summary._.results." localSheetId="10" hidden="1">{"key inputs",#N/A,TRUE,"Key Inputs";"key outputs",#N/A,TRUE,"Outputs";"Other inputs",#N/A,TRUE,"Other Inputs";"Revenue",#N/A,TRUE,"Rev"}</definedName>
    <definedName name="wrn.Summary._.results." localSheetId="8" hidden="1">{"key inputs",#N/A,TRUE,"Key Inputs";"key outputs",#N/A,TRUE,"Outputs";"Other inputs",#N/A,TRUE,"Other Inputs";"Revenue",#N/A,TRUE,"Rev"}</definedName>
    <definedName name="wrn.Summary._.results." localSheetId="6" hidden="1">{"key inputs",#N/A,TRUE,"Key Inputs";"key outputs",#N/A,TRUE,"Outputs";"Other inputs",#N/A,TRUE,"Other Inputs";"Revenue",#N/A,TRUE,"Rev"}</definedName>
    <definedName name="wrn.Summary._.results." localSheetId="4" hidden="1">{"key inputs",#N/A,TRUE,"Key Inputs";"key outputs",#N/A,TRUE,"Outputs";"Other inputs",#N/A,TRUE,"Other Inputs";"Revenue",#N/A,TRUE,"Rev"}</definedName>
    <definedName name="wrn.Summary._.results." localSheetId="1" hidden="1">{"key inputs",#N/A,TRUE,"Key Inputs";"key outputs",#N/A,TRUE,"Outputs";"Other inputs",#N/A,TRUE,"Other Inputs";"Revenue",#N/A,TRUE,"Rev"}</definedName>
    <definedName name="wrn.Summary._.results." localSheetId="7" hidden="1">{"key inputs",#N/A,TRUE,"Key Inputs";"key outputs",#N/A,TRUE,"Outputs";"Other inputs",#N/A,TRUE,"Other Inputs";"Revenue",#N/A,TRUE,"Rev"}</definedName>
    <definedName name="wrn.Summary._.results." localSheetId="3" hidden="1">{"key inputs",#N/A,TRUE,"Key Inputs";"key outputs",#N/A,TRUE,"Outputs";"Other inputs",#N/A,TRUE,"Other Inputs";"Revenue",#N/A,TRUE,"Rev"}</definedName>
    <definedName name="wrn.Summary._.results." localSheetId="11" hidden="1">{"key inputs",#N/A,TRUE,"Key Inputs";"key outputs",#N/A,TRUE,"Outputs";"Other inputs",#N/A,TRUE,"Other Inputs";"Revenue",#N/A,TRUE,"Rev"}</definedName>
    <definedName name="wrn.Summary._.results." localSheetId="9" hidden="1">{"key inputs",#N/A,TRUE,"Key Inputs";"key outputs",#N/A,TRUE,"Outputs";"Other inputs",#N/A,TRUE,"Other Inputs";"Revenue",#N/A,TRUE,"Rev"}</definedName>
    <definedName name="wrn.Summary._.results." localSheetId="5" hidden="1">{"key inputs",#N/A,TRUE,"Key Inputs";"key outputs",#N/A,TRUE,"Outputs";"Other inputs",#N/A,TRUE,"Other Inputs";"Revenue",#N/A,TRUE,"Rev"}</definedName>
    <definedName name="wrn.Summary._.results." localSheetId="17" hidden="1">{"key inputs",#N/A,TRUE,"Key Inputs";"key outputs",#N/A,TRUE,"Outputs";"Other inputs",#N/A,TRUE,"Other Inputs";"Revenue",#N/A,TRUE,"Rev"}</definedName>
    <definedName name="wrn.Summary._.results." localSheetId="15" hidden="1">{"key inputs",#N/A,TRUE,"Key Inputs";"key outputs",#N/A,TRUE,"Outputs";"Other inputs",#N/A,TRUE,"Other Inputs";"Revenue",#N/A,TRUE,"Rev"}</definedName>
    <definedName name="wrn.Summary._.results." localSheetId="13" hidden="1">{"key inputs",#N/A,TRUE,"Key Inputs";"key outputs",#N/A,TRUE,"Outputs";"Other inputs",#N/A,TRUE,"Other Inputs";"Revenue",#N/A,TRUE,"Rev"}</definedName>
    <definedName name="wrn.Summary._.results." localSheetId="18" hidden="1">{"key inputs",#N/A,TRUE,"Key Inputs";"key outputs",#N/A,TRUE,"Outputs";"Other inputs",#N/A,TRUE,"Other Inputs";"Revenue",#N/A,TRUE,"Rev"}</definedName>
    <definedName name="wrn.Summary._.results." localSheetId="16" hidden="1">{"key inputs",#N/A,TRUE,"Key Inputs";"key outputs",#N/A,TRUE,"Outputs";"Other inputs",#N/A,TRUE,"Other Inputs";"Revenue",#N/A,TRUE,"Rev"}</definedName>
    <definedName name="wrn.Summary._.results." localSheetId="20" hidden="1">{"key inputs",#N/A,TRUE,"Key Inputs";"key outputs",#N/A,TRUE,"Outputs";"Other inputs",#N/A,TRUE,"Other Inputs";"Revenue",#N/A,TRUE,"Rev"}</definedName>
    <definedName name="wrn.Summary._.results." localSheetId="14" hidden="1">{"key inputs",#N/A,TRUE,"Key Inputs";"key outputs",#N/A,TRUE,"Outputs";"Other inputs",#N/A,TRUE,"Other Inputs";"Revenue",#N/A,TRUE,"Rev"}</definedName>
    <definedName name="wrn.Summary._.results." hidden="1">{"key inputs",#N/A,TRUE,"Key Inputs";"key outputs",#N/A,TRUE,"Outputs";"Other inputs",#N/A,TRUE,"Other Inputs";"Revenue",#N/A,TRUE,"Rev"}</definedName>
    <definedName name="WS" localSheetId="12">#REF!</definedName>
    <definedName name="WS" localSheetId="10">#REF!</definedName>
    <definedName name="WS" localSheetId="8">#REF!</definedName>
    <definedName name="WS" localSheetId="6">#REF!</definedName>
    <definedName name="WS" localSheetId="4">#REF!</definedName>
    <definedName name="WS" localSheetId="1">#REF!</definedName>
    <definedName name="WS" localSheetId="2">#REF!</definedName>
    <definedName name="WS" localSheetId="7">#REF!</definedName>
    <definedName name="WS" localSheetId="3">#REF!</definedName>
    <definedName name="WS" localSheetId="11">#REF!</definedName>
    <definedName name="WS" localSheetId="9">#REF!</definedName>
    <definedName name="WS" localSheetId="5">#REF!</definedName>
    <definedName name="WS" localSheetId="17">#REF!</definedName>
    <definedName name="WS" localSheetId="15">#REF!</definedName>
    <definedName name="WS" localSheetId="13">#REF!</definedName>
    <definedName name="WS" localSheetId="18">#REF!</definedName>
    <definedName name="WS" localSheetId="16">#REF!</definedName>
    <definedName name="WS" localSheetId="20">#REF!</definedName>
    <definedName name="WS" localSheetId="14">#REF!</definedName>
    <definedName name="WS">#REF!</definedName>
    <definedName name="WS0" localSheetId="12">#REF!</definedName>
    <definedName name="WS0" localSheetId="10">#REF!</definedName>
    <definedName name="WS0" localSheetId="8">#REF!</definedName>
    <definedName name="WS0" localSheetId="6">#REF!</definedName>
    <definedName name="WS0" localSheetId="4">#REF!</definedName>
    <definedName name="WS0" localSheetId="1">#REF!</definedName>
    <definedName name="WS0" localSheetId="7">#REF!</definedName>
    <definedName name="WS0" localSheetId="3">#REF!</definedName>
    <definedName name="WS0" localSheetId="11">#REF!</definedName>
    <definedName name="WS0" localSheetId="9">#REF!</definedName>
    <definedName name="WS0" localSheetId="5">#REF!</definedName>
    <definedName name="WS0" localSheetId="17">#REF!</definedName>
    <definedName name="WS0" localSheetId="15">#REF!</definedName>
    <definedName name="WS0" localSheetId="13">#REF!</definedName>
    <definedName name="WS0" localSheetId="18">#REF!</definedName>
    <definedName name="WS0" localSheetId="16">#REF!</definedName>
    <definedName name="WS0" localSheetId="20">#REF!</definedName>
    <definedName name="WS0" localSheetId="14">#REF!</definedName>
    <definedName name="WS0">#REF!</definedName>
    <definedName name="xportrate">148</definedName>
    <definedName name="xxx" localSheetId="12">#REF!</definedName>
    <definedName name="xxx" localSheetId="10">#REF!</definedName>
    <definedName name="xxx" localSheetId="8">#REF!</definedName>
    <definedName name="xxx" localSheetId="6">#REF!</definedName>
    <definedName name="xxx" localSheetId="4">#REF!</definedName>
    <definedName name="xxx" localSheetId="1">#REF!</definedName>
    <definedName name="xxx" localSheetId="7">#REF!</definedName>
    <definedName name="xxx" localSheetId="3">#REF!</definedName>
    <definedName name="xxx" localSheetId="11">#REF!</definedName>
    <definedName name="xxx" localSheetId="9">#REF!</definedName>
    <definedName name="xxx" localSheetId="5">#REF!</definedName>
    <definedName name="xxx" localSheetId="17">#REF!</definedName>
    <definedName name="xxx" localSheetId="15">#REF!</definedName>
    <definedName name="xxx" localSheetId="13">#REF!</definedName>
    <definedName name="xxx" localSheetId="18">#REF!</definedName>
    <definedName name="xxx" localSheetId="16">#REF!</definedName>
    <definedName name="xxx" localSheetId="20">#REF!</definedName>
    <definedName name="xxx" localSheetId="14">#REF!</definedName>
    <definedName name="xxx">#REF!</definedName>
    <definedName name="YUOR" localSheetId="12">{#N/A,#N/A,FALSE,"AFR-ELC"}</definedName>
    <definedName name="YUOR" localSheetId="10">{#N/A,#N/A,FALSE,"AFR-ELC"}</definedName>
    <definedName name="YUOR" localSheetId="8">{#N/A,#N/A,FALSE,"AFR-ELC"}</definedName>
    <definedName name="YUOR" localSheetId="6">{#N/A,#N/A,FALSE,"AFR-ELC"}</definedName>
    <definedName name="YUOR" localSheetId="4">{#N/A,#N/A,FALSE,"AFR-ELC"}</definedName>
    <definedName name="YUOR" localSheetId="1">{#N/A,#N/A,FALSE,"AFR-ELC"}</definedName>
    <definedName name="YUOR" localSheetId="7">{#N/A,#N/A,FALSE,"AFR-ELC"}</definedName>
    <definedName name="YUOR" localSheetId="3">{#N/A,#N/A,FALSE,"AFR-ELC"}</definedName>
    <definedName name="YUOR" localSheetId="11">{#N/A,#N/A,FALSE,"AFR-ELC"}</definedName>
    <definedName name="YUOR" localSheetId="9">{#N/A,#N/A,FALSE,"AFR-ELC"}</definedName>
    <definedName name="YUOR" localSheetId="5">{#N/A,#N/A,FALSE,"AFR-ELC"}</definedName>
    <definedName name="YUOR" localSheetId="17">{#N/A,#N/A,FALSE,"AFR-ELC"}</definedName>
    <definedName name="YUOR" localSheetId="15">{#N/A,#N/A,FALSE,"AFR-ELC"}</definedName>
    <definedName name="YUOR" localSheetId="13">{#N/A,#N/A,FALSE,"AFR-ELC"}</definedName>
    <definedName name="YUOR" localSheetId="18">{#N/A,#N/A,FALSE,"AFR-ELC"}</definedName>
    <definedName name="YUOR" localSheetId="16">{#N/A,#N/A,FALSE,"AFR-ELC"}</definedName>
    <definedName name="YUOR" localSheetId="20">{#N/A,#N/A,FALSE,"AFR-ELC"}</definedName>
    <definedName name="YUOR" localSheetId="14">{#N/A,#N/A,FALSE,"AFR-ELC"}</definedName>
    <definedName name="YUOR">{#N/A,#N/A,FALSE,"AFR-ELC"}</definedName>
    <definedName name="Zenith" localSheetId="12" hidden="1">{#N/A,#N/A,FALSE,"Elect B.O.Q";#N/A,#N/A,FALSE,"Plumbing b.O.Q";#N/A,#N/A,FALSE,"Ac B.O.Q"}</definedName>
    <definedName name="Zenith" localSheetId="10" hidden="1">{#N/A,#N/A,FALSE,"Elect B.O.Q";#N/A,#N/A,FALSE,"Plumbing b.O.Q";#N/A,#N/A,FALSE,"Ac B.O.Q"}</definedName>
    <definedName name="Zenith" localSheetId="6" hidden="1">{#N/A,#N/A,FALSE,"Elect B.O.Q";#N/A,#N/A,FALSE,"Plumbing b.O.Q";#N/A,#N/A,FALSE,"Ac B.O.Q"}</definedName>
    <definedName name="Zenith" localSheetId="4" hidden="1">{#N/A,#N/A,FALSE,"Elect B.O.Q";#N/A,#N/A,FALSE,"Plumbing b.O.Q";#N/A,#N/A,FALSE,"Ac B.O.Q"}</definedName>
    <definedName name="Zenith" localSheetId="2" hidden="1">{#N/A,#N/A,FALSE,"Elect B.O.Q";#N/A,#N/A,FALSE,"Plumbing b.O.Q";#N/A,#N/A,FALSE,"Ac B.O.Q"}</definedName>
    <definedName name="Zenith" hidden="1">{#N/A,#N/A,FALSE,"Elect B.O.Q";#N/A,#N/A,FALSE,"Plumbing b.O.Q";#N/A,#N/A,FALSE,"Ac B.O.Q"}</definedName>
    <definedName name="Zinc_roof">[11]Prices!$B$579</definedName>
    <definedName name="ZX">"Best Answer Data - v1.5"</definedName>
    <definedName name="ZXA000" localSheetId="12">#REF!</definedName>
    <definedName name="ZXA000" localSheetId="10">#REF!</definedName>
    <definedName name="ZXA000" localSheetId="8">#REF!</definedName>
    <definedName name="ZXA000" localSheetId="6">#REF!</definedName>
    <definedName name="ZXA000" localSheetId="4">#REF!</definedName>
    <definedName name="ZXA000" localSheetId="1">#REF!</definedName>
    <definedName name="ZXA000" localSheetId="7">#REF!</definedName>
    <definedName name="ZXA000" localSheetId="3">#REF!</definedName>
    <definedName name="ZXA000" localSheetId="11">#REF!</definedName>
    <definedName name="ZXA000" localSheetId="9">#REF!</definedName>
    <definedName name="ZXA000" localSheetId="5">#REF!</definedName>
    <definedName name="ZXA000" localSheetId="17">#REF!</definedName>
    <definedName name="ZXA000" localSheetId="15">#REF!</definedName>
    <definedName name="ZXA000" localSheetId="13">#REF!</definedName>
    <definedName name="ZXA000" localSheetId="18">#REF!</definedName>
    <definedName name="ZXA000" localSheetId="16">#REF!</definedName>
    <definedName name="ZXA000" localSheetId="20">#REF!</definedName>
    <definedName name="ZXA000" localSheetId="14">#REF!</definedName>
    <definedName name="ZXA000">#REF!</definedName>
    <definedName name="ZXA001" localSheetId="12">#REF!</definedName>
    <definedName name="ZXA001" localSheetId="10">#REF!</definedName>
    <definedName name="ZXA001" localSheetId="8">#REF!</definedName>
    <definedName name="ZXA001" localSheetId="6">#REF!</definedName>
    <definedName name="ZXA001" localSheetId="4">#REF!</definedName>
    <definedName name="ZXA001" localSheetId="1">#REF!</definedName>
    <definedName name="ZXA001" localSheetId="7">#REF!</definedName>
    <definedName name="ZXA001" localSheetId="3">#REF!</definedName>
    <definedName name="ZXA001" localSheetId="11">#REF!</definedName>
    <definedName name="ZXA001" localSheetId="9">#REF!</definedName>
    <definedName name="ZXA001" localSheetId="5">#REF!</definedName>
    <definedName name="ZXA001" localSheetId="17">#REF!</definedName>
    <definedName name="ZXA001" localSheetId="15">#REF!</definedName>
    <definedName name="ZXA001" localSheetId="13">#REF!</definedName>
    <definedName name="ZXA001" localSheetId="18">#REF!</definedName>
    <definedName name="ZXA001" localSheetId="16">#REF!</definedName>
    <definedName name="ZXA001" localSheetId="20">#REF!</definedName>
    <definedName name="ZXA001" localSheetId="14">#REF!</definedName>
    <definedName name="ZXA001">#REF!</definedName>
    <definedName name="ZXC000" localSheetId="12">#REF!</definedName>
    <definedName name="ZXC000" localSheetId="10">#REF!</definedName>
    <definedName name="ZXC000" localSheetId="8">#REF!</definedName>
    <definedName name="ZXC000" localSheetId="6">#REF!</definedName>
    <definedName name="ZXC000" localSheetId="4">#REF!</definedName>
    <definedName name="ZXC000" localSheetId="1">#REF!</definedName>
    <definedName name="ZXC000" localSheetId="7">#REF!</definedName>
    <definedName name="ZXC000" localSheetId="3">#REF!</definedName>
    <definedName name="ZXC000" localSheetId="11">#REF!</definedName>
    <definedName name="ZXC000" localSheetId="9">#REF!</definedName>
    <definedName name="ZXC000" localSheetId="5">#REF!</definedName>
    <definedName name="ZXC000" localSheetId="17">#REF!</definedName>
    <definedName name="ZXC000" localSheetId="15">#REF!</definedName>
    <definedName name="ZXC000" localSheetId="13">#REF!</definedName>
    <definedName name="ZXC000" localSheetId="18">#REF!</definedName>
    <definedName name="ZXC000" localSheetId="16">#REF!</definedName>
    <definedName name="ZXC000" localSheetId="20">#REF!</definedName>
    <definedName name="ZXC000" localSheetId="14">#REF!</definedName>
    <definedName name="ZXC000">#REF!</definedName>
    <definedName name="ZXC001" localSheetId="12">#REF!</definedName>
    <definedName name="ZXC001" localSheetId="10">#REF!</definedName>
    <definedName name="ZXC001" localSheetId="4">#REF!</definedName>
    <definedName name="ZXC001">#REF!</definedName>
    <definedName name="ZXC002" localSheetId="12">#REF!</definedName>
    <definedName name="ZXC002" localSheetId="10">#REF!</definedName>
    <definedName name="ZXC002" localSheetId="4">#REF!</definedName>
    <definedName name="ZXC002">#REF!</definedName>
    <definedName name="ZXC003" localSheetId="12">#REF!</definedName>
    <definedName name="ZXC003" localSheetId="10">#REF!</definedName>
    <definedName name="ZXC003" localSheetId="4">#REF!</definedName>
    <definedName name="ZXC003">#REF!</definedName>
    <definedName name="ZXC004" localSheetId="12">#REF!</definedName>
    <definedName name="ZXC004" localSheetId="10">#REF!</definedName>
    <definedName name="ZXC004" localSheetId="4">#REF!</definedName>
    <definedName name="ZXC004">#REF!</definedName>
    <definedName name="ZXC005" localSheetId="12">#REF!</definedName>
    <definedName name="ZXC005" localSheetId="10">#REF!</definedName>
    <definedName name="ZXC005" localSheetId="4">#REF!</definedName>
    <definedName name="ZXC005">#REF!</definedName>
    <definedName name="ZXC006" localSheetId="12">#REF!</definedName>
    <definedName name="ZXC006" localSheetId="10">#REF!</definedName>
    <definedName name="ZXC006" localSheetId="4">#REF!</definedName>
    <definedName name="ZXC006">#REF!</definedName>
    <definedName name="ZXC007" localSheetId="12">#REF!</definedName>
    <definedName name="ZXC007" localSheetId="10">#REF!</definedName>
    <definedName name="ZXC007" localSheetId="4">#REF!</definedName>
    <definedName name="ZXC007">#REF!</definedName>
    <definedName name="ZXC008" localSheetId="12">#REF!</definedName>
    <definedName name="ZXC008" localSheetId="10">#REF!</definedName>
    <definedName name="ZXC008" localSheetId="4">#REF!</definedName>
    <definedName name="ZXC008">#REF!</definedName>
    <definedName name="ZXJ000" localSheetId="12">#REF!</definedName>
    <definedName name="ZXJ000" localSheetId="10">#REF!</definedName>
    <definedName name="ZXJ000" localSheetId="4">#REF!</definedName>
    <definedName name="ZXJ000">#REF!</definedName>
    <definedName name="ZXJ001" localSheetId="12">#REF!</definedName>
    <definedName name="ZXJ001" localSheetId="10">#REF!</definedName>
    <definedName name="ZXJ001" localSheetId="4">#REF!</definedName>
    <definedName name="ZXJ00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8" i="29" l="1"/>
  <c r="E266" i="28"/>
  <c r="F862" i="32"/>
  <c r="F826" i="32"/>
  <c r="E762" i="32"/>
  <c r="E400" i="32"/>
  <c r="E226" i="32"/>
  <c r="E66" i="32"/>
  <c r="E42" i="32"/>
  <c r="F865" i="31"/>
  <c r="F829" i="31"/>
  <c r="E765" i="31"/>
  <c r="E771" i="6"/>
  <c r="E759" i="6"/>
  <c r="C777" i="26"/>
  <c r="E273" i="25"/>
  <c r="E46" i="33"/>
  <c r="D44" i="33"/>
  <c r="D41" i="33"/>
  <c r="D17" i="33"/>
  <c r="D26" i="33"/>
  <c r="E27" i="33" s="1"/>
  <c r="E30" i="33"/>
  <c r="E32" i="33" s="1"/>
  <c r="F38" i="14" s="1"/>
  <c r="F41" i="14"/>
  <c r="E273" i="31"/>
  <c r="F875" i="6"/>
  <c r="G875" i="6" s="1"/>
  <c r="F838" i="6"/>
  <c r="G838" i="6" s="1"/>
  <c r="G847" i="26"/>
  <c r="E273" i="6"/>
  <c r="E696" i="25"/>
  <c r="E785" i="26"/>
  <c r="E766" i="26"/>
  <c r="E789" i="26"/>
  <c r="E274" i="26"/>
  <c r="E780" i="25"/>
  <c r="E761" i="25"/>
  <c r="E123" i="25"/>
  <c r="C773" i="32" l="1"/>
  <c r="C804" i="32" s="1"/>
  <c r="C770" i="32"/>
  <c r="C767" i="32"/>
  <c r="C765" i="32"/>
  <c r="C763" i="32"/>
  <c r="C774" i="32" s="1"/>
  <c r="C540" i="32"/>
  <c r="H14" i="32"/>
  <c r="H11" i="32"/>
  <c r="H13" i="32"/>
  <c r="H15" i="32"/>
  <c r="H16" i="32"/>
  <c r="H17" i="32"/>
  <c r="H21" i="32"/>
  <c r="H36" i="32"/>
  <c r="H37" i="32"/>
  <c r="H42" i="32"/>
  <c r="H43" i="32"/>
  <c r="H49" i="32"/>
  <c r="H51" i="32"/>
  <c r="H53" i="32"/>
  <c r="H58" i="32"/>
  <c r="H59" i="32"/>
  <c r="H62" i="32"/>
  <c r="H66" i="32"/>
  <c r="H80" i="32"/>
  <c r="H85" i="32"/>
  <c r="H123" i="32"/>
  <c r="H125" i="32"/>
  <c r="H135" i="32"/>
  <c r="H137" i="32"/>
  <c r="H141" i="32"/>
  <c r="H147" i="32"/>
  <c r="H149" i="32"/>
  <c r="H168" i="32"/>
  <c r="H181" i="32"/>
  <c r="H183" i="32"/>
  <c r="H232" i="32"/>
  <c r="H234" i="32"/>
  <c r="H236" i="32"/>
  <c r="H255" i="32"/>
  <c r="H257" i="32"/>
  <c r="H259" i="32"/>
  <c r="H350" i="32"/>
  <c r="H352" i="32"/>
  <c r="H362" i="32"/>
  <c r="H364" i="32"/>
  <c r="H366" i="32"/>
  <c r="H371" i="32"/>
  <c r="H373" i="32"/>
  <c r="H389" i="32"/>
  <c r="H398" i="32"/>
  <c r="H400" i="32"/>
  <c r="H402" i="32"/>
  <c r="H404" i="32"/>
  <c r="H406" i="32"/>
  <c r="H412" i="32"/>
  <c r="H420" i="32"/>
  <c r="H426" i="32"/>
  <c r="H446" i="32"/>
  <c r="H482" i="32"/>
  <c r="H492" i="32"/>
  <c r="H498" i="32"/>
  <c r="H500" i="32"/>
  <c r="H506" i="32"/>
  <c r="H527" i="32"/>
  <c r="H529" i="32"/>
  <c r="H531" i="32"/>
  <c r="H533" i="32"/>
  <c r="H535" i="32"/>
  <c r="H553" i="32"/>
  <c r="H555" i="32"/>
  <c r="H573" i="32"/>
  <c r="H575" i="32"/>
  <c r="H581" i="32"/>
  <c r="H587" i="32"/>
  <c r="H589" i="32"/>
  <c r="H595" i="32"/>
  <c r="H618" i="32"/>
  <c r="H622" i="32"/>
  <c r="H657" i="32"/>
  <c r="H658" i="32"/>
  <c r="H663" i="32"/>
  <c r="H667" i="32"/>
  <c r="H668" i="32"/>
  <c r="H671" i="32"/>
  <c r="H677" i="32"/>
  <c r="H691" i="32"/>
  <c r="H692" i="32"/>
  <c r="H704" i="32"/>
  <c r="H705" i="32"/>
  <c r="H714" i="32"/>
  <c r="H760" i="32"/>
  <c r="H762" i="32"/>
  <c r="H764" i="32"/>
  <c r="H766" i="32"/>
  <c r="H769" i="32"/>
  <c r="H775" i="32"/>
  <c r="H780" i="32"/>
  <c r="H808" i="32"/>
  <c r="H10" i="32"/>
  <c r="H9" i="32"/>
  <c r="G784" i="32"/>
  <c r="H784" i="32" s="1"/>
  <c r="G781" i="32"/>
  <c r="G785" i="32" s="1"/>
  <c r="H785" i="32" s="1"/>
  <c r="G773" i="32"/>
  <c r="H773" i="32" s="1"/>
  <c r="G770" i="32"/>
  <c r="H770" i="32" s="1"/>
  <c r="G767" i="32"/>
  <c r="H767" i="32" s="1"/>
  <c r="G765" i="32"/>
  <c r="G763" i="32"/>
  <c r="H763" i="32" s="1"/>
  <c r="G730" i="32"/>
  <c r="G737" i="32" s="1"/>
  <c r="H737" i="32" s="1"/>
  <c r="G712" i="32"/>
  <c r="G729" i="32" s="1"/>
  <c r="G736" i="32" s="1"/>
  <c r="H736" i="32" s="1"/>
  <c r="G708" i="32"/>
  <c r="H708" i="32" s="1"/>
  <c r="G697" i="32"/>
  <c r="G701" i="32" s="1"/>
  <c r="H701" i="32" s="1"/>
  <c r="G696" i="32"/>
  <c r="G700" i="32" s="1"/>
  <c r="H700" i="32" s="1"/>
  <c r="G548" i="32"/>
  <c r="H548" i="32" s="1"/>
  <c r="G546" i="32"/>
  <c r="H546" i="32" s="1"/>
  <c r="G544" i="32"/>
  <c r="H544" i="32" s="1"/>
  <c r="G542" i="32"/>
  <c r="H542" i="32" s="1"/>
  <c r="G540" i="32"/>
  <c r="H540" i="32" s="1"/>
  <c r="G453" i="32"/>
  <c r="H453" i="32" s="1"/>
  <c r="G444" i="32"/>
  <c r="H444" i="32" s="1"/>
  <c r="G418" i="32"/>
  <c r="G451" i="32" s="1"/>
  <c r="H451" i="32" s="1"/>
  <c r="G283" i="32"/>
  <c r="G304" i="32" s="1"/>
  <c r="G314" i="32" s="1"/>
  <c r="H314" i="32" s="1"/>
  <c r="G271" i="32"/>
  <c r="H271" i="32" s="1"/>
  <c r="G269" i="32"/>
  <c r="H269" i="32" s="1"/>
  <c r="G267" i="32"/>
  <c r="H267" i="32" s="1"/>
  <c r="G261" i="32"/>
  <c r="G273" i="32" s="1"/>
  <c r="H273" i="32" s="1"/>
  <c r="G230" i="32"/>
  <c r="H230" i="32" s="1"/>
  <c r="G228" i="32"/>
  <c r="G281" i="32" s="1"/>
  <c r="G302" i="32" s="1"/>
  <c r="G312" i="32" s="1"/>
  <c r="H312" i="32" s="1"/>
  <c r="G226" i="32"/>
  <c r="G279" i="32" s="1"/>
  <c r="G300" i="32" s="1"/>
  <c r="G310" i="32" s="1"/>
  <c r="H310" i="32" s="1"/>
  <c r="G219" i="32"/>
  <c r="H219" i="32" s="1"/>
  <c r="G213" i="32"/>
  <c r="H213" i="32" s="1"/>
  <c r="G175" i="32"/>
  <c r="H175" i="32" s="1"/>
  <c r="G90" i="32"/>
  <c r="G89" i="32"/>
  <c r="F884" i="32"/>
  <c r="E917" i="32" s="1"/>
  <c r="F855" i="32"/>
  <c r="E915" i="32" s="1"/>
  <c r="F808" i="32"/>
  <c r="E784" i="32"/>
  <c r="F784" i="32" s="1"/>
  <c r="E781" i="32"/>
  <c r="F781" i="32" s="1"/>
  <c r="F780" i="32"/>
  <c r="E774" i="32"/>
  <c r="E785" i="32" s="1"/>
  <c r="F785" i="32" s="1"/>
  <c r="F773" i="32"/>
  <c r="E769" i="32"/>
  <c r="E770" i="32" s="1"/>
  <c r="F770" i="32" s="1"/>
  <c r="E766" i="32"/>
  <c r="E767" i="32" s="1"/>
  <c r="F767" i="32" s="1"/>
  <c r="E765" i="32"/>
  <c r="F765" i="32" s="1"/>
  <c r="F764" i="32"/>
  <c r="E763" i="32"/>
  <c r="F762" i="32"/>
  <c r="F760" i="32"/>
  <c r="F740" i="32"/>
  <c r="F738" i="32"/>
  <c r="E736" i="32"/>
  <c r="E739" i="32" s="1"/>
  <c r="F739" i="32" s="1"/>
  <c r="E732" i="32"/>
  <c r="F732" i="32" s="1"/>
  <c r="F737" i="32"/>
  <c r="E729" i="32"/>
  <c r="F726" i="32"/>
  <c r="F723" i="32"/>
  <c r="E708" i="32"/>
  <c r="F708" i="32" s="1"/>
  <c r="E705" i="32"/>
  <c r="F705" i="32" s="1"/>
  <c r="E701" i="32"/>
  <c r="F701" i="32" s="1"/>
  <c r="E700" i="32"/>
  <c r="E811" i="32" s="1"/>
  <c r="E697" i="32"/>
  <c r="F697" i="32" s="1"/>
  <c r="E696" i="32"/>
  <c r="F677" i="32"/>
  <c r="F672" i="32"/>
  <c r="F671" i="32"/>
  <c r="F668" i="32"/>
  <c r="F667" i="32"/>
  <c r="F663" i="32"/>
  <c r="E658" i="32"/>
  <c r="F658" i="32" s="1"/>
  <c r="E657" i="32"/>
  <c r="F657" i="32" s="1"/>
  <c r="E656" i="32"/>
  <c r="F656" i="32" s="1"/>
  <c r="F622" i="32"/>
  <c r="F620" i="32"/>
  <c r="F618" i="32"/>
  <c r="E575" i="32"/>
  <c r="F575" i="32" s="1"/>
  <c r="F555" i="32"/>
  <c r="F553" i="32"/>
  <c r="F548" i="32"/>
  <c r="F546" i="32"/>
  <c r="F544" i="32"/>
  <c r="F542" i="32"/>
  <c r="F540" i="32"/>
  <c r="F535" i="32"/>
  <c r="F533" i="32"/>
  <c r="F531" i="32"/>
  <c r="F529" i="32"/>
  <c r="F527" i="32"/>
  <c r="F487" i="32"/>
  <c r="F484" i="32"/>
  <c r="E482" i="32"/>
  <c r="E573" i="32" s="1"/>
  <c r="F573" i="32" s="1"/>
  <c r="E453" i="32"/>
  <c r="F453" i="32" s="1"/>
  <c r="F446" i="32"/>
  <c r="F444" i="32"/>
  <c r="F440" i="32"/>
  <c r="E438" i="32"/>
  <c r="F438" i="32" s="1"/>
  <c r="F436" i="32"/>
  <c r="F426" i="32"/>
  <c r="E418" i="32"/>
  <c r="E691" i="32" s="1"/>
  <c r="F451" i="32"/>
  <c r="F412" i="32"/>
  <c r="F406" i="32"/>
  <c r="E402" i="32"/>
  <c r="E404" i="32" s="1"/>
  <c r="F404" i="32" s="1"/>
  <c r="F400" i="32"/>
  <c r="F398" i="32"/>
  <c r="F389" i="32"/>
  <c r="E312" i="32"/>
  <c r="E314" i="32" s="1"/>
  <c r="E302" i="32"/>
  <c r="E304" i="32" s="1"/>
  <c r="E281" i="32"/>
  <c r="E283" i="32" s="1"/>
  <c r="E273" i="32"/>
  <c r="F271" i="32"/>
  <c r="F269" i="32"/>
  <c r="F267" i="32"/>
  <c r="E261" i="32"/>
  <c r="E259" i="32"/>
  <c r="F259" i="32" s="1"/>
  <c r="E257" i="32"/>
  <c r="F257" i="32" s="1"/>
  <c r="F255" i="32"/>
  <c r="E228" i="32"/>
  <c r="E232" i="32" s="1"/>
  <c r="F232" i="32" s="1"/>
  <c r="E181" i="32"/>
  <c r="E133" i="32"/>
  <c r="E175" i="32" s="1"/>
  <c r="E219" i="32" s="1"/>
  <c r="E362" i="32" s="1"/>
  <c r="E123" i="32"/>
  <c r="F123" i="32" s="1"/>
  <c r="E90" i="32"/>
  <c r="F90" i="32" s="1"/>
  <c r="F89" i="32"/>
  <c r="F85" i="32"/>
  <c r="F80" i="32"/>
  <c r="F66" i="32"/>
  <c r="F62" i="32"/>
  <c r="E59" i="32"/>
  <c r="F59" i="32" s="1"/>
  <c r="F58" i="32"/>
  <c r="E51" i="32"/>
  <c r="E52" i="32" s="1"/>
  <c r="E50" i="32"/>
  <c r="F50" i="32" s="1"/>
  <c r="F49" i="32"/>
  <c r="E43" i="32"/>
  <c r="F43" i="32" s="1"/>
  <c r="F42" i="32"/>
  <c r="E37" i="32"/>
  <c r="F37" i="32" s="1"/>
  <c r="F36" i="32"/>
  <c r="F21" i="32"/>
  <c r="E18" i="32"/>
  <c r="F18" i="32" s="1"/>
  <c r="F17" i="32"/>
  <c r="F16" i="32"/>
  <c r="F15" i="32"/>
  <c r="F14" i="32"/>
  <c r="E13" i="32"/>
  <c r="F13" i="32" s="1"/>
  <c r="E12" i="32"/>
  <c r="F12" i="32" s="1"/>
  <c r="E11" i="32"/>
  <c r="F11" i="32" s="1"/>
  <c r="F10" i="32"/>
  <c r="F9" i="32"/>
  <c r="C711" i="31"/>
  <c r="E661" i="31"/>
  <c r="E660" i="31"/>
  <c r="E659" i="31"/>
  <c r="C540" i="31"/>
  <c r="F540" i="31" s="1"/>
  <c r="F526" i="31"/>
  <c r="C453" i="31"/>
  <c r="C261" i="31"/>
  <c r="C230" i="31"/>
  <c r="C228" i="31"/>
  <c r="C226" i="31"/>
  <c r="C219" i="31"/>
  <c r="C213" i="31"/>
  <c r="C811" i="32" l="1"/>
  <c r="F804" i="32"/>
  <c r="F763" i="32"/>
  <c r="F51" i="32"/>
  <c r="F774" i="32"/>
  <c r="H300" i="32"/>
  <c r="F563" i="32"/>
  <c r="E901" i="32" s="1"/>
  <c r="F647" i="32"/>
  <c r="E905" i="32" s="1"/>
  <c r="F700" i="32"/>
  <c r="F769" i="32"/>
  <c r="G774" i="32"/>
  <c r="H774" i="32" s="1"/>
  <c r="H729" i="32"/>
  <c r="H712" i="32"/>
  <c r="H697" i="32"/>
  <c r="H418" i="32"/>
  <c r="E168" i="32"/>
  <c r="F168" i="32" s="1"/>
  <c r="F455" i="32"/>
  <c r="E464" i="32" s="1"/>
  <c r="H765" i="32"/>
  <c r="H304" i="32"/>
  <c r="H281" i="32"/>
  <c r="H261" i="32"/>
  <c r="H228" i="32"/>
  <c r="F133" i="32"/>
  <c r="F147" i="32"/>
  <c r="G804" i="32"/>
  <c r="H781" i="32"/>
  <c r="H730" i="32"/>
  <c r="H696" i="32"/>
  <c r="H302" i="32"/>
  <c r="H283" i="32"/>
  <c r="H279" i="32"/>
  <c r="H226" i="32"/>
  <c r="F681" i="32"/>
  <c r="E907" i="32" s="1"/>
  <c r="E53" i="32"/>
  <c r="F53" i="32" s="1"/>
  <c r="F52" i="32"/>
  <c r="E498" i="32"/>
  <c r="E364" i="32"/>
  <c r="E358" i="32"/>
  <c r="F362" i="32"/>
  <c r="E371" i="32"/>
  <c r="E183" i="32"/>
  <c r="F181" i="32"/>
  <c r="F279" i="32"/>
  <c r="F31" i="32"/>
  <c r="E97" i="32" s="1"/>
  <c r="F93" i="32"/>
  <c r="E101" i="32" s="1"/>
  <c r="F175" i="32"/>
  <c r="F219" i="32"/>
  <c r="F226" i="32"/>
  <c r="E692" i="32"/>
  <c r="E712" i="32"/>
  <c r="F691" i="32"/>
  <c r="E492" i="32"/>
  <c r="E350" i="32"/>
  <c r="F350" i="32" s="1"/>
  <c r="E125" i="32"/>
  <c r="E135" i="32"/>
  <c r="E139" i="32"/>
  <c r="F139" i="32" s="1"/>
  <c r="E149" i="32"/>
  <c r="F149" i="32" s="1"/>
  <c r="E213" i="32"/>
  <c r="F213" i="32" s="1"/>
  <c r="F281" i="32"/>
  <c r="F228" i="32"/>
  <c r="E230" i="32"/>
  <c r="F230" i="32" s="1"/>
  <c r="F273" i="32"/>
  <c r="F261" i="32"/>
  <c r="F314" i="32"/>
  <c r="F304" i="32"/>
  <c r="F729" i="32"/>
  <c r="F811" i="32"/>
  <c r="F283" i="32"/>
  <c r="F402" i="32"/>
  <c r="E420" i="32"/>
  <c r="F420" i="32" s="1"/>
  <c r="F482" i="32"/>
  <c r="E731" i="32"/>
  <c r="F731" i="32" s="1"/>
  <c r="F736" i="32"/>
  <c r="F418" i="32"/>
  <c r="F696" i="32"/>
  <c r="F704" i="32"/>
  <c r="F730" i="32"/>
  <c r="F766" i="32"/>
  <c r="F742" i="32" l="1"/>
  <c r="E748" i="32" s="1"/>
  <c r="F428" i="32"/>
  <c r="E462" i="32" s="1"/>
  <c r="F791" i="32"/>
  <c r="E911" i="32" s="1"/>
  <c r="G811" i="32"/>
  <c r="H811" i="32" s="1"/>
  <c r="H804" i="32"/>
  <c r="F292" i="32"/>
  <c r="E322" i="32" s="1"/>
  <c r="F72" i="32"/>
  <c r="E99" i="32" s="1"/>
  <c r="F111" i="32" s="1"/>
  <c r="E889" i="32" s="1"/>
  <c r="E137" i="32"/>
  <c r="F135" i="32"/>
  <c r="F712" i="32"/>
  <c r="E801" i="32"/>
  <c r="F801" i="32" s="1"/>
  <c r="F820" i="32" s="1"/>
  <c r="E913" i="32" s="1"/>
  <c r="E713" i="32"/>
  <c r="F713" i="32" s="1"/>
  <c r="E506" i="32"/>
  <c r="F371" i="32"/>
  <c r="E360" i="32"/>
  <c r="F360" i="32" s="1"/>
  <c r="F358" i="32"/>
  <c r="E587" i="32"/>
  <c r="E500" i="32"/>
  <c r="F500" i="32" s="1"/>
  <c r="F498" i="32"/>
  <c r="F312" i="32"/>
  <c r="F302" i="32"/>
  <c r="E352" i="32"/>
  <c r="F352" i="32" s="1"/>
  <c r="E127" i="32"/>
  <c r="F127" i="32" s="1"/>
  <c r="F125" i="32"/>
  <c r="E581" i="32"/>
  <c r="F581" i="32" s="1"/>
  <c r="F492" i="32"/>
  <c r="E714" i="32"/>
  <c r="F714" i="32" s="1"/>
  <c r="F692" i="32"/>
  <c r="F300" i="32"/>
  <c r="F310" i="32"/>
  <c r="E373" i="32"/>
  <c r="F373" i="32" s="1"/>
  <c r="E234" i="32"/>
  <c r="F183" i="32"/>
  <c r="F201" i="32" s="1"/>
  <c r="E893" i="32" s="1"/>
  <c r="E366" i="32"/>
  <c r="F366" i="32" s="1"/>
  <c r="F364" i="32"/>
  <c r="F717" i="32" l="1"/>
  <c r="E909" i="32" s="1"/>
  <c r="F383" i="32"/>
  <c r="E460" i="32" s="1"/>
  <c r="F472" i="32" s="1"/>
  <c r="E897" i="32" s="1"/>
  <c r="F317" i="32"/>
  <c r="E324" i="32" s="1"/>
  <c r="E141" i="32"/>
  <c r="F141" i="32" s="1"/>
  <c r="F137" i="32"/>
  <c r="E236" i="32"/>
  <c r="F236" i="32" s="1"/>
  <c r="F234" i="32"/>
  <c r="E589" i="32"/>
  <c r="F589" i="32" s="1"/>
  <c r="F587" i="32"/>
  <c r="E595" i="32"/>
  <c r="F595" i="32" s="1"/>
  <c r="F506" i="32"/>
  <c r="F516" i="32" s="1"/>
  <c r="E899" i="32" s="1"/>
  <c r="E746" i="32" l="1"/>
  <c r="F753" i="32" s="1"/>
  <c r="F608" i="32"/>
  <c r="E903" i="32" s="1"/>
  <c r="F156" i="32"/>
  <c r="E891" i="32" s="1"/>
  <c r="F247" i="32"/>
  <c r="E320" i="32" s="1"/>
  <c r="F337" i="32" s="1"/>
  <c r="E895" i="32" s="1"/>
  <c r="F920" i="32" l="1"/>
  <c r="F921" i="32" s="1"/>
  <c r="F922" i="32" s="1"/>
  <c r="F923" i="32" l="1"/>
  <c r="F924" i="32" s="1"/>
  <c r="F925" i="32" l="1"/>
  <c r="F926" i="32" s="1"/>
  <c r="E930" i="32" l="1"/>
  <c r="D24" i="14"/>
  <c r="E24" i="14" s="1"/>
  <c r="F24" i="14" s="1"/>
  <c r="F887" i="31"/>
  <c r="E920" i="31" s="1"/>
  <c r="F858" i="31"/>
  <c r="E918" i="31" s="1"/>
  <c r="F811" i="31"/>
  <c r="E787" i="31"/>
  <c r="C787" i="31"/>
  <c r="E784" i="31"/>
  <c r="C784" i="31"/>
  <c r="C788" i="31" s="1"/>
  <c r="F783" i="31"/>
  <c r="E777" i="31"/>
  <c r="C776" i="31"/>
  <c r="F776" i="31" s="1"/>
  <c r="C773" i="31"/>
  <c r="E772" i="31"/>
  <c r="C770" i="31"/>
  <c r="E769" i="31"/>
  <c r="E770" i="31" s="1"/>
  <c r="E768" i="31"/>
  <c r="C768" i="31"/>
  <c r="F767" i="31"/>
  <c r="E766" i="31"/>
  <c r="C766" i="31"/>
  <c r="F765" i="31"/>
  <c r="F763" i="31"/>
  <c r="F743" i="31"/>
  <c r="F741" i="31"/>
  <c r="E739" i="31"/>
  <c r="E735" i="31"/>
  <c r="F735" i="31" s="1"/>
  <c r="C733" i="31"/>
  <c r="C740" i="31" s="1"/>
  <c r="F740" i="31" s="1"/>
  <c r="E732" i="31"/>
  <c r="E734" i="31" s="1"/>
  <c r="F734" i="31" s="1"/>
  <c r="F729" i="31"/>
  <c r="F726" i="31"/>
  <c r="C715" i="31"/>
  <c r="C732" i="31" s="1"/>
  <c r="E711" i="31"/>
  <c r="C699" i="31"/>
  <c r="E708" i="31"/>
  <c r="F708" i="31" s="1"/>
  <c r="E704" i="31"/>
  <c r="E703" i="31"/>
  <c r="E814" i="31" s="1"/>
  <c r="E700" i="31"/>
  <c r="C700" i="31"/>
  <c r="C704" i="31" s="1"/>
  <c r="E699" i="31"/>
  <c r="F680" i="31"/>
  <c r="F675" i="31"/>
  <c r="F674" i="31"/>
  <c r="F671" i="31"/>
  <c r="F670" i="31"/>
  <c r="F666" i="31"/>
  <c r="F661" i="31"/>
  <c r="F660" i="31"/>
  <c r="F659" i="31"/>
  <c r="E658" i="31"/>
  <c r="F658" i="31" s="1"/>
  <c r="F624" i="31"/>
  <c r="F622" i="31"/>
  <c r="F620" i="31"/>
  <c r="E577" i="31"/>
  <c r="F577" i="31" s="1"/>
  <c r="F557" i="31"/>
  <c r="F555" i="31"/>
  <c r="C550" i="31"/>
  <c r="F550" i="31" s="1"/>
  <c r="C548" i="31"/>
  <c r="F548" i="31" s="1"/>
  <c r="C546" i="31"/>
  <c r="F546" i="31" s="1"/>
  <c r="C544" i="31"/>
  <c r="F544" i="31" s="1"/>
  <c r="C542" i="31"/>
  <c r="F542" i="31" s="1"/>
  <c r="F536" i="31"/>
  <c r="F534" i="31"/>
  <c r="F532" i="31"/>
  <c r="F530" i="31"/>
  <c r="F528" i="31"/>
  <c r="F487" i="31"/>
  <c r="F484" i="31"/>
  <c r="E482" i="31"/>
  <c r="E575" i="31" s="1"/>
  <c r="F575" i="31" s="1"/>
  <c r="E453" i="31"/>
  <c r="F453" i="31" s="1"/>
  <c r="F446" i="31"/>
  <c r="C444" i="31"/>
  <c r="F444" i="31" s="1"/>
  <c r="F440" i="31"/>
  <c r="E438" i="31"/>
  <c r="F438" i="31" s="1"/>
  <c r="F436" i="31"/>
  <c r="F426" i="31"/>
  <c r="E418" i="31"/>
  <c r="E420" i="31" s="1"/>
  <c r="F420" i="31" s="1"/>
  <c r="C418" i="31"/>
  <c r="C451" i="31" s="1"/>
  <c r="F451" i="31" s="1"/>
  <c r="F412" i="31"/>
  <c r="F406" i="31"/>
  <c r="E402" i="31"/>
  <c r="F402" i="31" s="1"/>
  <c r="F400" i="31"/>
  <c r="F398" i="31"/>
  <c r="F389" i="31"/>
  <c r="E312" i="31"/>
  <c r="E314" i="31" s="1"/>
  <c r="E302" i="31"/>
  <c r="E304" i="31" s="1"/>
  <c r="C283" i="31"/>
  <c r="E281" i="31"/>
  <c r="E283" i="31" s="1"/>
  <c r="C281" i="31"/>
  <c r="C302" i="31" s="1"/>
  <c r="C279" i="31"/>
  <c r="C273" i="31"/>
  <c r="C271" i="31"/>
  <c r="F271" i="31" s="1"/>
  <c r="C269" i="31"/>
  <c r="F269" i="31" s="1"/>
  <c r="C267" i="31"/>
  <c r="F267" i="31" s="1"/>
  <c r="E261" i="31"/>
  <c r="F261" i="31" s="1"/>
  <c r="E259" i="31"/>
  <c r="F259" i="31" s="1"/>
  <c r="E257" i="31"/>
  <c r="F257" i="31" s="1"/>
  <c r="F255" i="31"/>
  <c r="E226" i="31"/>
  <c r="F226" i="31" s="1"/>
  <c r="C175" i="31"/>
  <c r="E147" i="31"/>
  <c r="E181" i="31" s="1"/>
  <c r="E133" i="31"/>
  <c r="F133" i="31" s="1"/>
  <c r="E123" i="31"/>
  <c r="E492" i="31" s="1"/>
  <c r="F492" i="31" s="1"/>
  <c r="E90" i="31"/>
  <c r="C90" i="31"/>
  <c r="C89" i="31"/>
  <c r="F89" i="31" s="1"/>
  <c r="F85" i="31"/>
  <c r="F80" i="31"/>
  <c r="F66" i="31"/>
  <c r="F62" i="31"/>
  <c r="E59" i="31"/>
  <c r="F59" i="31" s="1"/>
  <c r="F58" i="31"/>
  <c r="E51" i="31"/>
  <c r="F51" i="31" s="1"/>
  <c r="E50" i="31"/>
  <c r="F50" i="31" s="1"/>
  <c r="F49" i="31"/>
  <c r="E43" i="31"/>
  <c r="F43" i="31" s="1"/>
  <c r="F42" i="31"/>
  <c r="E37" i="31"/>
  <c r="F37" i="31" s="1"/>
  <c r="F36" i="31"/>
  <c r="F21" i="31"/>
  <c r="E18" i="31"/>
  <c r="F18" i="31" s="1"/>
  <c r="F17" i="31"/>
  <c r="F16" i="31"/>
  <c r="F15" i="31"/>
  <c r="F14" i="31"/>
  <c r="E13" i="31"/>
  <c r="F13" i="31" s="1"/>
  <c r="E12" i="31"/>
  <c r="F12" i="31" s="1"/>
  <c r="E11" i="31"/>
  <c r="F11" i="31" s="1"/>
  <c r="F10" i="31"/>
  <c r="I9" i="31"/>
  <c r="F9" i="31"/>
  <c r="I8" i="31"/>
  <c r="I10" i="31" s="1"/>
  <c r="I11" i="31" s="1"/>
  <c r="C114" i="13"/>
  <c r="F114" i="13" s="1"/>
  <c r="F129" i="13"/>
  <c r="C16" i="13"/>
  <c r="C12" i="13"/>
  <c r="F470" i="29"/>
  <c r="E493" i="29" s="1"/>
  <c r="F444" i="29"/>
  <c r="E491" i="29" s="1"/>
  <c r="F407" i="29"/>
  <c r="C403" i="29"/>
  <c r="F403" i="29" s="1"/>
  <c r="F400" i="29"/>
  <c r="F397" i="29"/>
  <c r="F421" i="29" s="1"/>
  <c r="E489" i="29" s="1"/>
  <c r="F393" i="29"/>
  <c r="C368" i="29"/>
  <c r="F368" i="29" s="1"/>
  <c r="E367" i="29"/>
  <c r="C367" i="29"/>
  <c r="E358" i="29"/>
  <c r="C357" i="29"/>
  <c r="F357" i="29" s="1"/>
  <c r="C353" i="29"/>
  <c r="F353" i="29" s="1"/>
  <c r="E352" i="29"/>
  <c r="E363" i="29" s="1"/>
  <c r="F351" i="29"/>
  <c r="F350" i="29"/>
  <c r="F347" i="29"/>
  <c r="E329" i="29"/>
  <c r="C329" i="29"/>
  <c r="F328" i="29"/>
  <c r="C328" i="29"/>
  <c r="F325" i="29"/>
  <c r="E325" i="29"/>
  <c r="F324" i="29"/>
  <c r="C324" i="29"/>
  <c r="E318" i="29"/>
  <c r="F318" i="29" s="1"/>
  <c r="F314" i="29"/>
  <c r="C314" i="29"/>
  <c r="F310" i="29"/>
  <c r="F309" i="29"/>
  <c r="E306" i="29"/>
  <c r="C306" i="29"/>
  <c r="F305" i="29"/>
  <c r="E302" i="29"/>
  <c r="C302" i="29"/>
  <c r="F302" i="29" s="1"/>
  <c r="C301" i="29"/>
  <c r="F301" i="29" s="1"/>
  <c r="E296" i="29"/>
  <c r="E319" i="29" s="1"/>
  <c r="F319" i="29" s="1"/>
  <c r="F295" i="29"/>
  <c r="C268" i="29"/>
  <c r="F268" i="29" s="1"/>
  <c r="F250" i="29"/>
  <c r="F244" i="29"/>
  <c r="E244" i="29"/>
  <c r="F236" i="29"/>
  <c r="C236" i="29"/>
  <c r="C242" i="29" s="1"/>
  <c r="F242" i="29" s="1"/>
  <c r="F229" i="29"/>
  <c r="E227" i="29"/>
  <c r="F227" i="29" s="1"/>
  <c r="E225" i="29"/>
  <c r="F225" i="29" s="1"/>
  <c r="E223" i="29"/>
  <c r="F223" i="29" s="1"/>
  <c r="F221" i="29"/>
  <c r="E214" i="29"/>
  <c r="F214" i="29" s="1"/>
  <c r="F212" i="29"/>
  <c r="F196" i="29"/>
  <c r="C196" i="29"/>
  <c r="F189" i="29"/>
  <c r="F183" i="29"/>
  <c r="F159" i="29"/>
  <c r="F157" i="29"/>
  <c r="F139" i="29"/>
  <c r="F135" i="29"/>
  <c r="F131" i="29"/>
  <c r="F129" i="29"/>
  <c r="C111" i="29"/>
  <c r="F111" i="29" s="1"/>
  <c r="E103" i="29"/>
  <c r="C103" i="29"/>
  <c r="C102" i="29"/>
  <c r="F102" i="29" s="1"/>
  <c r="E89" i="29"/>
  <c r="E91" i="29" s="1"/>
  <c r="F83" i="29"/>
  <c r="F81" i="29"/>
  <c r="F56" i="29"/>
  <c r="F50" i="29"/>
  <c r="F44" i="29"/>
  <c r="E42" i="29"/>
  <c r="F42" i="29" s="1"/>
  <c r="F41" i="29"/>
  <c r="E38" i="29"/>
  <c r="F38" i="29" s="1"/>
  <c r="F37" i="29"/>
  <c r="E33" i="29"/>
  <c r="F33" i="29" s="1"/>
  <c r="F32" i="29"/>
  <c r="E23" i="29"/>
  <c r="F23" i="29" s="1"/>
  <c r="F22" i="29"/>
  <c r="F20" i="29"/>
  <c r="F16" i="29"/>
  <c r="F15" i="29"/>
  <c r="F14" i="29"/>
  <c r="F13" i="29"/>
  <c r="F12" i="29"/>
  <c r="E11" i="29"/>
  <c r="F11" i="29" s="1"/>
  <c r="F10" i="29"/>
  <c r="F9" i="29"/>
  <c r="F459" i="28"/>
  <c r="E482" i="28" s="1"/>
  <c r="F433" i="28"/>
  <c r="E480" i="28" s="1"/>
  <c r="F392" i="28"/>
  <c r="C392" i="28"/>
  <c r="F389" i="28"/>
  <c r="F385" i="28"/>
  <c r="C360" i="28"/>
  <c r="E359" i="28"/>
  <c r="C359" i="28"/>
  <c r="F359" i="28" s="1"/>
  <c r="E356" i="28"/>
  <c r="F356" i="28" s="1"/>
  <c r="E355" i="28"/>
  <c r="F355" i="28" s="1"/>
  <c r="E350" i="28"/>
  <c r="C350" i="28"/>
  <c r="C349" i="28"/>
  <c r="F349" i="28" s="1"/>
  <c r="F345" i="28"/>
  <c r="F344" i="28"/>
  <c r="F341" i="28"/>
  <c r="E326" i="28"/>
  <c r="C326" i="28"/>
  <c r="C325" i="28"/>
  <c r="F325" i="28" s="1"/>
  <c r="E322" i="28"/>
  <c r="C322" i="28"/>
  <c r="C321" i="28"/>
  <c r="F321" i="28" s="1"/>
  <c r="E315" i="28"/>
  <c r="F315" i="28" s="1"/>
  <c r="C311" i="28"/>
  <c r="F311" i="28" s="1"/>
  <c r="F307" i="28"/>
  <c r="E304" i="28"/>
  <c r="C304" i="28"/>
  <c r="F303" i="28"/>
  <c r="C303" i="28"/>
  <c r="E300" i="28"/>
  <c r="C300" i="28"/>
  <c r="C299" i="28"/>
  <c r="F299" i="28" s="1"/>
  <c r="E294" i="28"/>
  <c r="E316" i="28" s="1"/>
  <c r="F316" i="28" s="1"/>
  <c r="F293" i="28"/>
  <c r="C266" i="28"/>
  <c r="F266" i="28" s="1"/>
  <c r="C264" i="28"/>
  <c r="F264" i="28" s="1"/>
  <c r="F248" i="28"/>
  <c r="E242" i="28"/>
  <c r="F242" i="28" s="1"/>
  <c r="C240" i="28"/>
  <c r="F240" i="28" s="1"/>
  <c r="F234" i="28"/>
  <c r="F227" i="28"/>
  <c r="E221" i="28"/>
  <c r="E223" i="28" s="1"/>
  <c r="F219" i="28"/>
  <c r="E212" i="28"/>
  <c r="F212" i="28" s="1"/>
  <c r="F210" i="28"/>
  <c r="F194" i="28"/>
  <c r="E186" i="28"/>
  <c r="E188" i="28" s="1"/>
  <c r="F188" i="28" s="1"/>
  <c r="F184" i="28"/>
  <c r="F178" i="28"/>
  <c r="F153" i="28"/>
  <c r="F167" i="28" s="1"/>
  <c r="E470" i="28" s="1"/>
  <c r="F135" i="28"/>
  <c r="F131" i="28"/>
  <c r="F129" i="28"/>
  <c r="F125" i="28"/>
  <c r="F144" i="28" s="1"/>
  <c r="E468" i="28" s="1"/>
  <c r="F123" i="28"/>
  <c r="F105" i="28"/>
  <c r="F98" i="28"/>
  <c r="E90" i="28"/>
  <c r="F90" i="28" s="1"/>
  <c r="F88" i="28"/>
  <c r="F82" i="28"/>
  <c r="F80" i="28"/>
  <c r="F55" i="28"/>
  <c r="F49" i="28"/>
  <c r="F43" i="28"/>
  <c r="E41" i="28"/>
  <c r="F41" i="28" s="1"/>
  <c r="F40" i="28"/>
  <c r="E37" i="28"/>
  <c r="F37" i="28" s="1"/>
  <c r="F36" i="28"/>
  <c r="E33" i="28"/>
  <c r="F33" i="28" s="1"/>
  <c r="F32" i="28"/>
  <c r="E23" i="28"/>
  <c r="F23" i="28" s="1"/>
  <c r="F22" i="28"/>
  <c r="F20" i="28"/>
  <c r="F16" i="28"/>
  <c r="F15" i="28"/>
  <c r="F14" i="28"/>
  <c r="F13" i="28"/>
  <c r="F12" i="28"/>
  <c r="F11" i="28"/>
  <c r="E11" i="28"/>
  <c r="F10" i="28"/>
  <c r="F9" i="28"/>
  <c r="F103" i="29" l="1"/>
  <c r="F59" i="29"/>
  <c r="E66" i="29" s="1"/>
  <c r="F58" i="28"/>
  <c r="E65" i="28" s="1"/>
  <c r="F205" i="28"/>
  <c r="E274" i="28" s="1"/>
  <c r="F186" i="28"/>
  <c r="F221" i="28"/>
  <c r="F300" i="28"/>
  <c r="F304" i="28"/>
  <c r="F322" i="28"/>
  <c r="F326" i="28"/>
  <c r="F350" i="28"/>
  <c r="F410" i="28"/>
  <c r="E478" i="28" s="1"/>
  <c r="F89" i="29"/>
  <c r="F148" i="29"/>
  <c r="E479" i="29" s="1"/>
  <c r="F172" i="29"/>
  <c r="E481" i="29" s="1"/>
  <c r="F207" i="29"/>
  <c r="E276" i="29" s="1"/>
  <c r="C266" i="29"/>
  <c r="F266" i="29" s="1"/>
  <c r="F306" i="29"/>
  <c r="F329" i="29"/>
  <c r="F367" i="29"/>
  <c r="C807" i="31"/>
  <c r="E404" i="31"/>
  <c r="F404" i="31" s="1"/>
  <c r="F649" i="31"/>
  <c r="E908" i="31" s="1"/>
  <c r="F700" i="31"/>
  <c r="F770" i="31"/>
  <c r="F766" i="31"/>
  <c r="F769" i="31"/>
  <c r="F784" i="31"/>
  <c r="F699" i="31"/>
  <c r="F565" i="31"/>
  <c r="E904" i="31" s="1"/>
  <c r="F684" i="31"/>
  <c r="E910" i="31" s="1"/>
  <c r="F283" i="31"/>
  <c r="E694" i="31"/>
  <c r="E695" i="31" s="1"/>
  <c r="E717" i="31" s="1"/>
  <c r="F717" i="31" s="1"/>
  <c r="F90" i="31"/>
  <c r="F93" i="31" s="1"/>
  <c r="E101" i="31" s="1"/>
  <c r="F273" i="31"/>
  <c r="F482" i="31"/>
  <c r="F707" i="31"/>
  <c r="F711" i="31"/>
  <c r="F733" i="31"/>
  <c r="F768" i="31"/>
  <c r="C814" i="31"/>
  <c r="F814" i="31" s="1"/>
  <c r="C304" i="31"/>
  <c r="C314" i="31" s="1"/>
  <c r="F314" i="31" s="1"/>
  <c r="F31" i="31"/>
  <c r="E97" i="31" s="1"/>
  <c r="E183" i="31"/>
  <c r="E371" i="31"/>
  <c r="F181" i="31"/>
  <c r="F455" i="31"/>
  <c r="E464" i="31" s="1"/>
  <c r="F695" i="31"/>
  <c r="C739" i="31"/>
  <c r="F739" i="31" s="1"/>
  <c r="F732" i="31"/>
  <c r="E52" i="31"/>
  <c r="E125" i="31"/>
  <c r="E135" i="31"/>
  <c r="E139" i="31"/>
  <c r="F139" i="31" s="1"/>
  <c r="E149" i="31"/>
  <c r="F149" i="31" s="1"/>
  <c r="E175" i="31"/>
  <c r="E219" i="31" s="1"/>
  <c r="E213" i="31"/>
  <c r="F213" i="31" s="1"/>
  <c r="E228" i="31"/>
  <c r="C300" i="31"/>
  <c r="F279" i="31"/>
  <c r="F418" i="31"/>
  <c r="E583" i="31"/>
  <c r="F583" i="31" s="1"/>
  <c r="C703" i="31"/>
  <c r="F703" i="31" s="1"/>
  <c r="F787" i="31"/>
  <c r="F123" i="31"/>
  <c r="F147" i="31"/>
  <c r="E168" i="31"/>
  <c r="F168" i="31" s="1"/>
  <c r="C312" i="31"/>
  <c r="F312" i="31" s="1"/>
  <c r="F302" i="31"/>
  <c r="F281" i="31"/>
  <c r="E350" i="31"/>
  <c r="F350" i="31" s="1"/>
  <c r="F694" i="31"/>
  <c r="F704" i="31"/>
  <c r="E742" i="31"/>
  <c r="F742" i="31" s="1"/>
  <c r="C777" i="31"/>
  <c r="F777" i="31" s="1"/>
  <c r="E773" i="31"/>
  <c r="F773" i="31" s="1"/>
  <c r="F772" i="31"/>
  <c r="E788" i="31"/>
  <c r="F788" i="31" s="1"/>
  <c r="E93" i="29"/>
  <c r="F91" i="29"/>
  <c r="E364" i="29"/>
  <c r="F364" i="29" s="1"/>
  <c r="F363" i="29"/>
  <c r="F259" i="29"/>
  <c r="E278" i="29" s="1"/>
  <c r="F271" i="29"/>
  <c r="E280" i="29" s="1"/>
  <c r="E24" i="29"/>
  <c r="F24" i="29" s="1"/>
  <c r="F28" i="29" s="1"/>
  <c r="E64" i="29" s="1"/>
  <c r="C358" i="29"/>
  <c r="F358" i="29" s="1"/>
  <c r="F296" i="29"/>
  <c r="F338" i="29" s="1"/>
  <c r="E485" i="29" s="1"/>
  <c r="F352" i="29"/>
  <c r="E225" i="28"/>
  <c r="F225" i="28" s="1"/>
  <c r="F257" i="28" s="1"/>
  <c r="E276" i="28" s="1"/>
  <c r="F223" i="28"/>
  <c r="F269" i="28"/>
  <c r="E278" i="28" s="1"/>
  <c r="E24" i="28"/>
  <c r="F24" i="28" s="1"/>
  <c r="F28" i="28" s="1"/>
  <c r="E63" i="28" s="1"/>
  <c r="E92" i="28"/>
  <c r="F92" i="28" s="1"/>
  <c r="F114" i="28" s="1"/>
  <c r="E466" i="28" s="1"/>
  <c r="E360" i="28"/>
  <c r="F360" i="28" s="1"/>
  <c r="F376" i="28" s="1"/>
  <c r="E476" i="28" s="1"/>
  <c r="F294" i="28"/>
  <c r="F332" i="28" s="1"/>
  <c r="E474" i="28" s="1"/>
  <c r="F72" i="29" l="1"/>
  <c r="E475" i="29" s="1"/>
  <c r="F71" i="28"/>
  <c r="E464" i="28" s="1"/>
  <c r="F285" i="28"/>
  <c r="E472" i="28" s="1"/>
  <c r="F498" i="28" s="1"/>
  <c r="F384" i="29"/>
  <c r="E487" i="29" s="1"/>
  <c r="F287" i="29"/>
  <c r="E483" i="29" s="1"/>
  <c r="F428" i="31"/>
  <c r="E462" i="31" s="1"/>
  <c r="E715" i="31"/>
  <c r="F807" i="31"/>
  <c r="F794" i="31"/>
  <c r="E914" i="31" s="1"/>
  <c r="F175" i="31"/>
  <c r="F304" i="31"/>
  <c r="F292" i="31"/>
  <c r="E322" i="31" s="1"/>
  <c r="F228" i="31"/>
  <c r="E232" i="31"/>
  <c r="F232" i="31" s="1"/>
  <c r="E230" i="31"/>
  <c r="F230" i="31" s="1"/>
  <c r="E362" i="31"/>
  <c r="F219" i="31"/>
  <c r="F125" i="31"/>
  <c r="E352" i="31"/>
  <c r="F352" i="31" s="1"/>
  <c r="E127" i="31"/>
  <c r="F127" i="31" s="1"/>
  <c r="F745" i="31"/>
  <c r="E751" i="31" s="1"/>
  <c r="E506" i="31"/>
  <c r="F371" i="31"/>
  <c r="E804" i="31"/>
  <c r="F804" i="31" s="1"/>
  <c r="F823" i="31" s="1"/>
  <c r="E916" i="31" s="1"/>
  <c r="E716" i="31"/>
  <c r="F716" i="31" s="1"/>
  <c r="F715" i="31"/>
  <c r="C310" i="31"/>
  <c r="F310" i="31" s="1"/>
  <c r="F300" i="31"/>
  <c r="F135" i="31"/>
  <c r="E137" i="31"/>
  <c r="F52" i="31"/>
  <c r="E53" i="31"/>
  <c r="F53" i="31" s="1"/>
  <c r="E373" i="31"/>
  <c r="F373" i="31" s="1"/>
  <c r="E234" i="31"/>
  <c r="F183" i="31"/>
  <c r="E95" i="29"/>
  <c r="F95" i="29" s="1"/>
  <c r="F93" i="29"/>
  <c r="F120" i="29" s="1"/>
  <c r="E477" i="29" s="1"/>
  <c r="F509" i="29" l="1"/>
  <c r="E523" i="29" s="1"/>
  <c r="F201" i="31"/>
  <c r="E896" i="31" s="1"/>
  <c r="F720" i="31"/>
  <c r="E749" i="31" s="1"/>
  <c r="F756" i="31" s="1"/>
  <c r="F317" i="31"/>
  <c r="E324" i="31" s="1"/>
  <c r="F72" i="31"/>
  <c r="E99" i="31" s="1"/>
  <c r="F111" i="31" s="1"/>
  <c r="E892" i="31" s="1"/>
  <c r="F234" i="31"/>
  <c r="E236" i="31"/>
  <c r="F236" i="31" s="1"/>
  <c r="F137" i="31"/>
  <c r="E141" i="31"/>
  <c r="F141" i="31" s="1"/>
  <c r="E597" i="31"/>
  <c r="F597" i="31" s="1"/>
  <c r="F506" i="31"/>
  <c r="E498" i="31"/>
  <c r="F362" i="31"/>
  <c r="E358" i="31"/>
  <c r="E364" i="31"/>
  <c r="E512" i="28"/>
  <c r="F505" i="28"/>
  <c r="F506" i="28"/>
  <c r="F516" i="29" l="1"/>
  <c r="F517" i="29"/>
  <c r="F156" i="31"/>
  <c r="E894" i="31" s="1"/>
  <c r="E912" i="31"/>
  <c r="F247" i="31"/>
  <c r="E320" i="31" s="1"/>
  <c r="F337" i="31" s="1"/>
  <c r="E898" i="31" s="1"/>
  <c r="F358" i="31"/>
  <c r="E360" i="31"/>
  <c r="F360" i="31" s="1"/>
  <c r="E500" i="31"/>
  <c r="F500" i="31" s="1"/>
  <c r="E589" i="31"/>
  <c r="F498" i="31"/>
  <c r="F516" i="31" s="1"/>
  <c r="E902" i="31" s="1"/>
  <c r="F364" i="31"/>
  <c r="E366" i="31"/>
  <c r="F366" i="31" s="1"/>
  <c r="E525" i="29"/>
  <c r="E527" i="29" s="1"/>
  <c r="E514" i="28"/>
  <c r="E516" i="28" s="1"/>
  <c r="F383" i="31" l="1"/>
  <c r="E460" i="31" s="1"/>
  <c r="F472" i="31" s="1"/>
  <c r="E900" i="31" s="1"/>
  <c r="F589" i="31"/>
  <c r="E591" i="31"/>
  <c r="F591" i="31" s="1"/>
  <c r="E529" i="29"/>
  <c r="E530" i="29" s="1"/>
  <c r="E30" i="14" s="1"/>
  <c r="F30" i="14" s="1"/>
  <c r="E518" i="28"/>
  <c r="E519" i="28" s="1"/>
  <c r="F27" i="14" s="1"/>
  <c r="F610" i="31" l="1"/>
  <c r="E906" i="31" s="1"/>
  <c r="F923" i="31" s="1"/>
  <c r="E534" i="29"/>
  <c r="E532" i="29"/>
  <c r="E523" i="28"/>
  <c r="E521" i="28"/>
  <c r="F924" i="31" l="1"/>
  <c r="F925" i="31" s="1"/>
  <c r="F905" i="26"/>
  <c r="E938" i="26" s="1"/>
  <c r="F876" i="26"/>
  <c r="E936" i="26" s="1"/>
  <c r="C815" i="26"/>
  <c r="F812" i="26"/>
  <c r="F808" i="26"/>
  <c r="C788" i="26"/>
  <c r="C785" i="26"/>
  <c r="C789" i="26" s="1"/>
  <c r="F789" i="26" s="1"/>
  <c r="F784" i="26"/>
  <c r="E778" i="26"/>
  <c r="F777" i="26"/>
  <c r="C774" i="26"/>
  <c r="E773" i="26"/>
  <c r="C771" i="26"/>
  <c r="E770" i="26"/>
  <c r="E771" i="26" s="1"/>
  <c r="E769" i="26"/>
  <c r="C769" i="26"/>
  <c r="F768" i="26"/>
  <c r="E767" i="26"/>
  <c r="C767" i="26"/>
  <c r="F766" i="26"/>
  <c r="F764" i="26"/>
  <c r="F744" i="26"/>
  <c r="F742" i="26"/>
  <c r="E740" i="26"/>
  <c r="E741" i="26" s="1"/>
  <c r="C734" i="26"/>
  <c r="C741" i="26" s="1"/>
  <c r="F741" i="26" s="1"/>
  <c r="E733" i="26"/>
  <c r="F730" i="26"/>
  <c r="F727" i="26"/>
  <c r="C716" i="26"/>
  <c r="C733" i="26" s="1"/>
  <c r="C712" i="26"/>
  <c r="F712" i="26" s="1"/>
  <c r="E709" i="26"/>
  <c r="F709" i="26" s="1"/>
  <c r="C705" i="26"/>
  <c r="E704" i="26"/>
  <c r="E705" i="26" s="1"/>
  <c r="F705" i="26" s="1"/>
  <c r="E700" i="26"/>
  <c r="C700" i="26"/>
  <c r="C704" i="26" s="1"/>
  <c r="F704" i="26" s="1"/>
  <c r="F681" i="26"/>
  <c r="F676" i="26"/>
  <c r="F675" i="26"/>
  <c r="F672" i="26"/>
  <c r="F671" i="26"/>
  <c r="F667" i="26"/>
  <c r="E662" i="26"/>
  <c r="F662" i="26" s="1"/>
  <c r="E661" i="26"/>
  <c r="F661" i="26" s="1"/>
  <c r="E660" i="26"/>
  <c r="F660" i="26" s="1"/>
  <c r="E659" i="26"/>
  <c r="F659" i="26" s="1"/>
  <c r="F685" i="26" s="1"/>
  <c r="E928" i="26" s="1"/>
  <c r="F625" i="26"/>
  <c r="F623" i="26"/>
  <c r="F621" i="26"/>
  <c r="F619" i="26"/>
  <c r="F617" i="26"/>
  <c r="F574" i="26"/>
  <c r="C547" i="26"/>
  <c r="F547" i="26" s="1"/>
  <c r="C545" i="26"/>
  <c r="F545" i="26" s="1"/>
  <c r="C543" i="26"/>
  <c r="F543" i="26" s="1"/>
  <c r="C541" i="26"/>
  <c r="F541" i="26" s="1"/>
  <c r="C539" i="26"/>
  <c r="F539" i="26" s="1"/>
  <c r="F535" i="26"/>
  <c r="F533" i="26"/>
  <c r="F531" i="26"/>
  <c r="F529" i="26"/>
  <c r="F527" i="26"/>
  <c r="F488" i="26"/>
  <c r="F485" i="26"/>
  <c r="E483" i="26"/>
  <c r="F454" i="26"/>
  <c r="E454" i="26"/>
  <c r="F452" i="26"/>
  <c r="C452" i="26"/>
  <c r="F447" i="26"/>
  <c r="C445" i="26"/>
  <c r="F445" i="26" s="1"/>
  <c r="F441" i="26"/>
  <c r="E439" i="26"/>
  <c r="F439" i="26" s="1"/>
  <c r="F437" i="26"/>
  <c r="F427" i="26"/>
  <c r="E419" i="26"/>
  <c r="E421" i="26" s="1"/>
  <c r="F421" i="26" s="1"/>
  <c r="F413" i="26"/>
  <c r="F407" i="26"/>
  <c r="E403" i="26"/>
  <c r="F403" i="26" s="1"/>
  <c r="F401" i="26"/>
  <c r="F399" i="26"/>
  <c r="F390" i="26"/>
  <c r="F361" i="26"/>
  <c r="F359" i="26"/>
  <c r="E313" i="26"/>
  <c r="E315" i="26" s="1"/>
  <c r="E303" i="26"/>
  <c r="E305" i="26" s="1"/>
  <c r="C284" i="26"/>
  <c r="C305" i="26" s="1"/>
  <c r="E282" i="26"/>
  <c r="E284" i="26" s="1"/>
  <c r="C282" i="26"/>
  <c r="C303" i="26" s="1"/>
  <c r="C313" i="26" s="1"/>
  <c r="F313" i="26" s="1"/>
  <c r="C280" i="26"/>
  <c r="C301" i="26" s="1"/>
  <c r="F301" i="26" s="1"/>
  <c r="C274" i="26"/>
  <c r="F274" i="26" s="1"/>
  <c r="C272" i="26"/>
  <c r="F272" i="26" s="1"/>
  <c r="C270" i="26"/>
  <c r="F270" i="26" s="1"/>
  <c r="C268" i="26"/>
  <c r="F268" i="26" s="1"/>
  <c r="E262" i="26"/>
  <c r="F262" i="26" s="1"/>
  <c r="E260" i="26"/>
  <c r="F260" i="26" s="1"/>
  <c r="E258" i="26"/>
  <c r="F258" i="26" s="1"/>
  <c r="F256" i="26"/>
  <c r="E227" i="26"/>
  <c r="F227" i="26" s="1"/>
  <c r="E147" i="26"/>
  <c r="E182" i="26" s="1"/>
  <c r="E133" i="26"/>
  <c r="E175" i="26" s="1"/>
  <c r="E123" i="26"/>
  <c r="E493" i="26" s="1"/>
  <c r="E90" i="26"/>
  <c r="F90" i="26" s="1"/>
  <c r="F89" i="26"/>
  <c r="C85" i="26"/>
  <c r="F85" i="26" s="1"/>
  <c r="F80" i="26"/>
  <c r="F66" i="26"/>
  <c r="F62" i="26"/>
  <c r="E59" i="26"/>
  <c r="F59" i="26" s="1"/>
  <c r="F58" i="26"/>
  <c r="E51" i="26"/>
  <c r="E52" i="26" s="1"/>
  <c r="E50" i="26"/>
  <c r="C50" i="26"/>
  <c r="F49" i="26"/>
  <c r="E43" i="26"/>
  <c r="F43" i="26" s="1"/>
  <c r="F42" i="26"/>
  <c r="E37" i="26"/>
  <c r="F37" i="26" s="1"/>
  <c r="F36" i="26"/>
  <c r="F21" i="26"/>
  <c r="E18" i="26"/>
  <c r="F18" i="26" s="1"/>
  <c r="F17" i="26"/>
  <c r="F16" i="26"/>
  <c r="F15" i="26"/>
  <c r="F14" i="26"/>
  <c r="E13" i="26"/>
  <c r="F13" i="26" s="1"/>
  <c r="E12" i="26"/>
  <c r="F12" i="26" s="1"/>
  <c r="E11" i="26"/>
  <c r="F11" i="26" s="1"/>
  <c r="F10" i="26"/>
  <c r="F9" i="26"/>
  <c r="I8" i="25"/>
  <c r="F9" i="25"/>
  <c r="I9" i="25"/>
  <c r="F10" i="25"/>
  <c r="I10" i="25"/>
  <c r="E11" i="25"/>
  <c r="F11" i="25" s="1"/>
  <c r="I11" i="25"/>
  <c r="E12" i="25"/>
  <c r="F12" i="25" s="1"/>
  <c r="E13" i="25"/>
  <c r="F13" i="25" s="1"/>
  <c r="F14" i="25"/>
  <c r="F15" i="25"/>
  <c r="F16" i="25"/>
  <c r="F17" i="25"/>
  <c r="E18" i="25"/>
  <c r="F18" i="25"/>
  <c r="F21" i="25"/>
  <c r="F36" i="25"/>
  <c r="E37" i="25"/>
  <c r="F37" i="25" s="1"/>
  <c r="F42" i="25"/>
  <c r="E43" i="25"/>
  <c r="F43" i="25" s="1"/>
  <c r="F49" i="25"/>
  <c r="E50" i="25"/>
  <c r="F50" i="25" s="1"/>
  <c r="E51" i="25"/>
  <c r="F51" i="25" s="1"/>
  <c r="F58" i="25"/>
  <c r="E59" i="25"/>
  <c r="F59" i="25" s="1"/>
  <c r="F62" i="25"/>
  <c r="F66" i="25"/>
  <c r="F80" i="25"/>
  <c r="F85" i="25"/>
  <c r="C89" i="25"/>
  <c r="F89" i="25" s="1"/>
  <c r="C90" i="25"/>
  <c r="E90" i="25"/>
  <c r="F90" i="25"/>
  <c r="E125" i="25"/>
  <c r="E133" i="25"/>
  <c r="F133" i="25" s="1"/>
  <c r="E147" i="25"/>
  <c r="E149" i="25" s="1"/>
  <c r="F149" i="25" s="1"/>
  <c r="C175" i="25"/>
  <c r="C181" i="25"/>
  <c r="E213" i="25"/>
  <c r="F213" i="25" s="1"/>
  <c r="E226" i="25"/>
  <c r="F226" i="25" s="1"/>
  <c r="F255" i="25"/>
  <c r="E257" i="25"/>
  <c r="F257" i="25" s="1"/>
  <c r="E259" i="25"/>
  <c r="F259" i="25" s="1"/>
  <c r="E261" i="25"/>
  <c r="F261" i="25" s="1"/>
  <c r="C267" i="25"/>
  <c r="F267" i="25" s="1"/>
  <c r="C269" i="25"/>
  <c r="F269" i="25" s="1"/>
  <c r="C271" i="25"/>
  <c r="F271" i="25" s="1"/>
  <c r="F273" i="25"/>
  <c r="C279" i="25"/>
  <c r="F279" i="25"/>
  <c r="C281" i="25"/>
  <c r="E281" i="25"/>
  <c r="C283" i="25"/>
  <c r="C304" i="25" s="1"/>
  <c r="C300" i="25"/>
  <c r="F300" i="25" s="1"/>
  <c r="C302" i="25"/>
  <c r="C312" i="25" s="1"/>
  <c r="E302" i="25"/>
  <c r="F302" i="25" s="1"/>
  <c r="E304" i="25"/>
  <c r="E312" i="25"/>
  <c r="E314" i="25" s="1"/>
  <c r="F389" i="25"/>
  <c r="F398" i="25"/>
  <c r="F400" i="25"/>
  <c r="E402" i="25"/>
  <c r="F402" i="25"/>
  <c r="E404" i="25"/>
  <c r="F404" i="25" s="1"/>
  <c r="F406" i="25"/>
  <c r="F412" i="25"/>
  <c r="C418" i="25"/>
  <c r="C451" i="25" s="1"/>
  <c r="F451" i="25" s="1"/>
  <c r="E418" i="25"/>
  <c r="F426" i="25"/>
  <c r="F436" i="25"/>
  <c r="E438" i="25"/>
  <c r="F438" i="25" s="1"/>
  <c r="F440" i="25"/>
  <c r="C444" i="25"/>
  <c r="F444" i="25" s="1"/>
  <c r="F446" i="25"/>
  <c r="E453" i="25"/>
  <c r="F453" i="25"/>
  <c r="E482" i="25"/>
  <c r="F484" i="25"/>
  <c r="F487" i="25"/>
  <c r="E492" i="25"/>
  <c r="F526" i="25"/>
  <c r="F528" i="25"/>
  <c r="F561" i="25" s="1"/>
  <c r="E901" i="25" s="1"/>
  <c r="F530" i="25"/>
  <c r="F532" i="25"/>
  <c r="F534" i="25"/>
  <c r="C538" i="25"/>
  <c r="F538" i="25" s="1"/>
  <c r="C540" i="25"/>
  <c r="F540" i="25" s="1"/>
  <c r="C542" i="25"/>
  <c r="F542" i="25" s="1"/>
  <c r="C544" i="25"/>
  <c r="F544" i="25" s="1"/>
  <c r="C546" i="25"/>
  <c r="F546" i="25" s="1"/>
  <c r="F551" i="25"/>
  <c r="F553" i="25"/>
  <c r="E573" i="25"/>
  <c r="F573" i="25" s="1"/>
  <c r="F616" i="25"/>
  <c r="F618" i="25"/>
  <c r="F620" i="25"/>
  <c r="E654" i="25"/>
  <c r="E655" i="25"/>
  <c r="E656" i="25"/>
  <c r="E657" i="25"/>
  <c r="F662" i="25"/>
  <c r="F666" i="25"/>
  <c r="F667" i="25"/>
  <c r="F670" i="25"/>
  <c r="F671" i="25"/>
  <c r="F676" i="25"/>
  <c r="E690" i="25"/>
  <c r="F690" i="25" s="1"/>
  <c r="C695" i="25"/>
  <c r="C699" i="25" s="1"/>
  <c r="E695" i="25"/>
  <c r="F695" i="25"/>
  <c r="C696" i="25"/>
  <c r="F696" i="25"/>
  <c r="E699" i="25"/>
  <c r="E700" i="25" s="1"/>
  <c r="F700" i="25" s="1"/>
  <c r="C700" i="25"/>
  <c r="F703" i="25"/>
  <c r="E704" i="25"/>
  <c r="F704" i="25"/>
  <c r="C707" i="25"/>
  <c r="E707" i="25"/>
  <c r="F707" i="25" s="1"/>
  <c r="C711" i="25"/>
  <c r="F722" i="25"/>
  <c r="F725" i="25"/>
  <c r="C728" i="25"/>
  <c r="C735" i="25" s="1"/>
  <c r="E728" i="25"/>
  <c r="F728" i="25"/>
  <c r="C729" i="25"/>
  <c r="F729" i="25"/>
  <c r="E730" i="25"/>
  <c r="F730" i="25"/>
  <c r="E731" i="25"/>
  <c r="F731" i="25"/>
  <c r="E735" i="25"/>
  <c r="C736" i="25"/>
  <c r="F736" i="25" s="1"/>
  <c r="F737" i="25"/>
  <c r="F739" i="25"/>
  <c r="F759" i="25"/>
  <c r="F761" i="25"/>
  <c r="C762" i="25"/>
  <c r="E762" i="25"/>
  <c r="F762" i="25" s="1"/>
  <c r="F763" i="25"/>
  <c r="C764" i="25"/>
  <c r="E764" i="25"/>
  <c r="F764" i="25"/>
  <c r="E765" i="25"/>
  <c r="F765" i="25"/>
  <c r="C766" i="25"/>
  <c r="E766" i="25"/>
  <c r="F766" i="25" s="1"/>
  <c r="E768" i="25"/>
  <c r="F768" i="25" s="1"/>
  <c r="C769" i="25"/>
  <c r="C772" i="25"/>
  <c r="F772" i="25"/>
  <c r="E773" i="25"/>
  <c r="F779" i="25"/>
  <c r="C780" i="25"/>
  <c r="F780" i="25"/>
  <c r="C783" i="25"/>
  <c r="C803" i="25" s="1"/>
  <c r="E783" i="25"/>
  <c r="E784" i="25" s="1"/>
  <c r="F784" i="25" s="1"/>
  <c r="C784" i="25"/>
  <c r="F807" i="25"/>
  <c r="F854" i="25"/>
  <c r="E915" i="25" s="1"/>
  <c r="F884" i="25"/>
  <c r="E917" i="25"/>
  <c r="C933" i="25"/>
  <c r="F280" i="26" l="1"/>
  <c r="F769" i="26"/>
  <c r="F771" i="26"/>
  <c r="C773" i="25"/>
  <c r="F562" i="26"/>
  <c r="E922" i="26" s="1"/>
  <c r="E815" i="26"/>
  <c r="F815" i="26" s="1"/>
  <c r="E810" i="25"/>
  <c r="F783" i="25"/>
  <c r="F735" i="25"/>
  <c r="F699" i="25"/>
  <c r="E691" i="25"/>
  <c r="F691" i="25" s="1"/>
  <c r="F418" i="25"/>
  <c r="C310" i="25"/>
  <c r="F310" i="25" s="1"/>
  <c r="F312" i="25"/>
  <c r="E175" i="25"/>
  <c r="F175" i="25" s="1"/>
  <c r="F456" i="26"/>
  <c r="E465" i="26" s="1"/>
  <c r="F650" i="26"/>
  <c r="E926" i="26" s="1"/>
  <c r="F700" i="26"/>
  <c r="E701" i="26"/>
  <c r="F701" i="26" s="1"/>
  <c r="F708" i="26"/>
  <c r="E735" i="26"/>
  <c r="F735" i="26" s="1"/>
  <c r="E734" i="26"/>
  <c r="F767" i="26"/>
  <c r="F788" i="26"/>
  <c r="F770" i="26"/>
  <c r="F785" i="26"/>
  <c r="F680" i="25"/>
  <c r="E907" i="25" s="1"/>
  <c r="E405" i="26"/>
  <c r="F405" i="26" s="1"/>
  <c r="F282" i="26"/>
  <c r="F51" i="26"/>
  <c r="F50" i="26"/>
  <c r="F31" i="26"/>
  <c r="E97" i="26" s="1"/>
  <c r="E420" i="25"/>
  <c r="F420" i="25" s="1"/>
  <c r="E52" i="25"/>
  <c r="F52" i="25" s="1"/>
  <c r="F31" i="25"/>
  <c r="E97" i="25" s="1"/>
  <c r="F926" i="31"/>
  <c r="F927" i="31" s="1"/>
  <c r="E580" i="26"/>
  <c r="F580" i="26" s="1"/>
  <c r="F493" i="26"/>
  <c r="E372" i="26"/>
  <c r="E184" i="26"/>
  <c r="F182" i="26"/>
  <c r="E53" i="26"/>
  <c r="F53" i="26" s="1"/>
  <c r="F52" i="26"/>
  <c r="F93" i="26"/>
  <c r="E101" i="26" s="1"/>
  <c r="E220" i="26"/>
  <c r="F175" i="26"/>
  <c r="F305" i="26"/>
  <c r="C315" i="26"/>
  <c r="F315" i="26" s="1"/>
  <c r="C740" i="26"/>
  <c r="F733" i="26"/>
  <c r="E125" i="26"/>
  <c r="E135" i="26"/>
  <c r="E139" i="26"/>
  <c r="F139" i="26" s="1"/>
  <c r="E149" i="26"/>
  <c r="F149" i="26" s="1"/>
  <c r="E214" i="26"/>
  <c r="F214" i="26" s="1"/>
  <c r="E229" i="26"/>
  <c r="F284" i="26"/>
  <c r="F293" i="26" s="1"/>
  <c r="E323" i="26" s="1"/>
  <c r="F303" i="26"/>
  <c r="C311" i="26"/>
  <c r="F311" i="26" s="1"/>
  <c r="E351" i="26"/>
  <c r="F351" i="26" s="1"/>
  <c r="E572" i="26"/>
  <c r="F572" i="26" s="1"/>
  <c r="F483" i="26"/>
  <c r="F123" i="26"/>
  <c r="F133" i="26"/>
  <c r="F147" i="26"/>
  <c r="E168" i="26"/>
  <c r="F168" i="26" s="1"/>
  <c r="E695" i="26"/>
  <c r="E716" i="26" s="1"/>
  <c r="E718" i="26" s="1"/>
  <c r="F419" i="26"/>
  <c r="E743" i="26"/>
  <c r="F743" i="26" s="1"/>
  <c r="F740" i="26"/>
  <c r="C778" i="26"/>
  <c r="F778" i="26" s="1"/>
  <c r="E774" i="26"/>
  <c r="F774" i="26" s="1"/>
  <c r="F773" i="26"/>
  <c r="F803" i="25"/>
  <c r="C810" i="25"/>
  <c r="F773" i="25"/>
  <c r="F645" i="25"/>
  <c r="E905" i="25" s="1"/>
  <c r="F482" i="25"/>
  <c r="E571" i="25"/>
  <c r="F571" i="25" s="1"/>
  <c r="F455" i="25"/>
  <c r="E464" i="25" s="1"/>
  <c r="F281" i="25"/>
  <c r="E283" i="25"/>
  <c r="F283" i="25" s="1"/>
  <c r="F125" i="25"/>
  <c r="E352" i="25"/>
  <c r="F352" i="25" s="1"/>
  <c r="E769" i="25"/>
  <c r="F769" i="25" s="1"/>
  <c r="E738" i="25"/>
  <c r="F738" i="25" s="1"/>
  <c r="F741" i="25" s="1"/>
  <c r="E747" i="25" s="1"/>
  <c r="E711" i="25"/>
  <c r="F492" i="25"/>
  <c r="E579" i="25"/>
  <c r="F579" i="25" s="1"/>
  <c r="F428" i="25"/>
  <c r="E462" i="25" s="1"/>
  <c r="F304" i="25"/>
  <c r="F317" i="25" s="1"/>
  <c r="E324" i="25" s="1"/>
  <c r="C314" i="25"/>
  <c r="F314" i="25" s="1"/>
  <c r="E228" i="25"/>
  <c r="F147" i="25"/>
  <c r="E181" i="25"/>
  <c r="E139" i="25"/>
  <c r="F139" i="25" s="1"/>
  <c r="E135" i="25"/>
  <c r="E127" i="25"/>
  <c r="F127" i="25" s="1"/>
  <c r="F123" i="25"/>
  <c r="E168" i="25"/>
  <c r="F168" i="25" s="1"/>
  <c r="E350" i="25"/>
  <c r="F350" i="25" s="1"/>
  <c r="F93" i="25"/>
  <c r="E101" i="25" s="1"/>
  <c r="F429" i="26" l="1"/>
  <c r="E463" i="26" s="1"/>
  <c r="F795" i="26"/>
  <c r="E932" i="26" s="1"/>
  <c r="E219" i="25"/>
  <c r="E713" i="25"/>
  <c r="F713" i="25" s="1"/>
  <c r="F790" i="25"/>
  <c r="E911" i="25" s="1"/>
  <c r="F292" i="25"/>
  <c r="E322" i="25" s="1"/>
  <c r="F810" i="25"/>
  <c r="F318" i="26"/>
  <c r="E325" i="26" s="1"/>
  <c r="F72" i="26"/>
  <c r="E99" i="26" s="1"/>
  <c r="F734" i="26"/>
  <c r="E736" i="26"/>
  <c r="F736" i="26" s="1"/>
  <c r="F111" i="26"/>
  <c r="E910" i="26" s="1"/>
  <c r="E53" i="25"/>
  <c r="F53" i="25" s="1"/>
  <c r="F72" i="25" s="1"/>
  <c r="E99" i="25" s="1"/>
  <c r="F111" i="25" s="1"/>
  <c r="E889" i="25" s="1"/>
  <c r="F928" i="31"/>
  <c r="F929" i="31" s="1"/>
  <c r="E696" i="26"/>
  <c r="F695" i="26"/>
  <c r="E353" i="26"/>
  <c r="F353" i="26" s="1"/>
  <c r="F125" i="26"/>
  <c r="E127" i="26"/>
  <c r="F127" i="26" s="1"/>
  <c r="F746" i="26"/>
  <c r="E752" i="26" s="1"/>
  <c r="F372" i="26"/>
  <c r="E507" i="26"/>
  <c r="F229" i="26"/>
  <c r="E233" i="26"/>
  <c r="F233" i="26" s="1"/>
  <c r="E231" i="26"/>
  <c r="F231" i="26" s="1"/>
  <c r="E177" i="26"/>
  <c r="F177" i="26" s="1"/>
  <c r="F202" i="26" s="1"/>
  <c r="E914" i="26" s="1"/>
  <c r="F135" i="26"/>
  <c r="E137" i="26"/>
  <c r="F220" i="26"/>
  <c r="E363" i="26"/>
  <c r="E374" i="26"/>
  <c r="F374" i="26" s="1"/>
  <c r="E235" i="26"/>
  <c r="F184" i="26"/>
  <c r="F228" i="25"/>
  <c r="E232" i="25"/>
  <c r="F232" i="25" s="1"/>
  <c r="E230" i="25"/>
  <c r="F230" i="25" s="1"/>
  <c r="E712" i="25"/>
  <c r="F712" i="25" s="1"/>
  <c r="E800" i="25"/>
  <c r="F800" i="25" s="1"/>
  <c r="F819" i="25" s="1"/>
  <c r="E913" i="25" s="1"/>
  <c r="F711" i="25"/>
  <c r="F135" i="25"/>
  <c r="E137" i="25"/>
  <c r="E183" i="25"/>
  <c r="E371" i="25"/>
  <c r="F181" i="25"/>
  <c r="F219" i="25"/>
  <c r="E362" i="25"/>
  <c r="F716" i="25" l="1"/>
  <c r="E745" i="25" s="1"/>
  <c r="F752" i="25" s="1"/>
  <c r="E933" i="31"/>
  <c r="D21" i="14"/>
  <c r="E21" i="14" s="1"/>
  <c r="F21" i="14" s="1"/>
  <c r="F235" i="26"/>
  <c r="F248" i="26" s="1"/>
  <c r="E321" i="26" s="1"/>
  <c r="F338" i="26" s="1"/>
  <c r="E916" i="26" s="1"/>
  <c r="E237" i="26"/>
  <c r="F237" i="26" s="1"/>
  <c r="F363" i="26"/>
  <c r="E365" i="26"/>
  <c r="E499" i="26"/>
  <c r="F137" i="26"/>
  <c r="E141" i="26"/>
  <c r="F141" i="26" s="1"/>
  <c r="E805" i="26"/>
  <c r="F805" i="26" s="1"/>
  <c r="F841" i="26" s="1"/>
  <c r="E934" i="26" s="1"/>
  <c r="E717" i="26"/>
  <c r="F717" i="26" s="1"/>
  <c r="F716" i="26"/>
  <c r="E594" i="26"/>
  <c r="F594" i="26" s="1"/>
  <c r="F507" i="26"/>
  <c r="F718" i="26"/>
  <c r="F696" i="26"/>
  <c r="F371" i="25"/>
  <c r="E506" i="25"/>
  <c r="F137" i="25"/>
  <c r="F156" i="25" s="1"/>
  <c r="E891" i="25" s="1"/>
  <c r="E141" i="25"/>
  <c r="F141" i="25" s="1"/>
  <c r="E909" i="25"/>
  <c r="E358" i="25"/>
  <c r="E364" i="25"/>
  <c r="F362" i="25"/>
  <c r="E498" i="25"/>
  <c r="E373" i="25"/>
  <c r="F373" i="25" s="1"/>
  <c r="F183" i="25"/>
  <c r="F201" i="25" s="1"/>
  <c r="E893" i="25" s="1"/>
  <c r="E234" i="25"/>
  <c r="F721" i="26" l="1"/>
  <c r="E750" i="26" s="1"/>
  <c r="F757" i="26" s="1"/>
  <c r="F156" i="26"/>
  <c r="E912" i="26" s="1"/>
  <c r="F365" i="26"/>
  <c r="E367" i="26"/>
  <c r="F367" i="26" s="1"/>
  <c r="E586" i="26"/>
  <c r="F499" i="26"/>
  <c r="E501" i="26"/>
  <c r="F501" i="26" s="1"/>
  <c r="F234" i="25"/>
  <c r="E236" i="25"/>
  <c r="F236" i="25" s="1"/>
  <c r="E360" i="25"/>
  <c r="F360" i="25" s="1"/>
  <c r="F358" i="25"/>
  <c r="F498" i="25"/>
  <c r="E585" i="25"/>
  <c r="E500" i="25"/>
  <c r="F500" i="25" s="1"/>
  <c r="E366" i="25"/>
  <c r="F366" i="25" s="1"/>
  <c r="F364" i="25"/>
  <c r="F506" i="25"/>
  <c r="E593" i="25"/>
  <c r="F593" i="25" s="1"/>
  <c r="F384" i="26" l="1"/>
  <c r="E461" i="26" s="1"/>
  <c r="F473" i="26" s="1"/>
  <c r="E918" i="26" s="1"/>
  <c r="E930" i="26"/>
  <c r="E588" i="26"/>
  <c r="F588" i="26" s="1"/>
  <c r="F586" i="26"/>
  <c r="F517" i="26"/>
  <c r="E920" i="26" s="1"/>
  <c r="F516" i="25"/>
  <c r="E899" i="25" s="1"/>
  <c r="F383" i="25"/>
  <c r="E460" i="25" s="1"/>
  <c r="F472" i="25" s="1"/>
  <c r="E897" i="25" s="1"/>
  <c r="E587" i="25"/>
  <c r="F587" i="25" s="1"/>
  <c r="F585" i="25"/>
  <c r="F247" i="25"/>
  <c r="E320" i="25" s="1"/>
  <c r="F337" i="25" s="1"/>
  <c r="E895" i="25" s="1"/>
  <c r="F606" i="25" l="1"/>
  <c r="E903" i="25" s="1"/>
  <c r="F607" i="26"/>
  <c r="E924" i="26" s="1"/>
  <c r="F941" i="26" s="1"/>
  <c r="F920" i="25"/>
  <c r="F942" i="26" l="1"/>
  <c r="F943" i="26" s="1"/>
  <c r="F921" i="25"/>
  <c r="F922" i="25" s="1"/>
  <c r="F944" i="26" l="1"/>
  <c r="F945" i="26" s="1"/>
  <c r="F923" i="25"/>
  <c r="F924" i="25" s="1"/>
  <c r="F946" i="26" l="1"/>
  <c r="F947" i="26" s="1"/>
  <c r="F925" i="25"/>
  <c r="F926" i="25" s="1"/>
  <c r="E934" i="25" l="1"/>
  <c r="D12" i="14"/>
  <c r="E12" i="14" s="1"/>
  <c r="F12" i="14" s="1"/>
  <c r="F954" i="26"/>
  <c r="D15" i="14"/>
  <c r="E15" i="14" s="1"/>
  <c r="F15" i="14" s="1"/>
  <c r="E553" i="6"/>
  <c r="E551" i="6"/>
  <c r="F551" i="6" s="1"/>
  <c r="E549" i="6"/>
  <c r="F549" i="6" s="1"/>
  <c r="E547" i="6"/>
  <c r="E545" i="6"/>
  <c r="E543" i="6"/>
  <c r="E541" i="6"/>
  <c r="E538" i="6"/>
  <c r="F538" i="6" s="1"/>
  <c r="E536" i="6"/>
  <c r="E534" i="6"/>
  <c r="F534" i="6" s="1"/>
  <c r="E532" i="6"/>
  <c r="E530" i="6"/>
  <c r="E528" i="6"/>
  <c r="E526" i="6"/>
  <c r="C803" i="6"/>
  <c r="C799" i="6"/>
  <c r="C776" i="6"/>
  <c r="C780" i="6" s="1"/>
  <c r="C763" i="6"/>
  <c r="C761" i="6"/>
  <c r="C759" i="6"/>
  <c r="C770" i="6" s="1"/>
  <c r="C709" i="6"/>
  <c r="C705" i="6"/>
  <c r="E655" i="6"/>
  <c r="F560" i="6"/>
  <c r="C575" i="6"/>
  <c r="F553" i="6"/>
  <c r="F536" i="6"/>
  <c r="C487" i="6"/>
  <c r="C453" i="6"/>
  <c r="C444" i="6"/>
  <c r="C451" i="6" s="1"/>
  <c r="C436" i="6"/>
  <c r="C420" i="6"/>
  <c r="C352" i="6"/>
  <c r="C350" i="6"/>
  <c r="C234" i="6"/>
  <c r="C226" i="6"/>
  <c r="C213" i="6"/>
  <c r="C219" i="6" s="1"/>
  <c r="E147" i="6"/>
  <c r="E181" i="6" s="1"/>
  <c r="E226" i="6" s="1"/>
  <c r="C181" i="6"/>
  <c r="C175" i="6"/>
  <c r="C137" i="6"/>
  <c r="C139" i="6"/>
  <c r="E66" i="6"/>
  <c r="C16" i="6"/>
  <c r="C17" i="6"/>
  <c r="C13" i="6"/>
  <c r="I9" i="6" l="1"/>
  <c r="I8" i="6"/>
  <c r="F867" i="6"/>
  <c r="E90" i="6"/>
  <c r="C418" i="6"/>
  <c r="E418" i="6"/>
  <c r="E420" i="6" s="1"/>
  <c r="F420" i="6" s="1"/>
  <c r="F426" i="6"/>
  <c r="C119" i="13"/>
  <c r="F487" i="6"/>
  <c r="C767" i="6" l="1"/>
  <c r="I10" i="6"/>
  <c r="I11" i="6" s="1"/>
  <c r="E43" i="13"/>
  <c r="F418" i="6"/>
  <c r="C128" i="13" l="1"/>
  <c r="F128" i="13" s="1"/>
  <c r="F124" i="13"/>
  <c r="E120" i="13"/>
  <c r="C120" i="13"/>
  <c r="F119" i="13"/>
  <c r="F83" i="13"/>
  <c r="F43" i="13"/>
  <c r="F41" i="13"/>
  <c r="F12" i="13"/>
  <c r="E11" i="13"/>
  <c r="F11" i="13" s="1"/>
  <c r="F10" i="13"/>
  <c r="F9" i="13"/>
  <c r="F106" i="13" l="1"/>
  <c r="F120" i="13"/>
  <c r="F669" i="6" l="1"/>
  <c r="C777" i="6"/>
  <c r="C781" i="6" s="1"/>
  <c r="C764" i="6"/>
  <c r="C762" i="6"/>
  <c r="C760" i="6"/>
  <c r="C688" i="6"/>
  <c r="C771" i="6" l="1"/>
  <c r="F660" i="6"/>
  <c r="E622" i="6"/>
  <c r="E620" i="6"/>
  <c r="C806" i="6"/>
  <c r="C255" i="6"/>
  <c r="F255" i="6" s="1"/>
  <c r="F90" i="6" l="1"/>
  <c r="F89" i="6"/>
  <c r="E50" i="6"/>
  <c r="E123" i="6"/>
  <c r="F21" i="6"/>
  <c r="F50" i="6" l="1"/>
  <c r="E133" i="6"/>
  <c r="F133" i="6" s="1"/>
  <c r="C726" i="6" l="1"/>
  <c r="C693" i="6" l="1"/>
  <c r="C697" i="6" s="1"/>
  <c r="F897" i="6" l="1"/>
  <c r="C698" i="6" l="1"/>
  <c r="C351" i="8" l="1"/>
  <c r="H1004" i="8" l="1"/>
  <c r="F1004" i="8"/>
  <c r="H1003" i="8"/>
  <c r="F1003" i="8"/>
  <c r="H1002" i="8"/>
  <c r="F1002" i="8"/>
  <c r="H1001" i="8"/>
  <c r="F1001" i="8"/>
  <c r="H1000" i="8"/>
  <c r="F1000" i="8"/>
  <c r="H999" i="8"/>
  <c r="F999" i="8"/>
  <c r="H998" i="8"/>
  <c r="F998" i="8"/>
  <c r="H997" i="8"/>
  <c r="H996" i="8"/>
  <c r="E996" i="8"/>
  <c r="F996" i="8" s="1"/>
  <c r="H995" i="8"/>
  <c r="F995" i="8"/>
  <c r="H994" i="8"/>
  <c r="F994" i="8"/>
  <c r="H993" i="8"/>
  <c r="F993" i="8"/>
  <c r="H992" i="8"/>
  <c r="F992" i="8"/>
  <c r="H991" i="8"/>
  <c r="F991" i="8"/>
  <c r="H990" i="8"/>
  <c r="F990" i="8"/>
  <c r="H989" i="8"/>
  <c r="F989" i="8"/>
  <c r="H988" i="8"/>
  <c r="F988" i="8"/>
  <c r="H987" i="8"/>
  <c r="F987" i="8"/>
  <c r="H986" i="8"/>
  <c r="F986" i="8"/>
  <c r="H985" i="8"/>
  <c r="F985" i="8"/>
  <c r="H984" i="8"/>
  <c r="F984" i="8"/>
  <c r="H983" i="8"/>
  <c r="F983" i="8"/>
  <c r="H982" i="8"/>
  <c r="F982" i="8"/>
  <c r="H981" i="8"/>
  <c r="F981" i="8"/>
  <c r="H980" i="8"/>
  <c r="F980" i="8"/>
  <c r="H979" i="8"/>
  <c r="F979" i="8"/>
  <c r="H978" i="8"/>
  <c r="F978" i="8"/>
  <c r="H977" i="8"/>
  <c r="F977" i="8"/>
  <c r="H976" i="8"/>
  <c r="F976" i="8"/>
  <c r="H975" i="8"/>
  <c r="F975" i="8"/>
  <c r="H974" i="8"/>
  <c r="F974" i="8"/>
  <c r="H973" i="8"/>
  <c r="F973" i="8"/>
  <c r="H972" i="8"/>
  <c r="F972" i="8"/>
  <c r="H971" i="8"/>
  <c r="H970" i="8"/>
  <c r="H969" i="8"/>
  <c r="H968" i="8"/>
  <c r="H967" i="8"/>
  <c r="H966" i="8"/>
  <c r="F966" i="8"/>
  <c r="H965" i="8"/>
  <c r="F965" i="8"/>
  <c r="H964" i="8"/>
  <c r="F964" i="8"/>
  <c r="H963" i="8"/>
  <c r="F963" i="8"/>
  <c r="H962" i="8"/>
  <c r="F962" i="8"/>
  <c r="H961" i="8"/>
  <c r="E961" i="8"/>
  <c r="F961" i="8" s="1"/>
  <c r="H960" i="8"/>
  <c r="F960" i="8"/>
  <c r="H959" i="8"/>
  <c r="F959" i="8"/>
  <c r="E959" i="8"/>
  <c r="H958" i="8"/>
  <c r="F958" i="8"/>
  <c r="H957" i="8"/>
  <c r="E957" i="8"/>
  <c r="F957" i="8" s="1"/>
  <c r="H956" i="8"/>
  <c r="F956" i="8"/>
  <c r="H955" i="8"/>
  <c r="F955" i="8"/>
  <c r="H954" i="8"/>
  <c r="H953" i="8"/>
  <c r="H952" i="8"/>
  <c r="H951" i="8"/>
  <c r="H950" i="8"/>
  <c r="H949" i="8"/>
  <c r="E949" i="8"/>
  <c r="F949" i="8" s="1"/>
  <c r="H948" i="8"/>
  <c r="F948" i="8"/>
  <c r="H947" i="8"/>
  <c r="F947" i="8"/>
  <c r="H946" i="8"/>
  <c r="F946" i="8"/>
  <c r="H945" i="8"/>
  <c r="F945" i="8"/>
  <c r="H944" i="8"/>
  <c r="H943" i="8"/>
  <c r="H942" i="8"/>
  <c r="E942" i="8"/>
  <c r="E943" i="8" s="1"/>
  <c r="F943" i="8" s="1"/>
  <c r="H941" i="8"/>
  <c r="F941" i="8"/>
  <c r="H940" i="8"/>
  <c r="E940" i="8"/>
  <c r="F940" i="8" s="1"/>
  <c r="H939" i="8"/>
  <c r="F939" i="8"/>
  <c r="H938" i="8"/>
  <c r="H937" i="8"/>
  <c r="E937" i="8"/>
  <c r="F937" i="8" s="1"/>
  <c r="H936" i="8"/>
  <c r="F936" i="8"/>
  <c r="H935" i="8"/>
  <c r="H934" i="8"/>
  <c r="E934" i="8"/>
  <c r="E935" i="8" s="1"/>
  <c r="F935" i="8" s="1"/>
  <c r="H933" i="8"/>
  <c r="F933" i="8"/>
  <c r="H932" i="8"/>
  <c r="H931" i="8"/>
  <c r="H930" i="8"/>
  <c r="H929" i="8"/>
  <c r="H928" i="8"/>
  <c r="H927" i="8"/>
  <c r="E927" i="8"/>
  <c r="F927" i="8" s="1"/>
  <c r="H926" i="8"/>
  <c r="H925" i="8"/>
  <c r="E925" i="8"/>
  <c r="E926" i="8" s="1"/>
  <c r="F926" i="8" s="1"/>
  <c r="H924" i="8"/>
  <c r="E924" i="8"/>
  <c r="F924" i="8" s="1"/>
  <c r="H923" i="8"/>
  <c r="E923" i="8"/>
  <c r="F923" i="8" s="1"/>
  <c r="H922" i="8"/>
  <c r="H921" i="8"/>
  <c r="F921" i="8"/>
  <c r="H920" i="8"/>
  <c r="E920" i="8"/>
  <c r="F920" i="8" s="1"/>
  <c r="H919" i="8"/>
  <c r="E919" i="8"/>
  <c r="F919" i="8" s="1"/>
  <c r="H918" i="8"/>
  <c r="E918" i="8"/>
  <c r="F918" i="8" s="1"/>
  <c r="H917" i="8"/>
  <c r="E917" i="8"/>
  <c r="F917" i="8" s="1"/>
  <c r="H916" i="8"/>
  <c r="E916" i="8"/>
  <c r="F916" i="8" s="1"/>
  <c r="H915" i="8"/>
  <c r="E915" i="8"/>
  <c r="F915" i="8" s="1"/>
  <c r="H914" i="8"/>
  <c r="E914" i="8"/>
  <c r="F914" i="8" s="1"/>
  <c r="H913" i="8"/>
  <c r="H912" i="8"/>
  <c r="H911" i="8"/>
  <c r="H910" i="8"/>
  <c r="H909" i="8"/>
  <c r="H908" i="8"/>
  <c r="F908" i="8"/>
  <c r="H907" i="8"/>
  <c r="F907" i="8"/>
  <c r="H906" i="8"/>
  <c r="F906" i="8"/>
  <c r="H905" i="8"/>
  <c r="F905" i="8"/>
  <c r="H904" i="8"/>
  <c r="F904" i="8"/>
  <c r="H903" i="8"/>
  <c r="F903" i="8"/>
  <c r="F910" i="8" s="1"/>
  <c r="F1010" i="8" s="1"/>
  <c r="H902" i="8"/>
  <c r="H901" i="8"/>
  <c r="H900" i="8"/>
  <c r="H899" i="8"/>
  <c r="H898" i="8"/>
  <c r="F898" i="8"/>
  <c r="H897" i="8"/>
  <c r="F897" i="8"/>
  <c r="H896" i="8"/>
  <c r="F896" i="8"/>
  <c r="H895" i="8"/>
  <c r="E895" i="8"/>
  <c r="F895" i="8" s="1"/>
  <c r="H894" i="8"/>
  <c r="F894" i="8"/>
  <c r="H893" i="8"/>
  <c r="F893" i="8"/>
  <c r="H892" i="8"/>
  <c r="F892" i="8"/>
  <c r="H891" i="8"/>
  <c r="F891" i="8"/>
  <c r="H890" i="8"/>
  <c r="F890" i="8"/>
  <c r="H889" i="8"/>
  <c r="E889" i="8"/>
  <c r="E922" i="8" s="1"/>
  <c r="F922" i="8" s="1"/>
  <c r="H888" i="8"/>
  <c r="F888" i="8"/>
  <c r="H887" i="8"/>
  <c r="F887" i="8"/>
  <c r="H886" i="8"/>
  <c r="F886" i="8"/>
  <c r="H885" i="8"/>
  <c r="F885" i="8"/>
  <c r="H884" i="8"/>
  <c r="F884" i="8"/>
  <c r="H883" i="8"/>
  <c r="F883" i="8"/>
  <c r="H882" i="8"/>
  <c r="F882" i="8"/>
  <c r="H881" i="8"/>
  <c r="F881" i="8"/>
  <c r="H880" i="8"/>
  <c r="F880" i="8"/>
  <c r="H879" i="8"/>
  <c r="E879" i="8"/>
  <c r="F879" i="8" s="1"/>
  <c r="H878" i="8"/>
  <c r="F878" i="8"/>
  <c r="H877" i="8"/>
  <c r="F877" i="8"/>
  <c r="H876" i="8"/>
  <c r="F876" i="8"/>
  <c r="C847" i="8"/>
  <c r="F847" i="8" s="1"/>
  <c r="F843" i="8"/>
  <c r="F842" i="8"/>
  <c r="F841" i="8"/>
  <c r="F839" i="8"/>
  <c r="F837" i="8"/>
  <c r="F835" i="8"/>
  <c r="F833" i="8"/>
  <c r="F832" i="8"/>
  <c r="F831" i="8"/>
  <c r="F830" i="8"/>
  <c r="F829" i="8"/>
  <c r="F828" i="8"/>
  <c r="F827" i="8"/>
  <c r="F826" i="8"/>
  <c r="C825" i="8"/>
  <c r="F825" i="8" s="1"/>
  <c r="F816" i="8"/>
  <c r="F815" i="8"/>
  <c r="F814" i="8"/>
  <c r="F813" i="8"/>
  <c r="F812" i="8"/>
  <c r="F811" i="8"/>
  <c r="F810" i="8"/>
  <c r="F809" i="8"/>
  <c r="F808" i="8"/>
  <c r="F807" i="8"/>
  <c r="F806" i="8"/>
  <c r="F805" i="8"/>
  <c r="F804" i="8"/>
  <c r="F803" i="8"/>
  <c r="F802" i="8"/>
  <c r="F801" i="8"/>
  <c r="F800" i="8"/>
  <c r="F799" i="8"/>
  <c r="F798" i="8"/>
  <c r="F797" i="8"/>
  <c r="F796" i="8"/>
  <c r="F795" i="8"/>
  <c r="F794" i="8"/>
  <c r="F793" i="8"/>
  <c r="F792" i="8"/>
  <c r="C791" i="8"/>
  <c r="F791" i="8" s="1"/>
  <c r="C790" i="8"/>
  <c r="F790" i="8" s="1"/>
  <c r="C789" i="8"/>
  <c r="F789" i="8" s="1"/>
  <c r="C788" i="8"/>
  <c r="F788" i="8" s="1"/>
  <c r="F787" i="8"/>
  <c r="F761" i="8"/>
  <c r="C757" i="8"/>
  <c r="C764" i="8" s="1"/>
  <c r="F754" i="8"/>
  <c r="E742" i="8"/>
  <c r="E741" i="8"/>
  <c r="C741" i="8"/>
  <c r="E738" i="8"/>
  <c r="C738" i="8"/>
  <c r="C742" i="8" s="1"/>
  <c r="F742" i="8" s="1"/>
  <c r="F737" i="8"/>
  <c r="C731" i="8"/>
  <c r="F731" i="8" s="1"/>
  <c r="C727" i="8"/>
  <c r="E726" i="8"/>
  <c r="E727" i="8" s="1"/>
  <c r="F727" i="8" s="1"/>
  <c r="C723" i="8"/>
  <c r="E722" i="8"/>
  <c r="E723" i="8" s="1"/>
  <c r="F723" i="8" s="1"/>
  <c r="E721" i="8"/>
  <c r="F721" i="8" s="1"/>
  <c r="F720" i="8"/>
  <c r="E719" i="8"/>
  <c r="C719" i="8"/>
  <c r="F718" i="8"/>
  <c r="F716" i="8"/>
  <c r="E684" i="8"/>
  <c r="E680" i="8"/>
  <c r="F680" i="8" s="1"/>
  <c r="C678" i="8"/>
  <c r="C685" i="8" s="1"/>
  <c r="F685" i="8" s="1"/>
  <c r="E677" i="8"/>
  <c r="E679" i="8" s="1"/>
  <c r="F679" i="8" s="1"/>
  <c r="F674" i="8"/>
  <c r="F671" i="8"/>
  <c r="E663" i="8"/>
  <c r="F663" i="8" s="1"/>
  <c r="E662" i="8"/>
  <c r="F662" i="8" s="1"/>
  <c r="E661" i="8"/>
  <c r="F661" i="8" s="1"/>
  <c r="E655" i="8"/>
  <c r="E652" i="8"/>
  <c r="C652" i="8"/>
  <c r="C651" i="8"/>
  <c r="F651" i="8" s="1"/>
  <c r="E648" i="8"/>
  <c r="E647" i="8"/>
  <c r="E764" i="8" s="1"/>
  <c r="E644" i="8"/>
  <c r="C644" i="8"/>
  <c r="C648" i="8" s="1"/>
  <c r="E643" i="8"/>
  <c r="F639" i="8"/>
  <c r="E621" i="8"/>
  <c r="F621" i="8" s="1"/>
  <c r="F619" i="8"/>
  <c r="F617" i="8"/>
  <c r="C592" i="8"/>
  <c r="C578" i="8"/>
  <c r="E572" i="8"/>
  <c r="F572" i="8" s="1"/>
  <c r="C570" i="8"/>
  <c r="F559" i="8"/>
  <c r="F558" i="8"/>
  <c r="G556" i="8"/>
  <c r="H556" i="8" s="1"/>
  <c r="F556" i="8"/>
  <c r="H555" i="8"/>
  <c r="G554" i="8"/>
  <c r="H554" i="8" s="1"/>
  <c r="F554" i="8"/>
  <c r="H553" i="8"/>
  <c r="G552" i="8"/>
  <c r="H552" i="8" s="1"/>
  <c r="F552" i="8"/>
  <c r="G550" i="8"/>
  <c r="H550" i="8" s="1"/>
  <c r="F550" i="8"/>
  <c r="G548" i="8"/>
  <c r="H548" i="8" s="1"/>
  <c r="F548" i="8"/>
  <c r="G546" i="8"/>
  <c r="H546" i="8" s="1"/>
  <c r="F546" i="8"/>
  <c r="G544" i="8"/>
  <c r="H544" i="8" s="1"/>
  <c r="F544" i="8"/>
  <c r="G542" i="8"/>
  <c r="H542" i="8" s="1"/>
  <c r="F542" i="8"/>
  <c r="H538" i="8"/>
  <c r="G537" i="8"/>
  <c r="H537" i="8" s="1"/>
  <c r="C537" i="8"/>
  <c r="F537" i="8" s="1"/>
  <c r="H536" i="8"/>
  <c r="G535" i="8"/>
  <c r="H535" i="8" s="1"/>
  <c r="C535" i="8"/>
  <c r="F535" i="8" s="1"/>
  <c r="H534" i="8"/>
  <c r="G533" i="8"/>
  <c r="H533" i="8" s="1"/>
  <c r="C533" i="8"/>
  <c r="F533" i="8" s="1"/>
  <c r="G529" i="8"/>
  <c r="H529" i="8" s="1"/>
  <c r="F529" i="8"/>
  <c r="H527" i="8"/>
  <c r="G527" i="8"/>
  <c r="F527" i="8"/>
  <c r="G525" i="8"/>
  <c r="H525" i="8" s="1"/>
  <c r="F525" i="8"/>
  <c r="C502" i="8"/>
  <c r="C488" i="8"/>
  <c r="F482" i="8"/>
  <c r="I480" i="8"/>
  <c r="E480" i="8"/>
  <c r="E570" i="8" s="1"/>
  <c r="C480" i="8"/>
  <c r="C659" i="8" s="1"/>
  <c r="C677" i="8" s="1"/>
  <c r="C684" i="8" s="1"/>
  <c r="E450" i="8"/>
  <c r="F450" i="8" s="1"/>
  <c r="C448" i="8"/>
  <c r="C660" i="8" s="1"/>
  <c r="C443" i="8"/>
  <c r="F443" i="8" s="1"/>
  <c r="F437" i="8"/>
  <c r="E435" i="8"/>
  <c r="E415" i="8"/>
  <c r="E417" i="8" s="1"/>
  <c r="F417" i="8" s="1"/>
  <c r="C415" i="8"/>
  <c r="C435" i="8" s="1"/>
  <c r="C441" i="8" s="1"/>
  <c r="F441" i="8" s="1"/>
  <c r="F409" i="8"/>
  <c r="F402" i="8"/>
  <c r="F400" i="8"/>
  <c r="E396" i="8"/>
  <c r="F396" i="8" s="1"/>
  <c r="F394" i="8"/>
  <c r="F392" i="8"/>
  <c r="N384" i="8"/>
  <c r="E384" i="8"/>
  <c r="F384" i="8" s="1"/>
  <c r="N382" i="8"/>
  <c r="E382" i="8"/>
  <c r="F382" i="8" s="1"/>
  <c r="F380" i="8"/>
  <c r="C358" i="8"/>
  <c r="C357" i="8"/>
  <c r="F357" i="8" s="1"/>
  <c r="C343" i="8"/>
  <c r="C341" i="8"/>
  <c r="I340" i="8"/>
  <c r="J340" i="8" s="1"/>
  <c r="E302" i="8"/>
  <c r="E304" i="8" s="1"/>
  <c r="E292" i="8"/>
  <c r="E294" i="8" s="1"/>
  <c r="E270" i="8"/>
  <c r="E272" i="8" s="1"/>
  <c r="E262" i="8"/>
  <c r="C262" i="8"/>
  <c r="C260" i="8"/>
  <c r="F260" i="8" s="1"/>
  <c r="E250" i="8"/>
  <c r="F250" i="8" s="1"/>
  <c r="E248" i="8"/>
  <c r="E246" i="8"/>
  <c r="F246" i="8" s="1"/>
  <c r="C226" i="8"/>
  <c r="C224" i="8"/>
  <c r="C248" i="8" s="1"/>
  <c r="C222" i="8"/>
  <c r="C220" i="8"/>
  <c r="C218" i="8"/>
  <c r="C270" i="8" s="1"/>
  <c r="E216" i="8"/>
  <c r="E218" i="8" s="1"/>
  <c r="C216" i="8"/>
  <c r="C268" i="8" s="1"/>
  <c r="C203" i="8"/>
  <c r="E174" i="8"/>
  <c r="E224" i="8" s="1"/>
  <c r="E226" i="8" s="1"/>
  <c r="C174" i="8"/>
  <c r="F174" i="8" s="1"/>
  <c r="C172" i="8"/>
  <c r="C159" i="8"/>
  <c r="H159" i="8" s="1"/>
  <c r="I158" i="8"/>
  <c r="C137" i="8"/>
  <c r="E135" i="8"/>
  <c r="C135" i="8"/>
  <c r="C129" i="8"/>
  <c r="C125" i="8"/>
  <c r="C123" i="8"/>
  <c r="E121" i="8"/>
  <c r="F121" i="8" s="1"/>
  <c r="C121" i="8"/>
  <c r="C113" i="8"/>
  <c r="C111" i="8"/>
  <c r="E73" i="8"/>
  <c r="C73" i="8"/>
  <c r="F68" i="8"/>
  <c r="C62" i="8"/>
  <c r="F62" i="8" s="1"/>
  <c r="C53" i="8"/>
  <c r="E52" i="8"/>
  <c r="E53" i="8" s="1"/>
  <c r="C52" i="8"/>
  <c r="C51" i="8"/>
  <c r="F51" i="8" s="1"/>
  <c r="C44" i="8"/>
  <c r="C43" i="8"/>
  <c r="E42" i="8"/>
  <c r="E43" i="8" s="1"/>
  <c r="E44" i="8" s="1"/>
  <c r="C42" i="8"/>
  <c r="C41" i="8"/>
  <c r="F41" i="8" s="1"/>
  <c r="E36" i="8"/>
  <c r="C36" i="8"/>
  <c r="F36" i="8" s="1"/>
  <c r="E35" i="8"/>
  <c r="E111" i="8" s="1"/>
  <c r="C35" i="8"/>
  <c r="C34" i="8"/>
  <c r="F34" i="8" s="1"/>
  <c r="E24" i="8"/>
  <c r="C24" i="8"/>
  <c r="F23" i="8"/>
  <c r="C21" i="8"/>
  <c r="F21" i="8" s="1"/>
  <c r="E18" i="8"/>
  <c r="F18" i="8" s="1"/>
  <c r="C17" i="8"/>
  <c r="F17" i="8" s="1"/>
  <c r="C16" i="8"/>
  <c r="F16" i="8" s="1"/>
  <c r="E13" i="8"/>
  <c r="F13" i="8" s="1"/>
  <c r="E12" i="8"/>
  <c r="F12" i="8" s="1"/>
  <c r="E11" i="8"/>
  <c r="C11" i="8"/>
  <c r="F11" i="8" s="1"/>
  <c r="C10" i="8"/>
  <c r="F10" i="8" s="1"/>
  <c r="C9" i="8"/>
  <c r="F9" i="8" s="1"/>
  <c r="F24" i="8" l="1"/>
  <c r="F42" i="8"/>
  <c r="F53" i="8"/>
  <c r="F262" i="8"/>
  <c r="F448" i="8"/>
  <c r="F570" i="8"/>
  <c r="E638" i="8"/>
  <c r="E659" i="8" s="1"/>
  <c r="F644" i="8"/>
  <c r="F719" i="8"/>
  <c r="F726" i="8"/>
  <c r="F741" i="8"/>
  <c r="F764" i="8"/>
  <c r="F850" i="8"/>
  <c r="E864" i="8" s="1"/>
  <c r="F942" i="8"/>
  <c r="E997" i="8"/>
  <c r="F997" i="8" s="1"/>
  <c r="F1006" i="8" s="1"/>
  <c r="F1014" i="8" s="1"/>
  <c r="E37" i="8"/>
  <c r="F37" i="8" s="1"/>
  <c r="F43" i="8"/>
  <c r="F111" i="8"/>
  <c r="C166" i="8"/>
  <c r="E398" i="8"/>
  <c r="F398" i="8" s="1"/>
  <c r="F415" i="8"/>
  <c r="C423" i="8"/>
  <c r="C433" i="8" s="1"/>
  <c r="F433" i="8" s="1"/>
  <c r="F629" i="8"/>
  <c r="E1037" i="8" s="1"/>
  <c r="E944" i="8"/>
  <c r="F944" i="8" s="1"/>
  <c r="F35" i="8"/>
  <c r="E123" i="8"/>
  <c r="E125" i="8" s="1"/>
  <c r="F125" i="8" s="1"/>
  <c r="F135" i="8"/>
  <c r="I162" i="8"/>
  <c r="F226" i="8"/>
  <c r="F561" i="8"/>
  <c r="E1033" i="8" s="1"/>
  <c r="F648" i="8"/>
  <c r="F652" i="8"/>
  <c r="C732" i="8"/>
  <c r="F732" i="8" s="1"/>
  <c r="F722" i="8"/>
  <c r="F889" i="8"/>
  <c r="F900" i="8" s="1"/>
  <c r="F1009" i="8" s="1"/>
  <c r="F934" i="8"/>
  <c r="E938" i="8"/>
  <c r="F938" i="8" s="1"/>
  <c r="F73" i="8"/>
  <c r="F78" i="8" s="1"/>
  <c r="E88" i="8" s="1"/>
  <c r="E688" i="8"/>
  <c r="F688" i="8" s="1"/>
  <c r="F684" i="8"/>
  <c r="C258" i="8"/>
  <c r="F258" i="8" s="1"/>
  <c r="F248" i="8"/>
  <c r="F821" i="8"/>
  <c r="E863" i="8" s="1"/>
  <c r="F870" i="8" s="1"/>
  <c r="E1045" i="8" s="1"/>
  <c r="E660" i="8"/>
  <c r="F660" i="8" s="1"/>
  <c r="F659" i="8"/>
  <c r="F44" i="8"/>
  <c r="C290" i="8"/>
  <c r="F268" i="8"/>
  <c r="F270" i="8"/>
  <c r="C292" i="8"/>
  <c r="E488" i="8"/>
  <c r="E341" i="8"/>
  <c r="F341" i="8" s="1"/>
  <c r="E159" i="8"/>
  <c r="F159" i="8" s="1"/>
  <c r="E203" i="8"/>
  <c r="F203" i="8" s="1"/>
  <c r="E113" i="8"/>
  <c r="E220" i="8"/>
  <c r="F220" i="8" s="1"/>
  <c r="E222" i="8"/>
  <c r="F222" i="8" s="1"/>
  <c r="F969" i="8"/>
  <c r="F1013" i="8" s="1"/>
  <c r="F480" i="8"/>
  <c r="C14" i="8"/>
  <c r="F14" i="8" s="1"/>
  <c r="C655" i="8"/>
  <c r="F655" i="8" s="1"/>
  <c r="E686" i="8"/>
  <c r="F686" i="8" s="1"/>
  <c r="C15" i="8"/>
  <c r="F15" i="8" s="1"/>
  <c r="E166" i="8"/>
  <c r="E209" i="8" s="1"/>
  <c r="F216" i="8"/>
  <c r="C272" i="8"/>
  <c r="F435" i="8"/>
  <c r="E687" i="8"/>
  <c r="F687" i="8" s="1"/>
  <c r="C244" i="8"/>
  <c r="F52" i="8"/>
  <c r="E127" i="8"/>
  <c r="F127" i="8" s="1"/>
  <c r="E172" i="8"/>
  <c r="F218" i="8"/>
  <c r="F757" i="8"/>
  <c r="F925" i="8"/>
  <c r="F929" i="8" s="1"/>
  <c r="F1011" i="8" s="1"/>
  <c r="C638" i="8"/>
  <c r="F738" i="8"/>
  <c r="F677" i="8"/>
  <c r="C47" i="8"/>
  <c r="F47" i="8" s="1"/>
  <c r="E137" i="8"/>
  <c r="F137" i="8" s="1"/>
  <c r="F224" i="8"/>
  <c r="F678" i="8"/>
  <c r="F452" i="8" l="1"/>
  <c r="E461" i="8" s="1"/>
  <c r="C643" i="8"/>
  <c r="F643" i="8" s="1"/>
  <c r="E129" i="8"/>
  <c r="F129" i="8" s="1"/>
  <c r="F951" i="8"/>
  <c r="F1012" i="8" s="1"/>
  <c r="F783" i="8"/>
  <c r="E1043" i="8" s="1"/>
  <c r="F423" i="8"/>
  <c r="F745" i="8"/>
  <c r="E1041" i="8" s="1"/>
  <c r="F1016" i="8"/>
  <c r="E1047" i="8" s="1"/>
  <c r="F638" i="8"/>
  <c r="F426" i="8"/>
  <c r="E459" i="8" s="1"/>
  <c r="F30" i="8"/>
  <c r="E84" i="8" s="1"/>
  <c r="F57" i="8"/>
  <c r="E86" i="8" s="1"/>
  <c r="F123" i="8"/>
  <c r="F690" i="8"/>
  <c r="E696" i="8" s="1"/>
  <c r="F209" i="8"/>
  <c r="E351" i="8"/>
  <c r="E578" i="8"/>
  <c r="F578" i="8" s="1"/>
  <c r="F488" i="8"/>
  <c r="F166" i="8"/>
  <c r="F292" i="8"/>
  <c r="C302" i="8"/>
  <c r="F302" i="8" s="1"/>
  <c r="E358" i="8"/>
  <c r="E139" i="8"/>
  <c r="F139" i="8" s="1"/>
  <c r="C647" i="8"/>
  <c r="F647" i="8" s="1"/>
  <c r="C256" i="8"/>
  <c r="F256" i="8" s="1"/>
  <c r="F244" i="8"/>
  <c r="F237" i="8"/>
  <c r="F113" i="8"/>
  <c r="E343" i="8"/>
  <c r="F343" i="8" s="1"/>
  <c r="E115" i="8"/>
  <c r="F290" i="8"/>
  <c r="C300" i="8"/>
  <c r="F300" i="8" s="1"/>
  <c r="F272" i="8"/>
  <c r="C294" i="8"/>
  <c r="F172" i="8"/>
  <c r="F666" i="8" l="1"/>
  <c r="F192" i="8"/>
  <c r="E1025" i="8" s="1"/>
  <c r="F100" i="8"/>
  <c r="E1021" i="8" s="1"/>
  <c r="F283" i="8"/>
  <c r="E312" i="8" s="1"/>
  <c r="E310" i="8"/>
  <c r="E1027" i="8"/>
  <c r="C304" i="8"/>
  <c r="F304" i="8" s="1"/>
  <c r="F294" i="8"/>
  <c r="E345" i="8"/>
  <c r="F345" i="8" s="1"/>
  <c r="F115" i="8"/>
  <c r="F148" i="8" s="1"/>
  <c r="E1023" i="8" s="1"/>
  <c r="E494" i="8"/>
  <c r="F351" i="8"/>
  <c r="E694" i="8"/>
  <c r="F709" i="8" s="1"/>
  <c r="E1039" i="8"/>
  <c r="E502" i="8"/>
  <c r="F358" i="8"/>
  <c r="F307" i="8" l="1"/>
  <c r="E314" i="8" s="1"/>
  <c r="F375" i="8"/>
  <c r="E1029" i="8" s="1"/>
  <c r="E592" i="8"/>
  <c r="F592" i="8" s="1"/>
  <c r="F502" i="8"/>
  <c r="E584" i="8"/>
  <c r="E496" i="8"/>
  <c r="F496" i="8" s="1"/>
  <c r="F494" i="8"/>
  <c r="F329" i="8"/>
  <c r="E457" i="8" l="1"/>
  <c r="F471" i="8" s="1"/>
  <c r="F516" i="8"/>
  <c r="E1031" i="8" s="1"/>
  <c r="F584" i="8"/>
  <c r="E586" i="8"/>
  <c r="F586" i="8" s="1"/>
  <c r="F608" i="8" l="1"/>
  <c r="E1035" i="8" s="1"/>
  <c r="F1050" i="8" s="1"/>
  <c r="F1051" i="8" s="1"/>
  <c r="F1052" i="8" s="1"/>
  <c r="F1053" i="8" l="1"/>
  <c r="F1054" i="8" s="1"/>
  <c r="F1055" i="8" l="1"/>
  <c r="F1056" i="8" s="1"/>
  <c r="E1061" i="8" l="1"/>
  <c r="E1060" i="8"/>
  <c r="C727" i="6" l="1"/>
  <c r="F547" i="6"/>
  <c r="F532" i="6"/>
  <c r="F558" i="6" l="1"/>
  <c r="C259" i="6"/>
  <c r="C283" i="6" l="1"/>
  <c r="C304" i="6" s="1"/>
  <c r="C314" i="6" s="1"/>
  <c r="C281" i="6"/>
  <c r="C302" i="6" s="1"/>
  <c r="C312" i="6" s="1"/>
  <c r="C279" i="6"/>
  <c r="C300" i="6" s="1"/>
  <c r="C310" i="6" s="1"/>
  <c r="C273" i="6"/>
  <c r="C271" i="6"/>
  <c r="C269" i="6"/>
  <c r="C267" i="6"/>
  <c r="E59" i="6"/>
  <c r="F58" i="6"/>
  <c r="E43" i="6"/>
  <c r="F42" i="6"/>
  <c r="F43" i="6" l="1"/>
  <c r="F59" i="6"/>
  <c r="F49" i="6" l="1"/>
  <c r="E51" i="6"/>
  <c r="F51" i="6" l="1"/>
  <c r="E52" i="6"/>
  <c r="F52" i="6" l="1"/>
  <c r="E53" i="6"/>
  <c r="F53" i="6" s="1"/>
  <c r="C734" i="6" l="1"/>
  <c r="C733" i="6"/>
  <c r="F668" i="6" l="1"/>
  <c r="F664" i="6"/>
  <c r="F674" i="6"/>
  <c r="F665" i="6"/>
  <c r="F655" i="6"/>
  <c r="F678" i="6" l="1"/>
  <c r="E920" i="6" s="1"/>
  <c r="E928" i="6" l="1"/>
  <c r="F799" i="6" l="1"/>
  <c r="E780" i="6"/>
  <c r="E777" i="6"/>
  <c r="E763" i="6"/>
  <c r="E766" i="6"/>
  <c r="E767" i="6" s="1"/>
  <c r="E760" i="6"/>
  <c r="E762" i="6"/>
  <c r="F762" i="6" s="1"/>
  <c r="F761" i="6"/>
  <c r="E930" i="6" l="1"/>
  <c r="F803" i="6"/>
  <c r="E781" i="6"/>
  <c r="F776" i="6"/>
  <c r="F766" i="6"/>
  <c r="F763" i="6"/>
  <c r="F759" i="6"/>
  <c r="F757" i="6"/>
  <c r="E733" i="6"/>
  <c r="E736" i="6" s="1"/>
  <c r="F736" i="6" s="1"/>
  <c r="E729" i="6"/>
  <c r="F729" i="6" s="1"/>
  <c r="F734" i="6"/>
  <c r="E726" i="6"/>
  <c r="F723" i="6"/>
  <c r="F720" i="6"/>
  <c r="F737" i="6"/>
  <c r="E702" i="6"/>
  <c r="F702" i="6" s="1"/>
  <c r="E697" i="6"/>
  <c r="E698" i="6" s="1"/>
  <c r="E693" i="6"/>
  <c r="E694" i="6" s="1"/>
  <c r="F622" i="6"/>
  <c r="F620" i="6"/>
  <c r="E577" i="6"/>
  <c r="F577" i="6" s="1"/>
  <c r="F530" i="6"/>
  <c r="F528" i="6"/>
  <c r="F526" i="6"/>
  <c r="F484" i="6"/>
  <c r="E453" i="6"/>
  <c r="F453" i="6" s="1"/>
  <c r="F451" i="6"/>
  <c r="F446" i="6"/>
  <c r="F444" i="6"/>
  <c r="F440" i="6"/>
  <c r="E438" i="6"/>
  <c r="F438" i="6" s="1"/>
  <c r="F412" i="6"/>
  <c r="F406" i="6"/>
  <c r="E402" i="6"/>
  <c r="E404" i="6" s="1"/>
  <c r="F404" i="6" s="1"/>
  <c r="F400" i="6"/>
  <c r="F398" i="6"/>
  <c r="F389" i="6"/>
  <c r="E312" i="6"/>
  <c r="E314" i="6" s="1"/>
  <c r="E302" i="6"/>
  <c r="E304" i="6" s="1"/>
  <c r="E281" i="6"/>
  <c r="E283" i="6" s="1"/>
  <c r="F271" i="6"/>
  <c r="E261" i="6"/>
  <c r="F261" i="6" s="1"/>
  <c r="E259" i="6"/>
  <c r="E257" i="6"/>
  <c r="F257" i="6" s="1"/>
  <c r="F226" i="6"/>
  <c r="F147" i="6"/>
  <c r="E135" i="6"/>
  <c r="F85" i="6"/>
  <c r="F80" i="6"/>
  <c r="F66" i="6"/>
  <c r="F62" i="6"/>
  <c r="E37" i="6"/>
  <c r="F36" i="6"/>
  <c r="E18" i="6"/>
  <c r="F18" i="6" s="1"/>
  <c r="F17" i="6"/>
  <c r="F16" i="6"/>
  <c r="F15" i="6"/>
  <c r="F14" i="6"/>
  <c r="E13" i="6"/>
  <c r="F13" i="6" s="1"/>
  <c r="E12" i="6"/>
  <c r="F12" i="6" s="1"/>
  <c r="E11" i="6"/>
  <c r="F11" i="6" s="1"/>
  <c r="F10" i="6"/>
  <c r="E689" i="6" l="1"/>
  <c r="E711" i="6" s="1"/>
  <c r="F711" i="6" s="1"/>
  <c r="E806" i="6"/>
  <c r="F806" i="6" s="1"/>
  <c r="F482" i="6"/>
  <c r="F93" i="6"/>
  <c r="E101" i="6" s="1"/>
  <c r="F689" i="6"/>
  <c r="F646" i="6"/>
  <c r="E918" i="6" s="1"/>
  <c r="F273" i="6"/>
  <c r="F541" i="6"/>
  <c r="F543" i="6"/>
  <c r="F545" i="6"/>
  <c r="F267" i="6"/>
  <c r="F770" i="6"/>
  <c r="F777" i="6"/>
  <c r="F698" i="6"/>
  <c r="F259" i="6"/>
  <c r="F726" i="6"/>
  <c r="F697" i="6"/>
  <c r="F760" i="6"/>
  <c r="E764" i="6"/>
  <c r="F764" i="6" s="1"/>
  <c r="F269" i="6"/>
  <c r="F705" i="6"/>
  <c r="F302" i="6"/>
  <c r="F780" i="6"/>
  <c r="F281" i="6"/>
  <c r="F694" i="6"/>
  <c r="F283" i="6"/>
  <c r="E149" i="6"/>
  <c r="F149" i="6" s="1"/>
  <c r="F727" i="6"/>
  <c r="F767" i="6"/>
  <c r="E728" i="6"/>
  <c r="F728" i="6" s="1"/>
  <c r="F701" i="6"/>
  <c r="F9" i="6"/>
  <c r="F31" i="6" s="1"/>
  <c r="F436" i="6"/>
  <c r="F455" i="6" s="1"/>
  <c r="E464" i="6" s="1"/>
  <c r="F771" i="6"/>
  <c r="E709" i="6"/>
  <c r="E796" i="6" s="1"/>
  <c r="F796" i="6" s="1"/>
  <c r="F688" i="6"/>
  <c r="E168" i="6"/>
  <c r="E350" i="6"/>
  <c r="F350" i="6" s="1"/>
  <c r="E213" i="6"/>
  <c r="F213" i="6" s="1"/>
  <c r="E125" i="6"/>
  <c r="E492" i="6"/>
  <c r="F123" i="6"/>
  <c r="E137" i="6"/>
  <c r="F135" i="6"/>
  <c r="E228" i="6"/>
  <c r="F735" i="6"/>
  <c r="E139" i="6"/>
  <c r="F139" i="6" s="1"/>
  <c r="E175" i="6"/>
  <c r="F781" i="6"/>
  <c r="F402" i="6"/>
  <c r="F428" i="6" s="1"/>
  <c r="E575" i="6"/>
  <c r="F575" i="6" s="1"/>
  <c r="F279" i="6"/>
  <c r="F37" i="6"/>
  <c r="F72" i="6" s="1"/>
  <c r="F168" i="6" l="1"/>
  <c r="F292" i="6"/>
  <c r="E322" i="6" s="1"/>
  <c r="E371" i="6"/>
  <c r="E183" i="6"/>
  <c r="F565" i="6"/>
  <c r="E914" i="6" s="1"/>
  <c r="F832" i="6"/>
  <c r="E926" i="6" s="1"/>
  <c r="E97" i="6"/>
  <c r="F786" i="6"/>
  <c r="E924" i="6" s="1"/>
  <c r="E99" i="6"/>
  <c r="F300" i="6"/>
  <c r="F693" i="6"/>
  <c r="E462" i="6"/>
  <c r="F312" i="6"/>
  <c r="F181" i="6"/>
  <c r="F304" i="6"/>
  <c r="F314" i="6"/>
  <c r="E219" i="6"/>
  <c r="E358" i="6" s="1"/>
  <c r="F175" i="6"/>
  <c r="F492" i="6"/>
  <c r="E583" i="6"/>
  <c r="F583" i="6" s="1"/>
  <c r="E710" i="6"/>
  <c r="F710" i="6" s="1"/>
  <c r="F709" i="6"/>
  <c r="E352" i="6"/>
  <c r="F352" i="6" s="1"/>
  <c r="E127" i="6"/>
  <c r="F125" i="6"/>
  <c r="E141" i="6"/>
  <c r="F141" i="6" s="1"/>
  <c r="F137" i="6"/>
  <c r="E232" i="6"/>
  <c r="F232" i="6" s="1"/>
  <c r="F228" i="6"/>
  <c r="E230" i="6"/>
  <c r="F230" i="6" s="1"/>
  <c r="E360" i="6" l="1"/>
  <c r="F360" i="6" s="1"/>
  <c r="F358" i="6"/>
  <c r="E506" i="6"/>
  <c r="F506" i="6" s="1"/>
  <c r="E373" i="6"/>
  <c r="F111" i="6"/>
  <c r="E902" i="6" s="1"/>
  <c r="F371" i="6"/>
  <c r="F183" i="6"/>
  <c r="F201" i="6" s="1"/>
  <c r="E906" i="6" s="1"/>
  <c r="F373" i="6"/>
  <c r="E234" i="6"/>
  <c r="F714" i="6"/>
  <c r="E743" i="6" s="1"/>
  <c r="F310" i="6"/>
  <c r="F733" i="6"/>
  <c r="F739" i="6" s="1"/>
  <c r="E745" i="6" s="1"/>
  <c r="F219" i="6"/>
  <c r="E362" i="6"/>
  <c r="E364" i="6" s="1"/>
  <c r="F127" i="6"/>
  <c r="F156" i="6" s="1"/>
  <c r="E904" i="6" s="1"/>
  <c r="E597" i="6" l="1"/>
  <c r="F597" i="6" s="1"/>
  <c r="F750" i="6"/>
  <c r="F317" i="6"/>
  <c r="E324" i="6" s="1"/>
  <c r="F234" i="6"/>
  <c r="E236" i="6"/>
  <c r="F236" i="6" s="1"/>
  <c r="E366" i="6"/>
  <c r="F366" i="6" s="1"/>
  <c r="F364" i="6"/>
  <c r="E922" i="6"/>
  <c r="E498" i="6"/>
  <c r="F362" i="6"/>
  <c r="F383" i="6" l="1"/>
  <c r="F247" i="6"/>
  <c r="E320" i="6" s="1"/>
  <c r="F337" i="6" s="1"/>
  <c r="E908" i="6" s="1"/>
  <c r="E500" i="6"/>
  <c r="F500" i="6" s="1"/>
  <c r="F498" i="6"/>
  <c r="E589" i="6"/>
  <c r="F16" i="13" l="1"/>
  <c r="F30" i="13" s="1"/>
  <c r="E149" i="13" s="1"/>
  <c r="E460" i="6"/>
  <c r="F472" i="6" s="1"/>
  <c r="E910" i="6" s="1"/>
  <c r="F516" i="6"/>
  <c r="E912" i="6" s="1"/>
  <c r="E591" i="6"/>
  <c r="F591" i="6" s="1"/>
  <c r="F589" i="6"/>
  <c r="E115" i="13" l="1"/>
  <c r="F115" i="13" s="1"/>
  <c r="F610" i="6"/>
  <c r="F144" i="13" l="1"/>
  <c r="E153" i="13" s="1"/>
  <c r="F48" i="13"/>
  <c r="F65" i="13"/>
  <c r="E916" i="6"/>
  <c r="C812" i="3"/>
  <c r="F933" i="6" l="1"/>
  <c r="F934" i="6" s="1"/>
  <c r="F935" i="6" s="1"/>
  <c r="F936" i="6" s="1"/>
  <c r="F937" i="6" s="1"/>
  <c r="F938" i="6" s="1"/>
  <c r="F939" i="6" s="1"/>
  <c r="G956" i="6" s="1"/>
  <c r="E57" i="13"/>
  <c r="F57" i="13" s="1"/>
  <c r="E59" i="13"/>
  <c r="F59" i="13" s="1"/>
  <c r="F55" i="13"/>
  <c r="C883" i="3"/>
  <c r="C876" i="3"/>
  <c r="C866" i="3"/>
  <c r="C862" i="3"/>
  <c r="C858" i="3"/>
  <c r="C814" i="3"/>
  <c r="C823" i="3"/>
  <c r="C821" i="3"/>
  <c r="C829" i="3"/>
  <c r="C831" i="3"/>
  <c r="C757" i="3"/>
  <c r="C753" i="3"/>
  <c r="C744" i="3"/>
  <c r="C742" i="3"/>
  <c r="C735" i="3"/>
  <c r="C733" i="3"/>
  <c r="C720" i="3"/>
  <c r="C706" i="3"/>
  <c r="C704" i="3"/>
  <c r="C702" i="3"/>
  <c r="C700" i="3"/>
  <c r="C623" i="3"/>
  <c r="C621" i="3"/>
  <c r="C615" i="3"/>
  <c r="C613" i="3"/>
  <c r="C608" i="3"/>
  <c r="C602" i="3"/>
  <c r="C553" i="3"/>
  <c r="C551" i="3"/>
  <c r="C529" i="3"/>
  <c r="C527" i="3"/>
  <c r="C496" i="3"/>
  <c r="C494" i="3"/>
  <c r="C489" i="3"/>
  <c r="C483" i="3"/>
  <c r="C432" i="3"/>
  <c r="C380" i="3"/>
  <c r="C378" i="3"/>
  <c r="C376" i="3"/>
  <c r="C370" i="3"/>
  <c r="C368" i="3"/>
  <c r="C366" i="3"/>
  <c r="C355" i="3"/>
  <c r="C348" i="3"/>
  <c r="C336" i="3"/>
  <c r="C303" i="3"/>
  <c r="C291" i="3"/>
  <c r="C285" i="3"/>
  <c r="C295" i="3" s="1"/>
  <c r="C283" i="3"/>
  <c r="C293" i="3" s="1"/>
  <c r="C281" i="3"/>
  <c r="C274" i="3"/>
  <c r="C272" i="3"/>
  <c r="C270" i="3"/>
  <c r="C268" i="3"/>
  <c r="C264" i="3"/>
  <c r="C262" i="3"/>
  <c r="C260" i="3"/>
  <c r="C258" i="3"/>
  <c r="C253" i="3"/>
  <c r="C251" i="3"/>
  <c r="C249" i="3"/>
  <c r="C238" i="3"/>
  <c r="C242" i="3"/>
  <c r="C240" i="3"/>
  <c r="C236" i="3"/>
  <c r="C228" i="3"/>
  <c r="C195" i="3"/>
  <c r="C193" i="3"/>
  <c r="C181" i="3"/>
  <c r="C177" i="3"/>
  <c r="C142" i="3"/>
  <c r="C138" i="3"/>
  <c r="C136" i="3"/>
  <c r="C129" i="3"/>
  <c r="C127" i="3"/>
  <c r="C121" i="3"/>
  <c r="C119" i="3"/>
  <c r="C98" i="3"/>
  <c r="C93" i="3"/>
  <c r="C85" i="3"/>
  <c r="C77" i="3"/>
  <c r="C73" i="3"/>
  <c r="C71" i="3"/>
  <c r="C61" i="3"/>
  <c r="C59" i="3"/>
  <c r="C57" i="3"/>
  <c r="C55" i="3"/>
  <c r="C42" i="3"/>
  <c r="C40" i="3"/>
  <c r="C38" i="3"/>
  <c r="C34" i="3"/>
  <c r="C32" i="3"/>
  <c r="C26" i="3"/>
  <c r="C24" i="3"/>
  <c r="C21" i="3"/>
  <c r="C18" i="3"/>
  <c r="C15" i="3"/>
  <c r="C13" i="3"/>
  <c r="C10" i="3"/>
  <c r="C8" i="3"/>
  <c r="F74" i="13" l="1"/>
  <c r="D18" i="14"/>
  <c r="E18" i="14" s="1"/>
  <c r="F18" i="14" s="1"/>
  <c r="F955" i="6"/>
  <c r="G957" i="6"/>
  <c r="E151" i="13"/>
  <c r="H1117" i="3"/>
  <c r="H516" i="3"/>
  <c r="H520" i="3"/>
  <c r="H518" i="3"/>
  <c r="H514" i="3"/>
  <c r="H512" i="3"/>
  <c r="H510" i="3"/>
  <c r="H508" i="3"/>
  <c r="H506" i="3"/>
  <c r="H504" i="3"/>
  <c r="F160" i="13" l="1"/>
  <c r="E170" i="13" s="1"/>
  <c r="E172" i="13" s="1"/>
  <c r="E174" i="13" s="1"/>
  <c r="E176" i="13" s="1"/>
  <c r="E177" i="13" s="1"/>
  <c r="F621" i="3"/>
  <c r="F623" i="3"/>
  <c r="F518" i="3"/>
  <c r="F33" i="14" l="1"/>
  <c r="F35" i="14" s="1"/>
  <c r="F47" i="14" s="1"/>
  <c r="E181" i="13"/>
  <c r="F168" i="13"/>
  <c r="F165" i="13" s="1"/>
  <c r="E179" i="13"/>
  <c r="F712" i="3"/>
  <c r="F689" i="3" l="1"/>
  <c r="C409" i="3" l="1"/>
  <c r="C727" i="3"/>
  <c r="F636" i="3" l="1"/>
  <c r="F525" i="3" l="1"/>
  <c r="F531" i="3"/>
  <c r="F715" i="3"/>
  <c r="E134" i="3" l="1"/>
  <c r="F134" i="3" s="1"/>
  <c r="F69" i="3"/>
  <c r="H1136" i="3"/>
  <c r="I1119" i="3"/>
  <c r="H1119" i="3"/>
  <c r="I1117"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2" i="3"/>
  <c r="F1041" i="3"/>
  <c r="F1040" i="3"/>
  <c r="F1039" i="3"/>
  <c r="F1038" i="3"/>
  <c r="F1037" i="3"/>
  <c r="F1036" i="3"/>
  <c r="F1035" i="3"/>
  <c r="F1034" i="3"/>
  <c r="F1033" i="3"/>
  <c r="F1032" i="3"/>
  <c r="F1031" i="3"/>
  <c r="F1030" i="3"/>
  <c r="F1029"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79" i="3"/>
  <c r="F977" i="3"/>
  <c r="F972" i="3"/>
  <c r="F968" i="3"/>
  <c r="F967" i="3"/>
  <c r="F966" i="3"/>
  <c r="F965" i="3"/>
  <c r="F964" i="3"/>
  <c r="F963" i="3"/>
  <c r="F962" i="3"/>
  <c r="F961" i="3"/>
  <c r="F960" i="3"/>
  <c r="F959" i="3"/>
  <c r="F958" i="3"/>
  <c r="F957" i="3"/>
  <c r="F956" i="3"/>
  <c r="F955" i="3"/>
  <c r="F954" i="3"/>
  <c r="F953" i="3"/>
  <c r="F952" i="3"/>
  <c r="F951" i="3"/>
  <c r="F950" i="3"/>
  <c r="F943" i="3"/>
  <c r="F942" i="3"/>
  <c r="F941" i="3"/>
  <c r="F940" i="3"/>
  <c r="F939" i="3"/>
  <c r="F938" i="3"/>
  <c r="F937" i="3"/>
  <c r="F936" i="3"/>
  <c r="F935" i="3"/>
  <c r="F934" i="3"/>
  <c r="F933" i="3"/>
  <c r="F932" i="3"/>
  <c r="F931" i="3"/>
  <c r="F930" i="3"/>
  <c r="F929" i="3"/>
  <c r="F928" i="3"/>
  <c r="F927" i="3"/>
  <c r="F926" i="3"/>
  <c r="F925" i="3"/>
  <c r="F924" i="3"/>
  <c r="F923" i="3"/>
  <c r="F922" i="3"/>
  <c r="F921" i="3"/>
  <c r="F918" i="3"/>
  <c r="F917" i="3"/>
  <c r="F916" i="3"/>
  <c r="F915" i="3"/>
  <c r="F914" i="3"/>
  <c r="F913" i="3"/>
  <c r="F912" i="3"/>
  <c r="F911" i="3"/>
  <c r="F910" i="3"/>
  <c r="F909" i="3"/>
  <c r="F908" i="3"/>
  <c r="F907" i="3"/>
  <c r="F906" i="3"/>
  <c r="F905" i="3"/>
  <c r="F869" i="3"/>
  <c r="F866" i="3"/>
  <c r="F862" i="3"/>
  <c r="E829" i="3"/>
  <c r="F829" i="3" s="1"/>
  <c r="E823" i="3"/>
  <c r="E814" i="3"/>
  <c r="E757" i="3"/>
  <c r="E755" i="3"/>
  <c r="F753" i="3"/>
  <c r="C746" i="3"/>
  <c r="E742" i="3"/>
  <c r="E883" i="3" s="1"/>
  <c r="F710" i="3"/>
  <c r="F666" i="3"/>
  <c r="F661" i="3"/>
  <c r="F659" i="3"/>
  <c r="E640" i="3"/>
  <c r="F640" i="3" s="1"/>
  <c r="F638" i="3"/>
  <c r="F629" i="3"/>
  <c r="F625" i="3"/>
  <c r="E553" i="3"/>
  <c r="F553" i="3" s="1"/>
  <c r="E551" i="3"/>
  <c r="F551" i="3" s="1"/>
  <c r="F529" i="3"/>
  <c r="F527" i="3"/>
  <c r="F520" i="3"/>
  <c r="F516" i="3"/>
  <c r="F514" i="3"/>
  <c r="F512" i="3"/>
  <c r="F510" i="3"/>
  <c r="F508" i="3"/>
  <c r="F506" i="3"/>
  <c r="F504" i="3"/>
  <c r="E494" i="3"/>
  <c r="E613" i="3" s="1"/>
  <c r="F434" i="3"/>
  <c r="F432" i="3"/>
  <c r="E408" i="3"/>
  <c r="E406" i="3"/>
  <c r="F406" i="3" s="1"/>
  <c r="E404" i="3"/>
  <c r="F402" i="3"/>
  <c r="F389" i="3"/>
  <c r="E387" i="3"/>
  <c r="F387" i="3" s="1"/>
  <c r="F385" i="3"/>
  <c r="E378" i="3"/>
  <c r="E380" i="3" s="1"/>
  <c r="F380" i="3" s="1"/>
  <c r="F376" i="3"/>
  <c r="E359" i="3"/>
  <c r="E361" i="3" s="1"/>
  <c r="F361" i="3" s="1"/>
  <c r="F353" i="3"/>
  <c r="F348" i="3"/>
  <c r="E305" i="3"/>
  <c r="E744" i="3" s="1"/>
  <c r="E746" i="3" s="1"/>
  <c r="E295" i="3"/>
  <c r="E735" i="3" s="1"/>
  <c r="E293" i="3"/>
  <c r="E733" i="3" s="1"/>
  <c r="E876" i="3" s="1"/>
  <c r="E283" i="3"/>
  <c r="E700" i="3" s="1"/>
  <c r="F700" i="3" s="1"/>
  <c r="E270" i="3"/>
  <c r="E274" i="3" s="1"/>
  <c r="F268" i="3"/>
  <c r="F264" i="3"/>
  <c r="F262" i="3"/>
  <c r="F260" i="3"/>
  <c r="F258" i="3"/>
  <c r="E240" i="3"/>
  <c r="E355" i="3" s="1"/>
  <c r="E489" i="3" s="1"/>
  <c r="E238" i="3"/>
  <c r="F238" i="3" s="1"/>
  <c r="F195" i="3"/>
  <c r="F193" i="3"/>
  <c r="E187" i="3"/>
  <c r="F187" i="3" s="1"/>
  <c r="F173" i="3"/>
  <c r="E127" i="3"/>
  <c r="F127" i="3" s="1"/>
  <c r="F98" i="3"/>
  <c r="F93" i="3"/>
  <c r="F85" i="3"/>
  <c r="E77" i="3"/>
  <c r="F77" i="3" s="1"/>
  <c r="E75" i="3"/>
  <c r="F75" i="3" s="1"/>
  <c r="E73" i="3"/>
  <c r="F73" i="3" s="1"/>
  <c r="F71" i="3"/>
  <c r="E59" i="3"/>
  <c r="F59" i="3" s="1"/>
  <c r="F57" i="3"/>
  <c r="E55" i="3"/>
  <c r="F55" i="3" s="1"/>
  <c r="E42" i="3"/>
  <c r="E119" i="3" s="1"/>
  <c r="E40" i="3"/>
  <c r="F40" i="3" s="1"/>
  <c r="F38" i="3"/>
  <c r="E34" i="3"/>
  <c r="F34" i="3" s="1"/>
  <c r="F32" i="3"/>
  <c r="F28" i="3"/>
  <c r="F26" i="3"/>
  <c r="F24" i="3"/>
  <c r="F21" i="3"/>
  <c r="F18" i="3"/>
  <c r="F15" i="3"/>
  <c r="E13" i="3"/>
  <c r="F13" i="3" s="1"/>
  <c r="F10" i="3"/>
  <c r="F8" i="3"/>
  <c r="F475" i="3" l="1"/>
  <c r="F1101" i="3" s="1"/>
  <c r="E121" i="3"/>
  <c r="F121" i="3" s="1"/>
  <c r="E177" i="3"/>
  <c r="F177" i="3" s="1"/>
  <c r="F883" i="3"/>
  <c r="F876" i="3"/>
  <c r="F735" i="3"/>
  <c r="F291" i="3"/>
  <c r="E285" i="3"/>
  <c r="F285" i="3" s="1"/>
  <c r="E136" i="3"/>
  <c r="F136" i="3" s="1"/>
  <c r="F404" i="3"/>
  <c r="F410" i="3" s="1"/>
  <c r="E416" i="3" s="1"/>
  <c r="F755" i="3"/>
  <c r="F359" i="3"/>
  <c r="F946" i="3"/>
  <c r="E987" i="3" s="1"/>
  <c r="F984" i="3"/>
  <c r="E989" i="3" s="1"/>
  <c r="F1024" i="3"/>
  <c r="E1081" i="3" s="1"/>
  <c r="F274" i="3"/>
  <c r="F42" i="3"/>
  <c r="F49" i="3" s="1"/>
  <c r="E103" i="3" s="1"/>
  <c r="E129" i="3"/>
  <c r="E236" i="3" s="1"/>
  <c r="F236" i="3" s="1"/>
  <c r="E242" i="3"/>
  <c r="E272" i="3"/>
  <c r="F272" i="3" s="1"/>
  <c r="F281" i="3"/>
  <c r="F240" i="3"/>
  <c r="F270" i="3"/>
  <c r="F283" i="3"/>
  <c r="F305" i="3"/>
  <c r="F594" i="3"/>
  <c r="F1105" i="3" s="1"/>
  <c r="F1044" i="3"/>
  <c r="E1083" i="3" s="1"/>
  <c r="F1079" i="3"/>
  <c r="E1085" i="3" s="1"/>
  <c r="E615" i="3"/>
  <c r="F615" i="3" s="1"/>
  <c r="F613" i="3"/>
  <c r="F489" i="3"/>
  <c r="E608" i="3"/>
  <c r="F608" i="3" s="1"/>
  <c r="F100" i="3"/>
  <c r="E105" i="3" s="1"/>
  <c r="F744" i="3"/>
  <c r="E228" i="3"/>
  <c r="F119" i="3"/>
  <c r="F727" i="3"/>
  <c r="F746" i="3"/>
  <c r="E858" i="3"/>
  <c r="F858" i="3" s="1"/>
  <c r="F295" i="3"/>
  <c r="F378" i="3"/>
  <c r="F494" i="3"/>
  <c r="F720" i="3"/>
  <c r="F355" i="3"/>
  <c r="E496" i="3"/>
  <c r="F496" i="3" s="1"/>
  <c r="E702" i="3"/>
  <c r="E831" i="3"/>
  <c r="F831" i="3" s="1"/>
  <c r="F129" i="3" l="1"/>
  <c r="F900" i="3"/>
  <c r="F1115" i="3" s="1"/>
  <c r="F1109" i="3"/>
  <c r="F757" i="3"/>
  <c r="F759" i="3" s="1"/>
  <c r="E765" i="3" s="1"/>
  <c r="F293" i="3"/>
  <c r="E138" i="3"/>
  <c r="E181" i="3" s="1"/>
  <c r="E244" i="3"/>
  <c r="F244" i="3" s="1"/>
  <c r="E357" i="3"/>
  <c r="F357" i="3" s="1"/>
  <c r="F1087" i="3"/>
  <c r="F994" i="3"/>
  <c r="F242" i="3"/>
  <c r="F303" i="3"/>
  <c r="F733" i="3"/>
  <c r="E336" i="3"/>
  <c r="E230" i="3"/>
  <c r="F230" i="3" s="1"/>
  <c r="F228" i="3"/>
  <c r="F702" i="3"/>
  <c r="E704" i="3"/>
  <c r="E708" i="3"/>
  <c r="F708" i="3" s="1"/>
  <c r="F112" i="3"/>
  <c r="F1091" i="3" s="1"/>
  <c r="E249" i="3" l="1"/>
  <c r="F181" i="3"/>
  <c r="F138" i="3"/>
  <c r="F307" i="3"/>
  <c r="E313" i="3" s="1"/>
  <c r="F742" i="3"/>
  <c r="E140" i="3"/>
  <c r="F219" i="3"/>
  <c r="F1095" i="3" s="1"/>
  <c r="E706" i="3"/>
  <c r="F706" i="3" s="1"/>
  <c r="F704" i="3"/>
  <c r="E483" i="3"/>
  <c r="F336" i="3"/>
  <c r="E338" i="3"/>
  <c r="F249" i="3" l="1"/>
  <c r="E251" i="3"/>
  <c r="F338" i="3"/>
  <c r="E340" i="3"/>
  <c r="F748" i="3"/>
  <c r="E763" i="3" s="1"/>
  <c r="F800" i="3" s="1"/>
  <c r="F1111" i="3" s="1"/>
  <c r="E142" i="3"/>
  <c r="F142" i="3" s="1"/>
  <c r="F140" i="3"/>
  <c r="E602" i="3"/>
  <c r="F602" i="3" s="1"/>
  <c r="F646" i="3" s="1"/>
  <c r="F1107" i="3" s="1"/>
  <c r="F483" i="3"/>
  <c r="F541" i="3" s="1"/>
  <c r="F1103" i="3" s="1"/>
  <c r="E368" i="3" l="1"/>
  <c r="F368" i="3" s="1"/>
  <c r="E253" i="3"/>
  <c r="F251" i="3"/>
  <c r="E342" i="3"/>
  <c r="F342" i="3" s="1"/>
  <c r="F340" i="3"/>
  <c r="F166" i="3"/>
  <c r="F1093" i="3" s="1"/>
  <c r="E366" i="3" l="1"/>
  <c r="F366" i="3" s="1"/>
  <c r="E370" i="3"/>
  <c r="F370" i="3" s="1"/>
  <c r="F253" i="3"/>
  <c r="F276" i="3" s="1"/>
  <c r="E311" i="3" s="1"/>
  <c r="F328" i="3" s="1"/>
  <c r="F1097" i="3" s="1"/>
  <c r="F395" i="3" l="1"/>
  <c r="E414" i="3" s="1"/>
  <c r="F422" i="3" s="1"/>
  <c r="F1099" i="3" s="1"/>
  <c r="F814" i="3" l="1"/>
  <c r="F812" i="3"/>
  <c r="F821" i="3" l="1"/>
  <c r="F823" i="3" l="1"/>
  <c r="F847" i="3" s="1"/>
  <c r="F1113" i="3" s="1"/>
  <c r="F1136" i="3" s="1"/>
  <c r="H1134" i="3" l="1"/>
  <c r="F1139" i="3"/>
  <c r="E1140" i="3"/>
  <c r="E1142" i="3" l="1"/>
  <c r="E1144" i="3" s="1"/>
  <c r="E1146" i="3" l="1"/>
  <c r="E1147" i="3" s="1"/>
  <c r="E1151" i="3" l="1"/>
  <c r="E1149" i="3"/>
</calcChain>
</file>

<file path=xl/sharedStrings.xml><?xml version="1.0" encoding="utf-8"?>
<sst xmlns="http://schemas.openxmlformats.org/spreadsheetml/2006/main" count="8067" uniqueCount="1138">
  <si>
    <t>Labour</t>
  </si>
  <si>
    <t>Edges of ground floor bed 150mm high</t>
  </si>
  <si>
    <t>A</t>
  </si>
  <si>
    <t>Nr</t>
  </si>
  <si>
    <t>B</t>
  </si>
  <si>
    <t>C</t>
  </si>
  <si>
    <t>D</t>
  </si>
  <si>
    <t>E</t>
  </si>
  <si>
    <t>F</t>
  </si>
  <si>
    <t>G</t>
  </si>
  <si>
    <t>H</t>
  </si>
  <si>
    <t>J</t>
  </si>
  <si>
    <t>K</t>
  </si>
  <si>
    <t>L</t>
  </si>
  <si>
    <t>M</t>
  </si>
  <si>
    <t>N</t>
  </si>
  <si>
    <t>P</t>
  </si>
  <si>
    <t>Q</t>
  </si>
  <si>
    <r>
      <t>m</t>
    </r>
    <r>
      <rPr>
        <vertAlign val="superscript"/>
        <sz val="9"/>
        <rFont val="Times New Roman"/>
        <family val="1"/>
      </rPr>
      <t>2</t>
    </r>
  </si>
  <si>
    <t>Level and compact bottom of excavation to receive concrete in foundation.</t>
  </si>
  <si>
    <t xml:space="preserve"> </t>
  </si>
  <si>
    <t>length</t>
  </si>
  <si>
    <t>m</t>
  </si>
  <si>
    <t>Raft</t>
  </si>
  <si>
    <t>Parapet wall</t>
  </si>
  <si>
    <t>Lintel</t>
  </si>
  <si>
    <t>R</t>
  </si>
  <si>
    <t>S</t>
  </si>
  <si>
    <t>T</t>
  </si>
  <si>
    <t>U</t>
  </si>
  <si>
    <t>V</t>
  </si>
  <si>
    <t>W</t>
  </si>
  <si>
    <t>X</t>
  </si>
  <si>
    <t>Y</t>
  </si>
  <si>
    <t>Roof beam</t>
  </si>
  <si>
    <t>m2</t>
  </si>
  <si>
    <t>sum</t>
  </si>
  <si>
    <t>Sides of staircases</t>
  </si>
  <si>
    <t>Soffit of landing</t>
  </si>
  <si>
    <t>Bed</t>
  </si>
  <si>
    <t>Soffit of suspended slab</t>
  </si>
  <si>
    <t>4BEDROOM SEMI DETACHED DUPLEX</t>
  </si>
  <si>
    <t>ELEMENT Nr. 1</t>
  </si>
  <si>
    <t>SUBSTRUCTURE</t>
  </si>
  <si>
    <t>D20: EXCAVATING AND FILLING</t>
  </si>
  <si>
    <t xml:space="preserve">Excavate oversite to remove vegetable soil average 150mm deep. </t>
  </si>
  <si>
    <t>Excavate trenches, width exceeding 0.3m maximum</t>
  </si>
  <si>
    <t>m3</t>
  </si>
  <si>
    <t>deepth not exceeding 2.00m (1000mm deep)</t>
  </si>
  <si>
    <t xml:space="preserve">Excavate pit for column bases starting from stripped level and not exceeding 1.50m deep. </t>
  </si>
  <si>
    <t xml:space="preserve">Disposal excavated materials in temporary spoil </t>
  </si>
  <si>
    <t>heaps located at Contractor's direction for re-use</t>
  </si>
  <si>
    <t>Filling to excavations, thickness exceeding 250mm,</t>
  </si>
  <si>
    <t>material arising from excavations</t>
  </si>
  <si>
    <t xml:space="preserve">Filling to make up levels,  thickness exceeding </t>
  </si>
  <si>
    <t>250mm laterite material obtained on site</t>
  </si>
  <si>
    <t>Filling to make up levels,  thickness exceeding 150mm hardcore material obtained off site</t>
  </si>
  <si>
    <t>Level and compacting bottom of excavations</t>
  </si>
  <si>
    <t>`Dieldrex 20' or other approved anti-termite treatment to surfaces of excavation and earth filling</t>
  </si>
  <si>
    <t>Plain in situ concrete (1:3:6)-19mm aggregate</t>
  </si>
  <si>
    <t>Blinding beds,thickness not exceeding 150mm(Column Bases )</t>
  </si>
  <si>
    <t>Foundations footing</t>
  </si>
  <si>
    <t>Reinforced in situ concrete (1:2:4) 19mm aggregate</t>
  </si>
  <si>
    <t>Beds; thickness not exceeding 150mm, slope</t>
  </si>
  <si>
    <t xml:space="preserve">Column bases </t>
  </si>
  <si>
    <t>Columns</t>
  </si>
  <si>
    <t xml:space="preserve">Carried to collection </t>
  </si>
  <si>
    <t>E20: Formwork for in situ concrete</t>
  </si>
  <si>
    <t>Plain vertical sawn formwork</t>
  </si>
  <si>
    <t>Edge of beds, height not exceeding 150mm</t>
  </si>
  <si>
    <t>Column bases 350mm high</t>
  </si>
  <si>
    <t>Columns attached to walls (4 - sides)</t>
  </si>
  <si>
    <t>E30: Reinforcement for situ concrete</t>
  </si>
  <si>
    <t>High tensile bars to BS 4449, straight</t>
  </si>
  <si>
    <t>20mm Diamater in column</t>
  </si>
  <si>
    <t>kg</t>
  </si>
  <si>
    <t>16mm Diamater in column</t>
  </si>
  <si>
    <t xml:space="preserve">12mm Diamater in Columns base </t>
  </si>
  <si>
    <t>10mm Diamater in Stirrups</t>
  </si>
  <si>
    <t>Fabric Reinforcement</t>
  </si>
  <si>
    <t>BRC mesh fabric reinforcement to BS 4483 ref: Nr. A142</t>
  </si>
  <si>
    <t>weighing 2.22kg/m2 laid with and including 300mm side</t>
  </si>
  <si>
    <t>and end laps (measured net with no allowance for laps)</t>
  </si>
  <si>
    <t xml:space="preserve">Floor slab </t>
  </si>
  <si>
    <t>F10: Brick/Block walling</t>
  </si>
  <si>
    <t>Sandcrete blockwork in stretcher bond bedded In</t>
  </si>
  <si>
    <t>cement and sand mortar mix (1:6) flush pointed,</t>
  </si>
  <si>
    <t>filed solid lean concrete</t>
  </si>
  <si>
    <t>Walls, 255mm thick vertical</t>
  </si>
  <si>
    <t>Damp Proof Membrane</t>
  </si>
  <si>
    <t>Polythene sheeting, visqueen 1000 guage laid on compacted</t>
  </si>
  <si>
    <t>hardcore</t>
  </si>
  <si>
    <t>Collection</t>
  </si>
  <si>
    <t>Page /1</t>
  </si>
  <si>
    <t>Page /2</t>
  </si>
  <si>
    <t>CARRIED TO SUMMARY</t>
  </si>
  <si>
    <t>ELEMENT Nr. 2</t>
  </si>
  <si>
    <t>FRAMES</t>
  </si>
  <si>
    <t>E10: In situ concrete</t>
  </si>
  <si>
    <t xml:space="preserve">Beams </t>
  </si>
  <si>
    <t>Columns attached to walls (4 sides)</t>
  </si>
  <si>
    <t>Beams attached to slabs (3 sides)</t>
  </si>
  <si>
    <t>E30: Reinforcement for in situ concrete</t>
  </si>
  <si>
    <t>High tensile bars to BS 4449 straight.</t>
  </si>
  <si>
    <t>20mm Diameter</t>
  </si>
  <si>
    <t>16mm ditto</t>
  </si>
  <si>
    <t>12mm Diameter</t>
  </si>
  <si>
    <t>10mm ditto</t>
  </si>
  <si>
    <t>FRAME</t>
  </si>
  <si>
    <t>ELEMENT Nr. 3</t>
  </si>
  <si>
    <t>E10: HOLLOW POT</t>
  </si>
  <si>
    <t xml:space="preserve">Ref CP2 suspended floor system with ribbed clay 
pots size L400xH165xW250mm ribbed velox beam 
unit as pots laid in rows on beam units, reinforced 
in-situ concrete grade 20 filling to beam and 50mm 
overall topping on pots; BRC ref 142 mesh top layer 
reinforcement
</t>
  </si>
  <si>
    <t>Suspended floor slab</t>
  </si>
  <si>
    <t>E30: Reinforcement to BS 4449</t>
  </si>
  <si>
    <t>High yield deformed bars to BS 4449 in suspended slab</t>
  </si>
  <si>
    <t xml:space="preserve"> 12mm diameter bar</t>
  </si>
  <si>
    <t>Plain vertical sawn formwork to the following</t>
  </si>
  <si>
    <t>Edges of suspended slabs, height 150mm</t>
  </si>
  <si>
    <t>Plain sawn formwork comprises of vertical struct and</t>
  </si>
  <si>
    <t>runners</t>
  </si>
  <si>
    <t>Sawn formwork to:</t>
  </si>
  <si>
    <t>Horizontal soffit of suspended floor slab +props</t>
  </si>
  <si>
    <t>Edge of suspended floor slab 250mm wide</t>
  </si>
  <si>
    <t xml:space="preserve">UPPER FLOORS </t>
  </si>
  <si>
    <t>ELEMENT Nr. 4</t>
  </si>
  <si>
    <t>STAIRCASES</t>
  </si>
  <si>
    <t>Reinforcement in situ concrete (1:2:4)-19mm aggregate</t>
  </si>
  <si>
    <t>Staircases</t>
  </si>
  <si>
    <t>Landings + beam</t>
  </si>
  <si>
    <t>Plain vertical sawn formwork:</t>
  </si>
  <si>
    <t>Sloping soffit of staircase</t>
  </si>
  <si>
    <t>Landing of staircases</t>
  </si>
  <si>
    <t>Sides of staircases including cutting and fitting to risers.</t>
  </si>
  <si>
    <t>Risers of steps 150mm high</t>
  </si>
  <si>
    <t>High tensile bars to BS 4449 straight and vertical</t>
  </si>
  <si>
    <t>16mm Diameter</t>
  </si>
  <si>
    <t>10mm Diameter</t>
  </si>
  <si>
    <t>M4O: Stone/Concrete/Quarry/Ceramic Tiling/Mosaic</t>
  </si>
  <si>
    <t>600 x 300mm Vitrified tilling on cement  and sand bed</t>
  </si>
  <si>
    <t>Ditto treads of staircase 300mm wide</t>
  </si>
  <si>
    <t>Ditto risers of staircase 150mm high</t>
  </si>
  <si>
    <t>Ditto 75mm wide skirting along risers and tread</t>
  </si>
  <si>
    <t>M10: Sand cement/Concrete/Sceeds/Toppings</t>
  </si>
  <si>
    <t>44mm thick screed (Landing)</t>
  </si>
  <si>
    <t>30mm thick screed not exceeding 300mm wide (Tread)</t>
  </si>
  <si>
    <t>15mm thick backing 150mm high (Risers)</t>
  </si>
  <si>
    <t>15mm thick backing 75mm high (Skirting)</t>
  </si>
  <si>
    <t>M20: Plastered/Rendered/Roughcast coatings</t>
  </si>
  <si>
    <t>Mortar,cement and sand (1:3), steel trowelled smooth finish</t>
  </si>
  <si>
    <t>Sloping soffit of staircases</t>
  </si>
  <si>
    <t>Floating</t>
  </si>
  <si>
    <t>Prepare and apply white POP floating materials including sand paper and clean ready for paint on</t>
  </si>
  <si>
    <t>M60: Painting/Clear finishing</t>
  </si>
  <si>
    <t>Vinyl mat emulsion paint as manufactured by</t>
  </si>
  <si>
    <t>Dulux in 3 coats to floated surfaces,</t>
  </si>
  <si>
    <t>Rate including floating to Archited's details.</t>
  </si>
  <si>
    <t>Rendered surface, width exceeding 300mm</t>
  </si>
  <si>
    <t>Rendered surface, width not exceeding 300mm</t>
  </si>
  <si>
    <t>To collection</t>
  </si>
  <si>
    <t>Page / 5</t>
  </si>
  <si>
    <t>Page / 6</t>
  </si>
  <si>
    <t xml:space="preserve">STAIRCASE </t>
  </si>
  <si>
    <t>ELEMENT Nr. 5</t>
  </si>
  <si>
    <t>ROOF</t>
  </si>
  <si>
    <t>E10 In-situ Concrete</t>
  </si>
  <si>
    <t>Reinforced in-situ concrete (1:2:4)-19mm aggregate</t>
  </si>
  <si>
    <t>Roof beam/gutter</t>
  </si>
  <si>
    <t>Concrete facial</t>
  </si>
  <si>
    <t>F10: Brick/Block parapet</t>
  </si>
  <si>
    <t xml:space="preserve">Parapet, 225mm thick </t>
  </si>
  <si>
    <t>Soffit of roof gutter</t>
  </si>
  <si>
    <t>Edge of slab 150mm high</t>
  </si>
  <si>
    <t>Edges of concrete facia</t>
  </si>
  <si>
    <t xml:space="preserve">16mm Diameter </t>
  </si>
  <si>
    <t xml:space="preserve">10mm Diameter </t>
  </si>
  <si>
    <t>Roofing</t>
  </si>
  <si>
    <t>0.55mm thick approved Stucco Aluminium Roofsheeting Powdercoated and accessories with approved colour finish lapped and fixed in accordance with manufacturer's instructions to timber purlins (measured separately)</t>
  </si>
  <si>
    <t xml:space="preserve">Roofing </t>
  </si>
  <si>
    <t>Eaves angle</t>
  </si>
  <si>
    <t>Facia Flashing</t>
  </si>
  <si>
    <t xml:space="preserve">H70. Bitumen Felt Roofing </t>
  </si>
  <si>
    <t xml:space="preserve">Paralon NT4 water proof material </t>
  </si>
  <si>
    <t>Roofing to falls and cross falls</t>
  </si>
  <si>
    <t>Lining to vertical sides</t>
  </si>
  <si>
    <t>Dishing in around rainwater outlet</t>
  </si>
  <si>
    <t>nr</t>
  </si>
  <si>
    <t>Carpentry</t>
  </si>
  <si>
    <t>Sawn hardwood roof carcass treated with solignum</t>
  </si>
  <si>
    <t>100 x 50mm tie beam</t>
  </si>
  <si>
    <t>100 x 50mm  rafter</t>
  </si>
  <si>
    <t xml:space="preserve">100 x 50mm struts </t>
  </si>
  <si>
    <t>50 x 75mm hardwood purlins</t>
  </si>
  <si>
    <t>Page / 7</t>
  </si>
  <si>
    <t>Page / 8</t>
  </si>
  <si>
    <t>ELEMENT Nr. 6</t>
  </si>
  <si>
    <t>EXTERNAL WALLS</t>
  </si>
  <si>
    <t xml:space="preserve">Walls, 225mm thick </t>
  </si>
  <si>
    <t xml:space="preserve">Walls, 150mm thick </t>
  </si>
  <si>
    <t xml:space="preserve"> EXTERNAL WALLS </t>
  </si>
  <si>
    <t>ELEMENT Nr. 7</t>
  </si>
  <si>
    <t>WINDOWS AND EXTERNAL DOORS</t>
  </si>
  <si>
    <t>Reinforced in situ concrete (1:2:4)-19mm aggregate</t>
  </si>
  <si>
    <t>Sides and soffits of lintel</t>
  </si>
  <si>
    <t>L11: Metal windows/rooflights/screens/louvres</t>
  </si>
  <si>
    <t>Powder coated aluminium casement windows in 5mm</t>
  </si>
  <si>
    <t>thick clear glass coupled with</t>
  </si>
  <si>
    <t>sliding net, including metal subframes</t>
  </si>
  <si>
    <t>Metal doors/shutters/hatches</t>
  </si>
  <si>
    <t>Security door complete with frame, ironmongery &amp; accessories to Architect's details</t>
  </si>
  <si>
    <t>ELEMENT Nr. 8</t>
  </si>
  <si>
    <t>INTERNAL WALLS</t>
  </si>
  <si>
    <t xml:space="preserve">INTERNAL WALLS </t>
  </si>
  <si>
    <t>ELEMENT Nr. 9</t>
  </si>
  <si>
    <t>INTERNAL DOORS</t>
  </si>
  <si>
    <t xml:space="preserve">Lintels </t>
  </si>
  <si>
    <t>High tensile bars to BS 4449, straight.</t>
  </si>
  <si>
    <t>Door 900 x 2100mm high</t>
  </si>
  <si>
    <t>Door 750 x 2100mm high</t>
  </si>
  <si>
    <t>Door 1200 x 2100mm high</t>
  </si>
  <si>
    <t>Factory glazed natural anodised aluminium sliding door with clear glass complete with ironmongery including cutting and pinning or building in lugs to blockwork or concretework and pointing all round with approved mastic</t>
  </si>
  <si>
    <t>Ditto size 1800x2100mm high</t>
  </si>
  <si>
    <t>Joinery</t>
  </si>
  <si>
    <t>High quality Flush door complete with archtrave, locks</t>
  </si>
  <si>
    <t>and all necessary accessories</t>
  </si>
  <si>
    <t>ELEMENT Nr. 10</t>
  </si>
  <si>
    <t>FIXTURES AND FITTINGS</t>
  </si>
  <si>
    <t>N10:General fixtures/furnishing/equipment</t>
  </si>
  <si>
    <t>METAL WORKS</t>
  </si>
  <si>
    <t>Fabricate, Weld and Install metal raillings</t>
  </si>
  <si>
    <t>Metal hand rails in</t>
  </si>
  <si>
    <t>Supply &amp; install  in staircase</t>
  </si>
  <si>
    <t xml:space="preserve">Supply &amp; install  in balconies </t>
  </si>
  <si>
    <t>High quality laminated Kitchen Carbinet</t>
  </si>
  <si>
    <t>Complete Wall &amp; Base Kitchen Cabinet</t>
  </si>
  <si>
    <t xml:space="preserve">FIXTURES AND FITTINGS </t>
  </si>
  <si>
    <t>ELEMENT Nr. 11</t>
  </si>
  <si>
    <t>WALL FINISHES</t>
  </si>
  <si>
    <t>Plastered/Randered/Roughcast coatings</t>
  </si>
  <si>
    <t>12mm thick cement and send (1:5) floated smooth</t>
  </si>
  <si>
    <t>synthetic rendering to general surface complying</t>
  </si>
  <si>
    <t>to Architect's details.</t>
  </si>
  <si>
    <t>Walls, width exceeding 300mm internally</t>
  </si>
  <si>
    <t xml:space="preserve">Walls, externally width exceeding 300mm </t>
  </si>
  <si>
    <t xml:space="preserve">Walls, internally  width not exceeding 300mm </t>
  </si>
  <si>
    <t xml:space="preserve">Walls, externally width not exceeding 300mm </t>
  </si>
  <si>
    <t xml:space="preserve">Parapet wall </t>
  </si>
  <si>
    <t>c</t>
  </si>
  <si>
    <t>100mm wide hoods arround doors and windows</t>
  </si>
  <si>
    <t>12mm thick cement and sand (1:4) floated backing</t>
  </si>
  <si>
    <t>to surfaces to receive further finishes</t>
  </si>
  <si>
    <t xml:space="preserve">Walls, width exceeding 300mm </t>
  </si>
  <si>
    <t>Stone/Concrete Quarry/Ceramic tilling/Mosaic</t>
  </si>
  <si>
    <t>High quality glazed ceramic wall tilling on cement</t>
  </si>
  <si>
    <t>and sand backing</t>
  </si>
  <si>
    <t>Prepare and apply aduplan or other approved wall floating  material on rendered wall</t>
  </si>
  <si>
    <t>Rendered surfaces, width exceeding 300mm internally</t>
  </si>
  <si>
    <t xml:space="preserve">Rendered surfaces, width not exceeding 300mm </t>
  </si>
  <si>
    <t>Painting/Clear finishing</t>
  </si>
  <si>
    <t>Dulux in 3 coats to floated surfaces</t>
  </si>
  <si>
    <t>Prepare and apply standard coat of "Caplux" Texture paint</t>
  </si>
  <si>
    <t>Rendered surfaces, width exceeding 300mm extrnlly</t>
  </si>
  <si>
    <t>Page /13</t>
  </si>
  <si>
    <t>Page /14</t>
  </si>
  <si>
    <t xml:space="preserve">WALL FINISHES </t>
  </si>
  <si>
    <t>ELEMENT Nr. 12</t>
  </si>
  <si>
    <t>FLOOR FINISHES</t>
  </si>
  <si>
    <t>Sand cement/Concrete/Granolithic</t>
  </si>
  <si>
    <t>screeds/flooring</t>
  </si>
  <si>
    <t>Cement and sand (1:4) floated bed</t>
  </si>
  <si>
    <t>to general surfaces to receive further finishes</t>
  </si>
  <si>
    <t>Floors, 42mm level and to falls only not exceeding</t>
  </si>
  <si>
    <t>15% from horinzontal</t>
  </si>
  <si>
    <t>15mm thick backing 100mm high</t>
  </si>
  <si>
    <t>Vitrified tiles of approved colour bedded and jointed in cement and sand floated bed</t>
  </si>
  <si>
    <t>Floors; level and to falls only not exceeding</t>
  </si>
  <si>
    <t xml:space="preserve">15% from horinzontal </t>
  </si>
  <si>
    <t>Vitrified skirtings to walls, width 100mm including bedding</t>
  </si>
  <si>
    <t xml:space="preserve">Unglazed ceramic tilling on cement </t>
  </si>
  <si>
    <t>and sand bed</t>
  </si>
  <si>
    <t xml:space="preserve">FLOOR FINISHES </t>
  </si>
  <si>
    <t>ELEMENT NR 13</t>
  </si>
  <si>
    <t>CEILING FINISHES</t>
  </si>
  <si>
    <t>Internal and External works</t>
  </si>
  <si>
    <t>M20: Plastered/Randered/Roughcast coatings</t>
  </si>
  <si>
    <t>12mm thick rendering finished fair and smooth on:</t>
  </si>
  <si>
    <t xml:space="preserve">Soffit of suspended floor slab </t>
  </si>
  <si>
    <t>G20: Carpentary/Timber framing/First fixing</t>
  </si>
  <si>
    <t>50 x 50mm noggins</t>
  </si>
  <si>
    <t>Plaster of Paris (POP) ceiling</t>
  </si>
  <si>
    <t xml:space="preserve">P.O.P decorative ceiling finish fixed to hardwood </t>
  </si>
  <si>
    <t>noggings (M/S)including cornices (Full  P.O.P)</t>
  </si>
  <si>
    <t xml:space="preserve">P.O.P screeding to plastered soffit of ceiling </t>
  </si>
  <si>
    <t>(measured separately) including cornices (Half  P.O.P)</t>
  </si>
  <si>
    <t>Prepare and apply aduplan or other approved ceiling floating material on soffit of slab</t>
  </si>
  <si>
    <t>Dulux 3 coats to floated surfaces,</t>
  </si>
  <si>
    <t xml:space="preserve">CEILING FINISHES </t>
  </si>
  <si>
    <t>ELEMENT Nr. 14</t>
  </si>
  <si>
    <t>MECHANICAL &amp; PLUMBING INSTALLATION</t>
  </si>
  <si>
    <t>MATERIALS FOR WASTE PIPE FROM DPC TO FINISHING</t>
  </si>
  <si>
    <t>4'' pvc pipe {6 bar}</t>
  </si>
  <si>
    <t>2'' pvc pipe {6 bar}</t>
  </si>
  <si>
    <t>3'' pvc pipe (6 bar)</t>
  </si>
  <si>
    <t>4'' pvc bend</t>
  </si>
  <si>
    <t>4'' pvc tee</t>
  </si>
  <si>
    <t>4x2 tee</t>
  </si>
  <si>
    <t>4x2 socket</t>
  </si>
  <si>
    <t>2'' pvc bend</t>
  </si>
  <si>
    <t>2'' pvc tee</t>
  </si>
  <si>
    <t>2x45 bend</t>
  </si>
  <si>
    <t>4x45 bend</t>
  </si>
  <si>
    <t>Big tin of abro gum</t>
  </si>
  <si>
    <t>Gasket gum</t>
  </si>
  <si>
    <t>yarn rope</t>
  </si>
  <si>
    <t>MATERIALS FOR WATER SUPPLY PIPING</t>
  </si>
  <si>
    <t>1'' Technogreen Pipe with socket</t>
  </si>
  <si>
    <t>3/4'' Technogreen pipe with socket</t>
  </si>
  <si>
    <t>1/2'' Technogreen pipe with socket</t>
  </si>
  <si>
    <t>1'' Technogreen Pipe tee</t>
  </si>
  <si>
    <t>1'' Technogreen elbow</t>
  </si>
  <si>
    <t>1x3/4'' Technogreen elbow</t>
  </si>
  <si>
    <t>1x3/4'' Technogreen tee</t>
  </si>
  <si>
    <t>1'' gate valve Technogreen</t>
  </si>
  <si>
    <t>1'' union Technogreen</t>
  </si>
  <si>
    <t>3/4''x 1/2'' Technogreen tee</t>
  </si>
  <si>
    <t>3/4''x 1/2'' Technogreen elbow</t>
  </si>
  <si>
    <t>3/4'' Technogreen tee</t>
  </si>
  <si>
    <t>3/4'' Technogreen elbow</t>
  </si>
  <si>
    <t xml:space="preserve">3/4'' gate valve Technogreen </t>
  </si>
  <si>
    <t>1/2''Technogreen tee</t>
  </si>
  <si>
    <t>1/2'' Technogreen elbow</t>
  </si>
  <si>
    <t>1/2'' male &amp; female Technogreen elbow</t>
  </si>
  <si>
    <t>3/4''x1/2''Technogreen tee</t>
  </si>
  <si>
    <t>3/4''x1/2''Technogreen elbow</t>
  </si>
  <si>
    <t>1/2''male &amp; female G.I socket</t>
  </si>
  <si>
    <t>Yarn robe</t>
  </si>
  <si>
    <t>boundle</t>
  </si>
  <si>
    <t>Abrogum</t>
  </si>
  <si>
    <t>Abrogum gasket gum</t>
  </si>
  <si>
    <t>PLUMBING FITTINGS</t>
  </si>
  <si>
    <t>Mini set wc-close coulpe{sweet home}</t>
  </si>
  <si>
    <t>15 litres of water heater{sweet home}</t>
  </si>
  <si>
    <t>shower set with mixer</t>
  </si>
  <si>
    <t>bath tub{twyford}</t>
  </si>
  <si>
    <t>pan connector{sweet home}</t>
  </si>
  <si>
    <t>magic waste{ venus}</t>
  </si>
  <si>
    <t xml:space="preserve">1/2''  femal flexible  </t>
  </si>
  <si>
    <t>1/2'' Angle valve{bimix}</t>
  </si>
  <si>
    <t>floor drain{foreign}</t>
  </si>
  <si>
    <t>silicon gum</t>
  </si>
  <si>
    <t>complete box for towel rail,tissue paper holder,soap dish holder</t>
  </si>
  <si>
    <t xml:space="preserve">kitchen sink </t>
  </si>
  <si>
    <t>kitchen sink mixer tap</t>
  </si>
  <si>
    <t>kitchen sink waste</t>
  </si>
  <si>
    <t>1/2'' male &amp; female G.I socket</t>
  </si>
  <si>
    <t>1/2'' wash hand basin mixer tap</t>
  </si>
  <si>
    <t>1/2'' wash hand basin  tap</t>
  </si>
  <si>
    <t>bath mixer</t>
  </si>
  <si>
    <t>Standing tap</t>
  </si>
  <si>
    <t>Sundries</t>
  </si>
  <si>
    <t>Fire Fighting Installations</t>
  </si>
  <si>
    <t>9kg `Angus' Carbon-dioxide (CO2)  fire extinguisher to BS 1382 complete with holder bracket mounted on blockwork or concretework</t>
  </si>
  <si>
    <t>Airconditioning Installation</t>
  </si>
  <si>
    <t>Supply and install the following for airconditioning  piping only</t>
  </si>
  <si>
    <t>Airconditioning piping</t>
  </si>
  <si>
    <t xml:space="preserve">Perforated face diffusers/Extractor Fan complete with manual opposed blade balancing dampers,   in Toilets </t>
  </si>
  <si>
    <t>Labour/Workmanship</t>
  </si>
  <si>
    <t xml:space="preserve">PLUMBING &amp; MECHANICAL WORKS </t>
  </si>
  <si>
    <t>ELEMENT Nr. 15</t>
  </si>
  <si>
    <t>ELECTRICAL INSTALLATION</t>
  </si>
  <si>
    <t>PIPING REQUIREMENT  REQUIREMENT USL INPUT</t>
  </si>
  <si>
    <t>20MM CONDUIT PVC PIPE , VEE-TEK BRAND &amp; NOTE: 45-LENGTH PER BUNDLE WITH 3-METER LENGTH PER PIPE</t>
  </si>
  <si>
    <t>BUNDLE</t>
  </si>
  <si>
    <t>20MM 4-WAY BOX, VEE-TEK BRAND</t>
  </si>
  <si>
    <t>PKT</t>
  </si>
  <si>
    <t>20MM Y-WAY BOX, VEE-TEK BRAND</t>
  </si>
  <si>
    <t>PCS</t>
  </si>
  <si>
    <t>20MM U-WAY BOX, VEE-TEK BRAND</t>
  </si>
  <si>
    <t>20MM JOINT COUPLER, VEE-TEK BRAND</t>
  </si>
  <si>
    <t>20MM M/F BUSHON, VEE-TEK BRAND</t>
  </si>
  <si>
    <t>25MM CONDUIT PVC PIPE , VEE-TEK BRAND &amp; NOTE: 30- LENGTH PER BUNDLE WITH 3-METER LENGTH PER PIPE</t>
  </si>
  <si>
    <t>25MM JOINT COUPLER, VEE-TEK BRAND</t>
  </si>
  <si>
    <t>25MM M/F BUSHON, VEE-TEK BRAND</t>
  </si>
  <si>
    <t>3" X 3" KNOCK OUT BOX, GENESIS BRAND</t>
  </si>
  <si>
    <t>3" X 6" KNOCKOUT  BOX, GENESIS BRAND</t>
  </si>
  <si>
    <t>3" X 3" PLASTIC KNOCK OUT BOX DIGINITY  BRAND</t>
  </si>
  <si>
    <t>6" X 6" UPVC DEEP ADAPTABLE BOX, DIGNITY BRAND</t>
  </si>
  <si>
    <t>6" X 6" UPVC SHALLOW ADAPTABLE BOX, DIGNITY BRAND</t>
  </si>
  <si>
    <t>6" X 9" UPVC DEEP ADAPTABLE BOX, DIGNITY BRAND</t>
  </si>
  <si>
    <t>9" X 9" ELCB PLASTIC ENCLOSURE CET-SAN BRAND</t>
  </si>
  <si>
    <t>PVC GUM SMALLER TIN WITH 0.236 LITRES, ABRO BRAND</t>
  </si>
  <si>
    <t>TIN</t>
  </si>
  <si>
    <t>25MM UPVC CORRUGATED WHITE THICK FLEXIBLE CONDUIT PIPE ELECTROFLEX ABC POLYMER, 50-METER LONG</t>
  </si>
  <si>
    <t>COIL</t>
  </si>
  <si>
    <t>20MM SADDLE CLIP</t>
  </si>
  <si>
    <t>25MM SADDLE CLIP</t>
  </si>
  <si>
    <t>75MM DIAMETER GREEN FLEXIBLE PIPE AS ARMOURED CABLE SLEEVE TO BUILDINGS</t>
  </si>
  <si>
    <t>LM</t>
  </si>
  <si>
    <t>50MM DIAMETER BLACK FLEXIBLE CONDUITS FOR TV WALL</t>
  </si>
  <si>
    <t>CEMENT &amp;SAND</t>
  </si>
  <si>
    <t>BAG</t>
  </si>
  <si>
    <t>INSTALLATION/LABOUR COST(A)</t>
  </si>
  <si>
    <t>SUM</t>
  </si>
  <si>
    <t>CABLE  REQUIREMENT USL INPUT</t>
  </si>
  <si>
    <t>COLEMAN BRAND</t>
  </si>
  <si>
    <t>1X 1MM RED PVC NIG CABLE</t>
  </si>
  <si>
    <t>1X 1MM BLACK  PVC NIG CABLE</t>
  </si>
  <si>
    <t>1X 1MM GREEN  PVC NIG CABLE</t>
  </si>
  <si>
    <t xml:space="preserve">1X 2.5MM RED PVC NIG CABLE, </t>
  </si>
  <si>
    <t>2.5MM BLACK PVC NIG CABLE</t>
  </si>
  <si>
    <t>1X 2.5MM GREEN  PVC NIG CABLE</t>
  </si>
  <si>
    <t>1X4MM RED PVC NIG CABLE STRANDED</t>
  </si>
  <si>
    <t>1X4MM BLACK PVC NIG CABLE STRANDED</t>
  </si>
  <si>
    <t>1X 10MM RED  PVC NIG CABLE, STRANDED</t>
  </si>
  <si>
    <t>1X 10MM YELLOW  PVC NIG CABLE, STRANDED</t>
  </si>
  <si>
    <t>1X 10MM BLUE PVC NIG CABLE, STRANDED</t>
  </si>
  <si>
    <t>1X 10MM BLACK  PVC NIG CABLE, STRANDED</t>
  </si>
  <si>
    <t>COMPLETE 3 PHASE DISTRIBUTION BOARD WITH   18-MCB D6 SIZE, , AV-LEGEND RANGE/S.S &amp; C-TECH BRAND</t>
  </si>
  <si>
    <t>NR</t>
  </si>
  <si>
    <t>LIGHT FIXTURES/LUMINAIRES REQUIREMENT USL INPUT</t>
  </si>
  <si>
    <t>1 GANG 2-WAY LIGHT SWITCH, BIG ROCKER, AV-TECH UK MODEL SCREWLESS</t>
  </si>
  <si>
    <t>2 GANG 2-WAY LIGHT SWITCH, BIG ROCKER, AV-TECH UK MODEL SCREWLESS</t>
  </si>
  <si>
    <t>3 GANG 2-WAY LIGHT SWITCH BIG ROCKER, AV-TECH UK MODEL SCREWLESS</t>
  </si>
  <si>
    <t>20A DP WATER HEATER SWITCH WITH WATER HEATER MARKING BIG ROCKER, AV-TECH UK MODEL SCREWLESS</t>
  </si>
  <si>
    <t>20A DP AIR CONDITIONER SWITCH WITH AIR CONDITIONER MARKING BIG ROCKER, AV-TECH UK MODEL SCREWLESS</t>
  </si>
  <si>
    <t>45A DP SWITCH WITH RED ROCKER TO BE DEDICATED TO FRIDGE/FREEZER/OVEN/MICRO DISH WARSHER/JACCUZZI . LEGRAND MODEL</t>
  </si>
  <si>
    <t>1 GANG 13A SINGLE SOCKET OUTLET , AV-TECH UK MODEL SCREWLESS</t>
  </si>
  <si>
    <t>1 GANG 15A SINGLE SOCKET OUTLET,  AV-TECH UK MODEL SCREWLESS</t>
  </si>
  <si>
    <t>2 GANG 13A DOUBLE SOCKET OUTLET,  AV-TECH UK MODEL SCREWLESS</t>
  </si>
  <si>
    <t>45A DP SWITCH WITH RED ROCKER AS COOKER UNIT AS CCU, LEGRAND MODEL</t>
  </si>
  <si>
    <t>TELEVSION DATA SOCKET, AV-TECH UK MODEL SCREWLESS</t>
  </si>
  <si>
    <t>INTERCOM/TELEPHONE DATA SOCKET, AV-TECH UK MODEL SCREWLESS</t>
  </si>
  <si>
    <t>2X9WATTS DUAL LUMENS UP &amp; DOWN LED WALL MOUNTED SECURITY/ FAÇADE LIGHT, CHUNIC BRAND</t>
  </si>
  <si>
    <t>1X6WATTS DUAL LUMENS(85V-265V) SMD LED CEILING FITTINGS ROUNDED SHAPE,RECCESSED MOUNTING,RHOS BRAND</t>
  </si>
  <si>
    <t>1X6WATTS DUAL LUMENS(85V-265V) SMD LED CEILING FITTINGS ROUNDED SHAPE,SURFACE MOUNTING,RHOS BRAND</t>
  </si>
  <si>
    <t>1X12WATTS DUAL LUMENS(85V-265V) SMD LED CEILING FITTINGS ROUNDED SHAPE,RECCESSED MOUNTING,RHOS BRAND</t>
  </si>
  <si>
    <t>1X12WATTS DUAL LUMENS(85V-265V) SMD LED CEILING FITTINGS ROUNDED SHAPE,SURFACE MOUNTING,RHOS BRAND</t>
  </si>
  <si>
    <t>1X18WATTS DUAL LUMENS(85V-265V) SMD LED CEILING FITTINGS ROUNDED SHAPE,RECCESSED MOUNTING,RHOS BRAND</t>
  </si>
  <si>
    <t>IP44 RATED 13A SINGLE SOCKET WITH SPLASH PROOF COVER WITH PLUG ENGAGED, LEGRAND MODEL OR ABG MODEL</t>
  </si>
  <si>
    <t>20MM CEILING ROSE, DIGNITY BRAND</t>
  </si>
  <si>
    <t>BA SCREWS LONG&amp;SHORT</t>
  </si>
  <si>
    <t>4" GERMAN SCREW</t>
  </si>
  <si>
    <t>3X3 COVER BOX FLATTEN TYPE, DIGINITY BRAND</t>
  </si>
  <si>
    <t>3X6 COVER BOX FLATTEN TYPE, DIGINITY BRAND</t>
  </si>
  <si>
    <t>20MM ROUND COVER BOX, DIGINITY BRAND</t>
  </si>
  <si>
    <t>INSULATION TAPE/BLACK CELLOTAPE,(RYB) COSCHARIS BRAND</t>
  </si>
  <si>
    <t>2.5MM X3-CORE FLEXIBLE, COLEMAN BRAND</t>
  </si>
  <si>
    <t>0.5X2CORE FLEXIBLE, COLEMAN BRAND</t>
  </si>
  <si>
    <t>AV-TECH ELCB MOULDED TYPE</t>
  </si>
  <si>
    <t>4 INCHES EXTRACTOR FAN, HORNET, HORNET BRAND</t>
  </si>
  <si>
    <t xml:space="preserve">ELECTRICAL WORKS </t>
  </si>
  <si>
    <t>SUMMARY</t>
  </si>
  <si>
    <t>page /2</t>
  </si>
  <si>
    <t>page /3</t>
  </si>
  <si>
    <t>UPPER FLOORS</t>
  </si>
  <si>
    <t>page /4</t>
  </si>
  <si>
    <t>STAIRCASE</t>
  </si>
  <si>
    <t>Page /8</t>
  </si>
  <si>
    <t>page /9</t>
  </si>
  <si>
    <t>page /10</t>
  </si>
  <si>
    <t>page /11</t>
  </si>
  <si>
    <t>page /12</t>
  </si>
  <si>
    <t>page /13</t>
  </si>
  <si>
    <t>Page /15</t>
  </si>
  <si>
    <t>page /16</t>
  </si>
  <si>
    <t>page /17</t>
  </si>
  <si>
    <t>MECHANICAL INSTALLATION</t>
  </si>
  <si>
    <t>page /19</t>
  </si>
  <si>
    <t>page /22</t>
  </si>
  <si>
    <t>4 BEDROOM SEMI-DETACHED DUPLEX</t>
  </si>
  <si>
    <t>CARRIED TO GENERAL SUMMARY</t>
  </si>
  <si>
    <t>GROSS FLOOR Area = 565m2</t>
  </si>
  <si>
    <t>GFA</t>
  </si>
  <si>
    <t>M2</t>
  </si>
  <si>
    <t>Net construction cost</t>
  </si>
  <si>
    <t>Add</t>
  </si>
  <si>
    <t>Prelims @ 2.5%</t>
  </si>
  <si>
    <t>Estimated total cost</t>
  </si>
  <si>
    <t>Vat @ 7.5%</t>
  </si>
  <si>
    <t>COST/UNIT {_with prelim &amp; vat }</t>
  </si>
  <si>
    <t>Cost/GFA {_with prelim &amp; vat }</t>
  </si>
  <si>
    <t xml:space="preserve">step </t>
  </si>
  <si>
    <t>ground beam</t>
  </si>
  <si>
    <t>25mm Diamater in column</t>
  </si>
  <si>
    <t>25mm Diameter</t>
  </si>
  <si>
    <t xml:space="preserve">12mm Diameter </t>
  </si>
  <si>
    <t>concrete slab</t>
  </si>
  <si>
    <t>Roof slab 150mm high</t>
  </si>
  <si>
    <t xml:space="preserve">Rendered surfaces, parapet </t>
  </si>
  <si>
    <t>Waterock stones tiles bedded and jointed in cement and sand (1:3) screeded backing (measured separately) and well pointed on walls</t>
  </si>
  <si>
    <t>Facing bricks</t>
  </si>
  <si>
    <t>1500 x 2100mm high</t>
  </si>
  <si>
    <t xml:space="preserve"> Ditto: 750 x 2100mm high</t>
  </si>
  <si>
    <t>Sides of Ground beam</t>
  </si>
  <si>
    <t>Sides of step</t>
  </si>
  <si>
    <t>O</t>
  </si>
  <si>
    <t>Dressing of groves on wall</t>
  </si>
  <si>
    <t>Slidind door size: 1800 x 2400mm high</t>
  </si>
  <si>
    <t>Slidind door size: 3000 x 2400mm high</t>
  </si>
  <si>
    <t xml:space="preserve"> Ditto: 900 x 2400mm high</t>
  </si>
  <si>
    <t>Ditto: 1100 x 2400mm high</t>
  </si>
  <si>
    <t xml:space="preserve">Ditto size 3000 x 1800 mm high </t>
  </si>
  <si>
    <t>Ditto size 1500 x 1800mm high</t>
  </si>
  <si>
    <t xml:space="preserve">Ditto size 1200 x 1200 mm high </t>
  </si>
  <si>
    <t>Ditto size 600 x 750mm high</t>
  </si>
  <si>
    <t>Ditto size 2250 x 1800mm high</t>
  </si>
  <si>
    <t xml:space="preserve">Ditto size 1200 x 1800 mm high </t>
  </si>
  <si>
    <t>Ditto size 900 x 750mm high</t>
  </si>
  <si>
    <t>Sides of Landing + beam</t>
  </si>
  <si>
    <t>ELEMENT NR. 1</t>
  </si>
  <si>
    <t>SUBSTRUCTURE (All Provisional)</t>
  </si>
  <si>
    <t>General Site Clearance</t>
  </si>
  <si>
    <r>
      <t>m</t>
    </r>
    <r>
      <rPr>
        <vertAlign val="superscript"/>
        <sz val="10"/>
        <rFont val="Comic Sans MS"/>
        <family val="4"/>
      </rPr>
      <t>2</t>
    </r>
  </si>
  <si>
    <t xml:space="preserve">Excavate trench to receive foundation starting from stripped level and not exceeding 2.00m deep. </t>
  </si>
  <si>
    <r>
      <t>m</t>
    </r>
    <r>
      <rPr>
        <vertAlign val="superscript"/>
        <sz val="10"/>
        <rFont val="Comic Sans MS"/>
        <family val="4"/>
      </rPr>
      <t>3</t>
    </r>
  </si>
  <si>
    <t xml:space="preserve">Excavate for working space including back filling arround retaining walls starting from stripped level and not exceeding 1.50m deep. </t>
  </si>
  <si>
    <t>Remove surplus excavated material from site.</t>
  </si>
  <si>
    <t>Return, fill and consolidate selected excavated material around foundation.</t>
  </si>
  <si>
    <t>Dieldrex 20" anti-termites to surfaces of excavation</t>
  </si>
  <si>
    <t>Foundation &amp; steps</t>
  </si>
  <si>
    <t>150mm horizontal bed</t>
  </si>
  <si>
    <t>Carried to Collection</t>
  </si>
  <si>
    <t>SUBSTRUCTURE CONT'D</t>
  </si>
  <si>
    <t>Reinforced  insitu concrete</t>
  </si>
  <si>
    <t>10mm diameter links and stirrups</t>
  </si>
  <si>
    <t>BRC Fabric mesh reinforcement to BS 4483 ref.No A.142 weighing 2.22kg/sq.m lapped 200mm at all joints in:</t>
  </si>
  <si>
    <t>Carried to collection</t>
  </si>
  <si>
    <t xml:space="preserve">Hollow sandcrete blockwork filled solid with vibrated concrete grade 15 and jointed in cement mortar </t>
  </si>
  <si>
    <t>225mm wall</t>
  </si>
  <si>
    <t>Damp Proofing</t>
  </si>
  <si>
    <t>Damp proof membrane</t>
  </si>
  <si>
    <t>0.26mm polythene damp proof membrane lapped 450mm at all welted joints, laid on hardcore</t>
  </si>
  <si>
    <t>COLLECTION</t>
  </si>
  <si>
    <t>page /1</t>
  </si>
  <si>
    <t xml:space="preserve">SUBSTRUCTURE </t>
  </si>
  <si>
    <t>Carried to Summary</t>
  </si>
  <si>
    <t>Element Nr. 2</t>
  </si>
  <si>
    <t xml:space="preserve">Reinforced Insitu Concrete </t>
  </si>
  <si>
    <t>Beams</t>
  </si>
  <si>
    <t>20mm diameter bar</t>
  </si>
  <si>
    <t>16mm diameter bar</t>
  </si>
  <si>
    <t>Vertical sides of columns</t>
  </si>
  <si>
    <t>sides and soffits of beams</t>
  </si>
  <si>
    <t>carried to Summary</t>
  </si>
  <si>
    <t>Element Nr. 3</t>
  </si>
  <si>
    <t>UPPER FLOOR</t>
  </si>
  <si>
    <t>Suspended floor slabs</t>
  </si>
  <si>
    <t>Horizontal soffit of suspended floor slab</t>
  </si>
  <si>
    <t>Edge of slab 150mm wide</t>
  </si>
  <si>
    <t>Element Nr. 4</t>
  </si>
  <si>
    <t xml:space="preserve">STAIRCASES </t>
  </si>
  <si>
    <t>Staircases including landings and beams</t>
  </si>
  <si>
    <t>High yield deformed bars to BS 4449 in beams, staircases and landing</t>
  </si>
  <si>
    <t>Sloping soffit of staircases / ramps</t>
  </si>
  <si>
    <t>Soffits of landing</t>
  </si>
  <si>
    <t>Sides and soffits of beam</t>
  </si>
  <si>
    <t>Sides of staircases / ramps including cutting and fitting to risers.</t>
  </si>
  <si>
    <t>Sides of Landing</t>
  </si>
  <si>
    <t>STAIRCASES CONT'D</t>
  </si>
  <si>
    <t>Landings</t>
  </si>
  <si>
    <t>M10: Sand cement/ Concrete/ Screeds/ Toppings</t>
  </si>
  <si>
    <t>Cement and sand (1:3) mix:</t>
  </si>
  <si>
    <t>25mm thick floated bed (Landing)</t>
  </si>
  <si>
    <t>25mm thick floated bed 300mm wide (Tread)</t>
  </si>
  <si>
    <t>15mm Thick cement and sand (1:5) smooth rendering to:</t>
  </si>
  <si>
    <t>P.O.P Floating</t>
  </si>
  <si>
    <t>Prepare and apply aduplan or other approved floating  materials on rendered surfaces</t>
  </si>
  <si>
    <t>page /6</t>
  </si>
  <si>
    <t>page /7</t>
  </si>
  <si>
    <t>page /8</t>
  </si>
  <si>
    <t>Element Nr. 5</t>
  </si>
  <si>
    <t>High yield deformed bars to BS 4449 in beams, facia, slab, &amp; copping.</t>
  </si>
  <si>
    <t>12mm diameter bars</t>
  </si>
  <si>
    <t>Sides and soffits of roof beams</t>
  </si>
  <si>
    <t>ROOF CONT'D</t>
  </si>
  <si>
    <t>H72: 0.55mm longspan aluminium coloured roofing sheets or any other approved specification</t>
  </si>
  <si>
    <t>Aluminium Long span roof covering</t>
  </si>
  <si>
    <t xml:space="preserve">Eave angle flashing 150mm girth </t>
  </si>
  <si>
    <t>G20: Steel trusses/Timber framing/First fixing</t>
  </si>
  <si>
    <t>Allow provisional sum for steel roof trusses</t>
  </si>
  <si>
    <t>item</t>
  </si>
  <si>
    <t>100 x 50mm rafter</t>
  </si>
  <si>
    <t>100 x 50mm struts</t>
  </si>
  <si>
    <t xml:space="preserve">Hollow sandcrete blockwork jointed in cement mortar  </t>
  </si>
  <si>
    <t>12mm Thick cement and sand (1:5) smooth rendering to:</t>
  </si>
  <si>
    <t>Sides and soffits of concrete facia</t>
  </si>
  <si>
    <t>M10: Sand cement/Concrete/Screeds/Toppings</t>
  </si>
  <si>
    <t>50mm thick floated bed (roof slab)</t>
  </si>
  <si>
    <t>H66: Bitumen felt shingling</t>
  </si>
  <si>
    <t>3mm thick plasprufe or other approved bituminous felt</t>
  </si>
  <si>
    <t>Soffit of roof slabs</t>
  </si>
  <si>
    <t>Vertical sides of parapet walls/Gutter</t>
  </si>
  <si>
    <t xml:space="preserve">Dishing arround rainwater oulet  </t>
  </si>
  <si>
    <t>M60: Texture Paint</t>
  </si>
  <si>
    <t>Element Nr. 6</t>
  </si>
  <si>
    <t>Hollow sandcrete blockwork laid and jointed in cement mortar (1:3) mix:</t>
  </si>
  <si>
    <t xml:space="preserve">230mm wall </t>
  </si>
  <si>
    <t xml:space="preserve">150mm wall </t>
  </si>
  <si>
    <t>Lintels</t>
  </si>
  <si>
    <t>High yield deformed bars to BS 4449 in lintels</t>
  </si>
  <si>
    <t>10mm diameter bars in links and stirrups</t>
  </si>
  <si>
    <t>Sides and soffits of lintels</t>
  </si>
  <si>
    <t>Element Nr. 7</t>
  </si>
  <si>
    <t xml:space="preserve">WINDOWS AND EXTERNAL DOORS </t>
  </si>
  <si>
    <t>L10: Windows/roofing-lights/Screens/ Louvres</t>
  </si>
  <si>
    <t>Element Nr. 8</t>
  </si>
  <si>
    <t>Element Nr. 9</t>
  </si>
  <si>
    <t>Wood work - doors/shutters/hatches</t>
  </si>
  <si>
    <t xml:space="preserve">INTERNAL DOORS </t>
  </si>
  <si>
    <t>Element Nr. 10</t>
  </si>
  <si>
    <t>Element Nr. 11</t>
  </si>
  <si>
    <t>Internal work</t>
  </si>
  <si>
    <t>15mm thick cement and sand (1:4) smooth rendering to:</t>
  </si>
  <si>
    <t>Walls</t>
  </si>
  <si>
    <t>Ditto not exceeding 300mm girth including dressing around that arises.</t>
  </si>
  <si>
    <t>M31: Fibrous Plaster of Paris</t>
  </si>
  <si>
    <t>POP Wall Floating</t>
  </si>
  <si>
    <t>Prepare and apply ''aduplan'' or other equal and approved wall floating material on rendered walls</t>
  </si>
  <si>
    <t>Rendered surfaces</t>
  </si>
  <si>
    <t>Rendered surfaces, width not exceeding 300mm</t>
  </si>
  <si>
    <t>Prepare and apply two finishing coats of emulsion paint on:</t>
  </si>
  <si>
    <t>Ditto not exceeding 300mm girth</t>
  </si>
  <si>
    <t>M40: Stone/Concrete/Quarry/Ceramic/ Mosaic tiling</t>
  </si>
  <si>
    <t>Approved ceramic wall tiles bedded and jointed in cement and sand (1:3) screeded backing (measured separately) and pointed in matching coloured cement.</t>
  </si>
  <si>
    <t>Kitchen walls</t>
  </si>
  <si>
    <t>Toilet walls</t>
  </si>
  <si>
    <t>M10: Sand cement beds /Concrete/Screeds/ 
backings</t>
  </si>
  <si>
    <t>Cement and sand (1:3) in backings</t>
  </si>
  <si>
    <t>15mm screeded backings</t>
  </si>
  <si>
    <t>External work</t>
  </si>
  <si>
    <t>M20: Plastered/Rendered/Roughcast/ Coatings</t>
  </si>
  <si>
    <t>15mm thick cement and sand (1:5) smooth rendering to:</t>
  </si>
  <si>
    <t>Ditto not exceeding 300mm girth including dressing the arrises</t>
  </si>
  <si>
    <t>WALL FINISHES CONT'D</t>
  </si>
  <si>
    <t xml:space="preserve">Wall tiles </t>
  </si>
  <si>
    <t>M10: Sand cement beds /Concrete/Screeds/backings</t>
  </si>
  <si>
    <t>Prepare and apply two finishing coats of Dulux weather sheild paint and MC 50 wall screeding on:</t>
  </si>
  <si>
    <t>Window hoods</t>
  </si>
  <si>
    <t>page /18</t>
  </si>
  <si>
    <t>Carried to summary</t>
  </si>
  <si>
    <t>Element Nr. 12</t>
  </si>
  <si>
    <t>M40: Stone/Concrete Quarry/Ceramic tilling/Mosaic</t>
  </si>
  <si>
    <t>Fully vitrified ceramic tiles of approved colour bedded and jointed in cement and sand floated bed (measured separately) with and including pointing with matching cement mortar on:</t>
  </si>
  <si>
    <t>Ditto skirting 75mm high</t>
  </si>
  <si>
    <t>Vitrified tiles of approved colour bedded and jointed in cement and sand floated bed (measured separately) with and including pointing with matching cement mortar on:</t>
  </si>
  <si>
    <t>M10: Sand cement beds/Concrete/Screeds/ 
backings</t>
  </si>
  <si>
    <t>Cement and sand (1:3) mix</t>
  </si>
  <si>
    <t>44mm screeded bed</t>
  </si>
  <si>
    <t>M50: Rubber/Plastics/Cork/Lino/ Carpet tiling sheeting</t>
  </si>
  <si>
    <t>M10: Sand cement beds/Concrete/Screeds/ backings</t>
  </si>
  <si>
    <t>42mm floated bed to receive floor tiles</t>
  </si>
  <si>
    <t>Element Nr. 13</t>
  </si>
  <si>
    <t>15mm thick rendering finished fair and smooth on:</t>
  </si>
  <si>
    <t>Soffit of suspended floor slab</t>
  </si>
  <si>
    <t>G20: Carpentary/Timber framing/ First fixing</t>
  </si>
  <si>
    <t>Sawn Treated Hardwood</t>
  </si>
  <si>
    <t>Prepare, prime and apply two coats of emulsion paint on:</t>
  </si>
  <si>
    <t>Soffits of suspended POP board</t>
  </si>
  <si>
    <t>MECHANICAL INSTALLATIONS</t>
  </si>
  <si>
    <t>PLUMBING INSTALLATIONS</t>
  </si>
  <si>
    <t>ELECTRICAL INSTALLATIONS</t>
  </si>
  <si>
    <t>Net construction cost/Blk</t>
  </si>
  <si>
    <t>COST/M2</t>
  </si>
  <si>
    <t>Supply Steel Trusses Roof Members</t>
  </si>
  <si>
    <t>100mm thick approved rock hardcore filling well rammed and consolidated.</t>
  </si>
  <si>
    <t>Vibrated Ready Mix Concrete Grade 10 in:</t>
  </si>
  <si>
    <t>Vibrated Ready Mix Concrete grade 20 (1:3;6) mix in</t>
  </si>
  <si>
    <t>Vibrated Ready Mix Concrete grade 25 (1:2:4) in:</t>
  </si>
  <si>
    <t xml:space="preserve">Column </t>
  </si>
  <si>
    <t>Steps</t>
  </si>
  <si>
    <t xml:space="preserve">Lift Shaft </t>
  </si>
  <si>
    <t xml:space="preserve">High yield deformed bars to BS 4449 in beams, columns and lift shaft </t>
  </si>
  <si>
    <t>25mm diameter bar</t>
  </si>
  <si>
    <t>12mm diameter bar</t>
  </si>
  <si>
    <t>Vertical sides of lift shaft</t>
  </si>
  <si>
    <t>High yield deformed bars to BS 4449 in concrete floor slabs ,lift bases and wall.</t>
  </si>
  <si>
    <t>Prepare, prime and apply 3 coats of Dulux or other equal and approved  Silk paint on:</t>
  </si>
  <si>
    <t>gutter and copping</t>
  </si>
  <si>
    <t xml:space="preserve">Wall flashing 300mm girth </t>
  </si>
  <si>
    <t>100 x 50mm wall plate</t>
  </si>
  <si>
    <t>25 x 3600mm hardwood fascia board</t>
  </si>
  <si>
    <t>225mm in parapet wall</t>
  </si>
  <si>
    <t>Prepare and apply standard coat ofWeather Shield paint on</t>
  </si>
  <si>
    <t>Window Subframe</t>
  </si>
  <si>
    <t>Supply and fix Single leaf Decorative sound panel door complete with frame, architrave and accessories from approved manufacturers.</t>
  </si>
  <si>
    <t>Capping on canopy and outdoor wall</t>
  </si>
  <si>
    <t>Capping on canopy and outdoor dwarf wall</t>
  </si>
  <si>
    <t>Groves on wall</t>
  </si>
  <si>
    <t>POP Ceiling</t>
  </si>
  <si>
    <t>Gypsum Board Suspended Ceiling</t>
  </si>
  <si>
    <t>FLOOR FINISH</t>
  </si>
  <si>
    <t>CEILING FINISH</t>
  </si>
  <si>
    <t>MAIN BUILDING - HOTEL</t>
  </si>
  <si>
    <t>Prelims @ 5%</t>
  </si>
  <si>
    <t>Contingency 5%</t>
  </si>
  <si>
    <t>MAIN BUILDING</t>
  </si>
  <si>
    <t>Carried to General Summary</t>
  </si>
  <si>
    <t>fg</t>
  </si>
  <si>
    <t>pkt</t>
  </si>
  <si>
    <t>Ceramic floor tiles (Royal Tiles) of approved colour, bedded and jointed in cement and sand (1:3) mix floated bed (measured separately) with and including pointing with matching cement colour</t>
  </si>
  <si>
    <t>400x400x8mm unglazed tiles ( toilets)</t>
  </si>
  <si>
    <t>1200X1200X10mm porclelain floor tiles (public area)</t>
  </si>
  <si>
    <t>600/300x600x8mm glazed CDK Nigerian floor tiles (First-Second floor)</t>
  </si>
  <si>
    <t>Granite Floor Tiles</t>
  </si>
  <si>
    <t>300x600x12mm unglazed black verona granite floor tiles in entrance</t>
  </si>
  <si>
    <t>Supply and install Hi-Tech Security Door Complete with necessary accssories</t>
  </si>
  <si>
    <t>Door size 900x2400mm high</t>
  </si>
  <si>
    <t>Door size 1200x2400mm high</t>
  </si>
  <si>
    <t>Ditto 750x2400mm high</t>
  </si>
  <si>
    <t>Single openable pannel aluminium casement/Sliding  window coupled with top and bottom fixed light,EBM Profile,flyscreen, powder coated aluminium section and double  glazed with 10mm thick bronze tinted.</t>
  </si>
  <si>
    <t>Water supply and Waste water installation</t>
  </si>
  <si>
    <t>1" GREEN PPR pipe with socket</t>
  </si>
  <si>
    <t>3/4" GREEN PPR pipe with socket</t>
  </si>
  <si>
    <t>4" PVC pipe {4 bar}</t>
  </si>
  <si>
    <t>2" PVC pipe {4 bar}</t>
  </si>
  <si>
    <t>1" gate valve valve</t>
  </si>
  <si>
    <t>nos</t>
  </si>
  <si>
    <t>1" GREEN PPR tee</t>
  </si>
  <si>
    <t>1" GREEN PPR elbow</t>
  </si>
  <si>
    <t>1"x3/4"GREEN PPR tee</t>
  </si>
  <si>
    <t>1"x3/4"GREEN PPR elbow</t>
  </si>
  <si>
    <t>1" GREEN PPR nipple</t>
  </si>
  <si>
    <t>1" GREEN PPR union</t>
  </si>
  <si>
    <t>3/4" GREEN PPR tee</t>
  </si>
  <si>
    <t>3/4" GREEN PPR elbow</t>
  </si>
  <si>
    <t>3/4"x1/2" GREEN PPR tee</t>
  </si>
  <si>
    <t>3/4"x1/2" GREEN PPR elbow</t>
  </si>
  <si>
    <t xml:space="preserve">3/4" gate valve </t>
  </si>
  <si>
    <t>3/4" GREEN PPR Nipples</t>
  </si>
  <si>
    <t>3/4" GREEN PPR union</t>
  </si>
  <si>
    <t>4" PVC bend</t>
  </si>
  <si>
    <t>4"x2" PVC tee</t>
  </si>
  <si>
    <t>4"x2" PVC socket</t>
  </si>
  <si>
    <t>4" PVC tee</t>
  </si>
  <si>
    <t>4x45 degree bend</t>
  </si>
  <si>
    <t>Z</t>
  </si>
  <si>
    <t>2" pvc bend</t>
  </si>
  <si>
    <t>2" pvc tee</t>
  </si>
  <si>
    <t>Gasket Gum</t>
  </si>
  <si>
    <t>Bondle of yarn rope</t>
  </si>
  <si>
    <t>bundle</t>
  </si>
  <si>
    <t>MECHANICAL INSTALLATIONS continued ...</t>
  </si>
  <si>
    <t>Plumbing Fittings</t>
  </si>
  <si>
    <t>Eago or equal and approved 1700x700mm fibre bath tub complete with 38mm bath waste, telephone shower, waste plug and chain and bath mixer</t>
  </si>
  <si>
    <t>900mm fixed glass</t>
  </si>
  <si>
    <t>Water heater 15litres</t>
  </si>
  <si>
    <t>page /21</t>
  </si>
  <si>
    <t>1/2" GREEN PPR pipe with socket</t>
  </si>
  <si>
    <t>Big Agro gum</t>
  </si>
  <si>
    <t>"GEBERIT"  or other approved equal rimless closed-coupled wash-down Water Closet unit in vitreous China with Concealed Tank, horizontal outlet. Push button dual flush valve cistern (4 litres/2.5 litres), bottom supply and internal overflow; complete with seat and soft close cover. Dimension:620mm x365mm</t>
  </si>
  <si>
    <t>RAK or other approved wash hand basin in vitreous with single tap hole, concealed bracket with fixing clamps and centre waste bracket: Dimension 500 x 450mm. Mixer shall be Piccolo single basin mixer with chrome-plated pop-up waste. Bottle trap shall be 32mm chrome-plated with 75mm seal.</t>
  </si>
  <si>
    <t>High quality polished chrome mounted tissue holders to match the sanitary  fixtures supplied.</t>
  </si>
  <si>
    <t>High quality toilet brush to match the sanitary fittings, complete with holder.</t>
  </si>
  <si>
    <t>580 x 425mm high quality Oval shape mirror with fixing accessories.</t>
  </si>
  <si>
    <t>High quality automatic hand dryer</t>
  </si>
  <si>
    <t>High quality automatic soap dispenser</t>
  </si>
  <si>
    <t>RAK or other approved counter top wash hand basin with cabinet in vitreous with triple tap hole, concealed bracket with fixing clamps and centre waste bracket: Dimension 1600 x 450mm. Mixer shall be Piccolo 3 basin mixer with chrome-plated pop-up waste. Bottle trap shall be 32mm chrome-plated with 75mm seal.</t>
  </si>
  <si>
    <t>RAK or other approved counter top wash hand basin with cabinet in vitreous  with dual tap hole, concealed bracket with fixing clamps and centre waste bracket: Dimension 1000 x 450mm. Mixer shall be Piccolo 2 basin mixer with chrome-plated pop-up waste. Bottle trap shall be 32mm chrome-plated with 75mm seal.</t>
  </si>
  <si>
    <t>Double bowl and double tray sink with High quality Mixer</t>
  </si>
  <si>
    <t>Sum</t>
  </si>
  <si>
    <t>Labour for water supply and Waste Pipping</t>
  </si>
  <si>
    <t>2x45 degree bend</t>
  </si>
  <si>
    <t>Labour for installation of sanitary fittings</t>
  </si>
  <si>
    <t>Allow for accessories for sanitary fittings installation (i.e angle valves, flexible connectors,etc)</t>
  </si>
  <si>
    <t>SLAB INSTALLATION &amp; BLOCK WORK REQUIREMENT+ INVERTER PIPING)</t>
  </si>
  <si>
    <t>DESCRIPTION OF ITEMS</t>
  </si>
  <si>
    <t>UNIT</t>
  </si>
  <si>
    <t>QTY/UNIT</t>
  </si>
  <si>
    <t>RATE</t>
  </si>
  <si>
    <t>AMOUNT</t>
  </si>
  <si>
    <t>AC CONDUIT PIPING REQUIREMENTS</t>
  </si>
  <si>
    <t>ROLL</t>
  </si>
  <si>
    <t>LENGTH</t>
  </si>
  <si>
    <t>CABLE REQUIREMENT FOR RESIDENTIAL SYSTEM PIPING(FIRE PROTECTION/DETECTION/ALARM SYSYTEM +SURVEILLANCE SYSTEM(CCTV CAMERA) + TV SATELITE SYSTEM+ MULTI ZONE CENTRAL &amp; STAND-ALONE SOUND SYSTEM)</t>
  </si>
  <si>
    <t>QTY</t>
  </si>
  <si>
    <t>DRUM</t>
  </si>
  <si>
    <t>LIGHT FIXTURES/LUMINAIRES REQUIREMENT</t>
  </si>
  <si>
    <t>REEL</t>
  </si>
  <si>
    <t>COMMERCIAL SYSTEM PIPING(FIRE PROTECTION/DETECTION/ALARM SYSYTEM +SURVEILLANCE SYSTEM(CCTV CAMERA) + TV SATELITE SYSTEM + PABX INTERCOM TELEPHONE SYSTEM +  MULTI ZONE CENTRAL &amp; STAND-ALONE SOUND SYSTEM)</t>
  </si>
  <si>
    <t xml:space="preserve">CABLE  REQUIREMENT </t>
  </si>
  <si>
    <t>COLLECTIONS</t>
  </si>
  <si>
    <t>CABLE REQUIREMENT FOR (FIRE PROTECTION/DETECTION/ALARM SYSYTEM +SURVEILLANCE SYSTEM(CCTV CAMERA) + TV SATELITE SYSTEM+ MULTI ZONE CENTRAL &amp; STAND-ALONE SOUND SYSTEM)</t>
  </si>
  <si>
    <t>FITTINGS AND FIXTURES</t>
  </si>
  <si>
    <t>Wardrobes obtainable from approved manufacturers"</t>
  </si>
  <si>
    <t>N11: Domestic kitchen fitting</t>
  </si>
  <si>
    <t>Kitchen carbinets  obtainable from approved manufacturers"</t>
  </si>
  <si>
    <t>L30: Stairs/Walkways/Balustrades</t>
  </si>
  <si>
    <t>Supply and fix the followings approved pattern 1000mm high stainless steel:</t>
  </si>
  <si>
    <t>Staircase handrails. 1200mm high</t>
  </si>
  <si>
    <t>Felt</t>
  </si>
  <si>
    <t xml:space="preserve">Single ply of paralon NT4 prefabricated membrane bitumen felt for water proofing on </t>
  </si>
  <si>
    <t>Toilet floor lapped on wall</t>
  </si>
  <si>
    <t>carried to summary</t>
  </si>
  <si>
    <t>Element Nr. 14</t>
  </si>
  <si>
    <t>Element Nr. 15</t>
  </si>
  <si>
    <t>Fabricate and install Aluminium duct cover</t>
  </si>
  <si>
    <t>Supply and fix the following:</t>
  </si>
  <si>
    <t>S/N</t>
  </si>
  <si>
    <t>Reinforced in-situ concrete</t>
  </si>
  <si>
    <t>REINFORCEMENT</t>
  </si>
  <si>
    <t>High yield deformed bars to BS 4449 in</t>
  </si>
  <si>
    <t>Wrought formwork using Marine board  to:</t>
  </si>
  <si>
    <t>Sides of pile cap</t>
  </si>
  <si>
    <t>Approved laterite earth filling to make up level well rammed and consolidated in layers of 500mm thick.</t>
  </si>
  <si>
    <t>50mm blinding under bed</t>
  </si>
  <si>
    <t>10mm diameter bars</t>
  </si>
  <si>
    <t>Ground Beam</t>
  </si>
  <si>
    <t>16mm diameter bars</t>
  </si>
  <si>
    <t>Approved laterite earth filling to make up level well rammed and consolidated in layers of 150mm thick.</t>
  </si>
  <si>
    <t>50mm blinding under bases</t>
  </si>
  <si>
    <t>16-10mm diameter bars</t>
  </si>
  <si>
    <t xml:space="preserve">Supply and install the following for airconditioning </t>
  </si>
  <si>
    <t>SNR</t>
  </si>
  <si>
    <t>20MM CONDUIT PVC PIPE ,AAA BRAND &amp; NOTE: 45-LENGTH PER BUNDLE WITH 3-METER LENGTH PER PIPE</t>
  </si>
  <si>
    <t>25MM CONDUIT PVC PIPE , AAA BRAND &amp; NOTE: 30- LENGTH PER BUNDLE WITH 3-METER LENGTH PER PIPE</t>
  </si>
  <si>
    <t>INSTALLATION/LABOUR COST</t>
  </si>
  <si>
    <t>50MM DIAMETER GREEN FLEXIBLE PIPE AS CONDUIT PIPING FOR AIR CONDITIONER, 22-METER PER ROLL</t>
  </si>
  <si>
    <t>25MM-INCHES DRAINAGE PIPE, NIGER BRAND</t>
  </si>
  <si>
    <t>25MM ELBOW, NIGER BRAND</t>
  </si>
  <si>
    <t>25MM BEND, NIGER BRAND</t>
  </si>
  <si>
    <t>CEMENT&amp;SAND</t>
  </si>
  <si>
    <t>20MM CONDUIT PVC PIPE , AAA BRAND &amp; NOTE: 45-LENGTH PER BUNDLE WITH 3-METER LENGTH PER PIPE</t>
  </si>
  <si>
    <t>4" X 4 UPVC SHALLOW ADAPTABLE BOX, DIGNITY BRAND</t>
  </si>
  <si>
    <t>6" X 9" UPVC SHALLOW ADAPTABLE BOX, DIGNITY BRAND</t>
  </si>
  <si>
    <t>1X 1.5MM RED PVC NIG CABLE</t>
  </si>
  <si>
    <t>1X 1.5MM BLACK  PVC NIG CABLE</t>
  </si>
  <si>
    <t>1X 1.5MM GREEN  PVC NIG CABLE</t>
  </si>
  <si>
    <t>125AMPS COMPLETE SINGLE PHASE DISTRIBUTION BOARD WITH   8-MCB D4 SIZE TO BE DEDICATED TO INVERTER, , INDO-ASIAN BRAND</t>
  </si>
  <si>
    <t>COMPLETE 3 PHASE DISTRIBUTION BOARD WITH   12-MCB D4 SIZE, , AV-LEGEND RANGE/S.S &amp; C-TECH BRAND</t>
  </si>
  <si>
    <t>COMPLETE 3 PHASE DISTRIBUTION BOARD WITH  18- MCB D6 SIZE, AV-LEGEND RANGE/ S.S &amp; C-TECH BRAND</t>
  </si>
  <si>
    <t>100A TPN ELCB DEVICE, AV-TECH/ S.S &amp; C-TECH BRAND</t>
  </si>
  <si>
    <t>INTERCOM CABLEX300M , 100% CU, 2P+E, RG11 PROLINE UK EQUIVALENT I.E(BTEK OR KUBIS OR ASTEL OR PROMADAZ BRAND), 305-METER LONG</t>
  </si>
  <si>
    <t>TV CABLE RG6 COAXIAL, ASTEL BRANDX300M BLACK CODED COLOR, 305-METER LONG</t>
  </si>
  <si>
    <t>TV CABLE RG6 COAXIAL, ASTEL BRANDX300M WHITE STRIPE CODED COLOR AS SIGNAL INCOMER, 305-METER LONG</t>
  </si>
  <si>
    <t>COAXIAL CCTV CABLE(RG59 + POWER), PROMADAZ OR EXCEL BRAND, 305-METER LONG</t>
  </si>
  <si>
    <t>NETWORK CABLE CAT5E 100% COPPER, BRANDREX OR D-LINK BRAND</t>
  </si>
  <si>
    <t>0.5MMX2CORE FLEXIBLE SPEAKER CABLE, C-DIVINE BRAND, 100-METER LONG</t>
  </si>
  <si>
    <t>FIRE ALARM CABLE 2CX1.5MM DUTIX BRAND</t>
  </si>
  <si>
    <t>ADDRESSABLE WIRED SMOKE DETECTORS CEILING MOUNTING ZETA BRAND FOR SHOPS ONLY</t>
  </si>
  <si>
    <t>ADDRESSABLE FIRE ALARM SOUNDER/SIREN WITH FLASHER CHLORIDE BRAND</t>
  </si>
  <si>
    <t>ADDRESSABLE RESETABLE BREAK GLASS ZETA BRAND</t>
  </si>
  <si>
    <t>45 AMPS  2- GANG DOUBLE POLE SWITCH TO SERVE AS PANEL MAINS CONTROLLER BETWEEN BACK-UP MAINS &amp; AC MAINS</t>
  </si>
  <si>
    <t>ADDRESSABLE FIREALARM CONTROL PANEL WITH 6-ZONES CHLORIDE BRAND UK OR OTHER EQUIVALENT</t>
  </si>
  <si>
    <t>1 GANG 2-WAY WHITE COLOURED LIGHT SWITCH, SOFT TORCH AVATARON RANGE SCHNEIDER BRAND</t>
  </si>
  <si>
    <t>2 GANG 2-WAY WHITE COLOURED LIGHT SWITCH, SOFT TORCH AVATARON RANGE SCHNEIDER BRAND</t>
  </si>
  <si>
    <t>3 GANG 2-WAY WHITE COLOURED LIGHT SWITCH, SOFT TORCH AVATARON RANGE SCHNEIDER BRAND</t>
  </si>
  <si>
    <t>20A DP AIR CODITIONER WHITE COLOURED SWITCH SOFT TORCH AVATARON RANGE SCHNEIDER BRAND</t>
  </si>
  <si>
    <t>1 GANG 13A SINGLE SOCKET, SOFT TORCH AVATARON RANGE SCHNEIDER BRAND</t>
  </si>
  <si>
    <t>1 GANG 15A SINGLE SOCKET, SOFT TORCH AVATARON RANGE SCHNEIDER BRAND</t>
  </si>
  <si>
    <t xml:space="preserve">2 GANG 13A WHITE COLOURED DOUBLE SOCKET, SOFT TORCH AVATARON RANGE SCHNEIDER BRAND </t>
  </si>
  <si>
    <t xml:space="preserve">TELEVISION DATA SOCKET, SOFT TORCH AVATARON RANGE SCHNEIDER BRAND </t>
  </si>
  <si>
    <t>WHITE COLOURED WITH ALUMINIUM BASED  LED PANEL RECESSED LIGHTS ROUND IN SHAPE, WITH 3X7 -WATTS,  THREE LUMENS COLOUR LIGHT EFFECT NAMELY( PURE WHITE LUMENS, WARM WHITE LUMENS, DAY LIGHT LUMENS)     WITH STARTING VOLTAGE 85V-265V,  RHOS/UK BRAND</t>
  </si>
  <si>
    <t>WHITE COLOURED WITH ALUMINIUM BASED  LED PANEL RECESSED LIGHTS ROUND IN SHAPE, WITH 3X12 WATTS,  THREE LUMENS COLOUR LIGHT EFFECT NAMELY( PURE WHITE LUMENS, WARM WHITE LUMENS, DAY LIGHT LUMENS)     WITH STARTING VOLTAGE 85V-265V,  RHOS/UK BRAND</t>
  </si>
  <si>
    <t>BLACK COLOURED STAIR WALL LED LIGHT WITH PIR MOTION SENSORS + LIGHT SENSOR, WARM WHITE LUMENS, WITH 3WATTS POWER CONSUMPTION, WITH STARTING VOLTAGE 85V-265V,  RHOS/UK BRAND</t>
  </si>
  <si>
    <t>KITCHEN ISLAND GLASS ICE-CUBE SHAPE SUSPENDING 3-IN- 1 PENDANTS   WITH 20-WATT FILAMENT BULB EACH, WITH STARTING VOLTAGE 85V-265V,  RHOS/UK BRAND RHOS/UK MODEL</t>
  </si>
  <si>
    <t xml:space="preserve">4 INCH  SILENT BATHROOM EXTRACTOR/VENTILATOR FAN WITH 8WATTS, , S&amp;P SPANISH MODEL/BRAND/MAKER </t>
  </si>
  <si>
    <t>NEON LED STRIP/ROPE/SPIRAL/POP DESIGN LIGHT(1X9W) WARM WHITE LUMENS SQUARED DESIGN, 50-METER LONG RHOS BRAND, TO BE USED IN MAIN LOUNGE SECTION, FAMILY LOUNGE, MASTER BEDROOM, MADAM ROOM, PENT FLOOR SITING ROOM, BATHROOMS</t>
  </si>
  <si>
    <t>ROPE LIGHT PLUG &amp; ROPE LIGHT IGNITOR AS SET, RHOS BRAND</t>
  </si>
  <si>
    <t>ROPE LIGHT PIN CONNECTOR</t>
  </si>
  <si>
    <t>4" GERMAN SCREW WITH SMOOTH THREAD, 100PCS PER PARKET</t>
  </si>
  <si>
    <t xml:space="preserve">CEILING MOUNT BA SCREWS LONG&amp;SHORT, 50PCS PER PARKET </t>
  </si>
  <si>
    <t>COVER BOX(3X3) ,FLATTEN TYPE, VTEK BRAND</t>
  </si>
  <si>
    <t>COVER BOX(3X6) ,FLATTEN TYPE, VTEK BRAND</t>
  </si>
  <si>
    <t>20MM ROUND COVER BOX,  VTEK BRAND</t>
  </si>
  <si>
    <t>20MM CEILING ROSE,VTEK BRAND</t>
  </si>
  <si>
    <t>INSULATION TAPE/BLACK CELLOTAPE,(RYB) ABRO BRAND</t>
  </si>
  <si>
    <t>45A DP SWITCH WITH RED ROCKER AS COOKER CONTROL UNIT(CCU), LEGRAND MODEL</t>
  </si>
  <si>
    <t>45A DP SWITCH WITH RED ROCKER AS  CONTROL DEDICATED TO FREE STANDING FRIDGE, LEGRAND MODEL</t>
  </si>
  <si>
    <t>45A DP SWITCH WITH RED ROCKER AS  CONTROL DEDICATED TO MICROWAVE&amp;OVEN, LEGRAND MODEL</t>
  </si>
  <si>
    <t>45A DP SWITCH WITH RED ROCKER AS  CONTROL DEDICATED TO SCULLERY KITCHEN, BG MODEL</t>
  </si>
  <si>
    <t>20A DP SWITCH WITH WHITE ROCKER AS  CONTROL DEDICATED TOCENTRAL WATER HEATER TANKS, SCHENIDER MODEL</t>
  </si>
  <si>
    <t>WHITE COLOURED WITH ALUMINIUM BASED  LED PANEL RECESSED LIGHTS ROUND IN SHAPE, WITH 3X12 WATTS,  THREE LUMENS COLOUR LIGHT EFFECT NAMELY( PURE WHITE LUMENS, WARM WHITE LUMENS, DAY LIGHT LUMENS)     WITH STARTING VOLTAGE 85V-265V,  RHOS/UK BRAND, TO BE DEDICATED TO ENTERANCE PORCH &amp; GUEST ROOM CANTILEVER</t>
  </si>
  <si>
    <r>
      <t xml:space="preserve">BLACK COLOURED BODIED 10WATTS CEILING/SURFACE MOUNTED </t>
    </r>
    <r>
      <rPr>
        <b/>
        <sz val="10"/>
        <color theme="1"/>
        <rFont val="Comic Sans MS"/>
        <family val="4"/>
      </rPr>
      <t>DOWN LIGHTS</t>
    </r>
    <r>
      <rPr>
        <sz val="10"/>
        <color theme="1"/>
        <rFont val="Comic Sans MS"/>
        <family val="4"/>
      </rPr>
      <t xml:space="preserve"> WITH COB LAMP,  ROUND SHAPE, THREE LUMENS COLOUR LIGHT EFFECT NAMELY( PURE WHITE LUMENS, WARM WHITE LUMENS, DAY LIGHT LUMENS) WITH OPERATING VOLTAGE 85V-265V,   SONIC-UK  MODEL OR OTHER EQUIVQLENTS, TO BE DEDICATED TO ENTRANCE CANTILEVER, FRONTAL CANTILEVER AND STORE</t>
    </r>
  </si>
  <si>
    <r>
      <t xml:space="preserve"> BLACK COLOURED BODIED 10WATTS CEILING/SURFACE MOUNTED </t>
    </r>
    <r>
      <rPr>
        <b/>
        <sz val="10"/>
        <color theme="1"/>
        <rFont val="Comic Sans MS"/>
        <family val="4"/>
      </rPr>
      <t>DOWN LIGHTS</t>
    </r>
    <r>
      <rPr>
        <sz val="10"/>
        <color theme="1"/>
        <rFont val="Comic Sans MS"/>
        <family val="4"/>
      </rPr>
      <t xml:space="preserve"> WITH COB LAMP,  ROUND SHAPE, THREE LUMENS COLOUR LIGHT EFFECT NAMELY( PURE WHITE LUMENS, WARM WHITE LUMENS, DAY LIGHT LUMENS) WITH OPERATING VOLTAGE 85V-265V,   SONIC-UK  MODEL OR OTHER EQUIVQLENTS, TO BE DEDICATED FAMILY LIVING TERRACE, BEDROOM 1 TERRACE</t>
    </r>
  </si>
  <si>
    <t>(2X5WATTS +2WATTS, 3-IN-1) DUAL LUMENS/MULTIPLE COLOUR CHANGER, UP &amp; DOWN LED WALL MOUNTED WALL WARSHER AS BUILDING SECURITY/ FAÇADE LIGHT WITH WHITE LUMENS &amp; WARM WHITE LUMEN,  WITH STARTING VOLTAGE 85V-265V,  RHOS/UK BRAND.</t>
  </si>
  <si>
    <r>
      <t xml:space="preserve">100A 4POLE EARTH LEAKAGE CIRCUIT BREAKER WITH 30mA SENSITIVITY/TRIPPING CURRENT, AV-TECH BRAND, </t>
    </r>
    <r>
      <rPr>
        <b/>
        <sz val="11"/>
        <color theme="1"/>
        <rFont val="Comic Sans MS"/>
        <family val="4"/>
      </rPr>
      <t/>
    </r>
  </si>
  <si>
    <t>COST/UNIT</t>
  </si>
  <si>
    <t>1200X1200X10mm porclelain floor tiles (Living room, lobby,Main Lounge)</t>
  </si>
  <si>
    <t>Allow a provisional sum for Electrical Installation to include pipping, wiring and fittings</t>
  </si>
  <si>
    <t xml:space="preserve">Excavate pit for column bases and pile starting from stripped level. </t>
  </si>
  <si>
    <t>Pile and Pile Cap</t>
  </si>
  <si>
    <t xml:space="preserve">High yield deformed bars to BS 4449 in columns, Piles and Pile caps, Ground beam, Raft slab etc </t>
  </si>
  <si>
    <t xml:space="preserve">20mm diameter bar </t>
  </si>
  <si>
    <t xml:space="preserve">16mm diameter </t>
  </si>
  <si>
    <t xml:space="preserve">10mm diameter bar </t>
  </si>
  <si>
    <t xml:space="preserve">Sides of column </t>
  </si>
  <si>
    <t>Sides of ground Beam</t>
  </si>
  <si>
    <t>Roof deck</t>
  </si>
  <si>
    <t>Soffits of roof deck</t>
  </si>
  <si>
    <t>Window size 1800 x 1500mm high</t>
  </si>
  <si>
    <t>Ditto 1200 x 1500mm high</t>
  </si>
  <si>
    <t>Ditto 600 x 600mm high</t>
  </si>
  <si>
    <t>Supply and fix 2-10 track window doors for opening and light EBM Profile complete with frame, architrave and accessories from approved manufacturers. Glazed with 10mm thick glass</t>
  </si>
  <si>
    <t>Ditto 600x2100mm high</t>
  </si>
  <si>
    <t>Ditto 750x2100mm high</t>
  </si>
  <si>
    <t>Ditto 900x2100mm high</t>
  </si>
  <si>
    <t>Ditto 10200x2400mm high</t>
  </si>
  <si>
    <t>Ditto 3200x2400mm high</t>
  </si>
  <si>
    <t>Ditto 11900x2400mm high</t>
  </si>
  <si>
    <t>Ditto 3500x2400mm high</t>
  </si>
  <si>
    <t>Ditto 4450x2400mm high</t>
  </si>
  <si>
    <t>Door size 1100x2400mm high</t>
  </si>
  <si>
    <t>600/300x600x8mm glazed CDK Nigerian floor tiles Ground floor)</t>
  </si>
  <si>
    <t>600/300x600x8mm glazed CDK Nigerian floor tiles (Service floor)</t>
  </si>
  <si>
    <t>20mm Diameter in columns</t>
  </si>
  <si>
    <t xml:space="preserve">600/300x600x8mm glazed CDK Nigerian floor tiles </t>
  </si>
  <si>
    <t>FITTINGS &amp; FIXTURES</t>
  </si>
  <si>
    <t xml:space="preserve">600/300x600x8mm glazed CDK Nigerian floor tiles in bedrooms </t>
  </si>
  <si>
    <t>600/300x600x8mm glazed CDK Nigerian floor tiles in  kitchen and store )</t>
  </si>
  <si>
    <t>300x600x12mm unglazed black verona granite floor tiles in Entrance, Balcony,terrace</t>
  </si>
  <si>
    <t>H72: 0.7mm longspan aluminium coloured roofing sheets or any other approved specification</t>
  </si>
  <si>
    <t>Foundation and steps</t>
  </si>
  <si>
    <t>Sides of Floor bed</t>
  </si>
  <si>
    <t>Column Base</t>
  </si>
  <si>
    <t>DESCRIPTION</t>
  </si>
  <si>
    <t xml:space="preserve">RATE </t>
  </si>
  <si>
    <t>Vibrated Reinforced Insitu Concrete Grade 25 -(1:2:4) in:</t>
  </si>
  <si>
    <t>Vibrated Ready Mix Concrete grade 25 (1:3:6) in:</t>
  </si>
  <si>
    <t>Colummn</t>
  </si>
  <si>
    <t>25mm Diameter in columns</t>
  </si>
  <si>
    <t>16mm Diameter in columns</t>
  </si>
  <si>
    <t>Sides of column bases</t>
  </si>
  <si>
    <t>Sides of  Columns</t>
  </si>
  <si>
    <t>10mm Diameter in columns</t>
  </si>
  <si>
    <t>Expansion Joints</t>
  </si>
  <si>
    <t>Particle board set vertically between blockwall</t>
  </si>
  <si>
    <t>Ditto between concrete bed, 150mm high</t>
  </si>
  <si>
    <t xml:space="preserve">High yield deformed bars to BS 4449 in beams, columns </t>
  </si>
  <si>
    <t>25mm diameter bars</t>
  </si>
  <si>
    <t>20mm diameter bars</t>
  </si>
  <si>
    <t>Ditto 600x1200mm high</t>
  </si>
  <si>
    <t>Door size 900x2100mm high</t>
  </si>
  <si>
    <t>Ditto: pergula</t>
  </si>
  <si>
    <t>SITE CLEARANCE AND EARTHWORKS</t>
  </si>
  <si>
    <r>
      <rPr>
        <sz val="11"/>
        <rFont val="Comic Sans MS"/>
        <family val="4"/>
      </rPr>
      <t>m</t>
    </r>
    <r>
      <rPr>
        <vertAlign val="superscript"/>
        <sz val="11"/>
        <rFont val="Comic Sans MS"/>
        <family val="4"/>
      </rPr>
      <t>2</t>
    </r>
  </si>
  <si>
    <t xml:space="preserve">Excavate trench to receive foundation starting from stripped level and not exceeding 1.00m deep. </t>
  </si>
  <si>
    <r>
      <rPr>
        <sz val="11"/>
        <rFont val="Comic Sans MS"/>
        <family val="4"/>
      </rPr>
      <t>m</t>
    </r>
    <r>
      <rPr>
        <vertAlign val="superscript"/>
        <sz val="11"/>
        <rFont val="Comic Sans MS"/>
        <family val="4"/>
      </rPr>
      <t>3</t>
    </r>
  </si>
  <si>
    <t>Vibrated Concrete 1;3:6 in:</t>
  </si>
  <si>
    <t xml:space="preserve">Foundation </t>
  </si>
  <si>
    <t>Vibrated Concrete 1;2:4 in:</t>
  </si>
  <si>
    <t>Vibrated Reinforced Concrete (1:2:4 - 19mm aggregate) in columns and base</t>
  </si>
  <si>
    <t>Column and bases</t>
  </si>
  <si>
    <t>L30: Rails /Grills /Gates</t>
  </si>
  <si>
    <t>Allow provisional sum for electrical works in this section of work incuding accesso</t>
  </si>
  <si>
    <t xml:space="preserve">Approved ceramic wall tiles bedded and jointed in cement and sand (1:3) screeded backing (measured separately) and pointed in matching coloured cement. </t>
  </si>
  <si>
    <t>Stone tiles</t>
  </si>
  <si>
    <t>FENCE WORK</t>
  </si>
  <si>
    <t>Coat/GFA (Vat % Prelim exclusive)</t>
  </si>
  <si>
    <t>ITEM</t>
  </si>
  <si>
    <t>TOTAL AMOUNT</t>
  </si>
  <si>
    <t>GENERAL SUMMARY</t>
  </si>
  <si>
    <t>PRELIMINARIES</t>
  </si>
  <si>
    <t>GATE HOUSE</t>
  </si>
  <si>
    <t>FENCE</t>
  </si>
  <si>
    <t>GRAND TOTAL ESTIMATE</t>
  </si>
  <si>
    <t>PROJECT:</t>
  </si>
  <si>
    <t>CLIENT:</t>
  </si>
  <si>
    <t>QUANTITY SURVEYORS</t>
  </si>
  <si>
    <t>Checked by;</t>
  </si>
  <si>
    <t>BILL OF QUANTITIES</t>
  </si>
  <si>
    <r>
      <t>m</t>
    </r>
    <r>
      <rPr>
        <vertAlign val="superscript"/>
        <sz val="11"/>
        <rFont val="Comic Sans MS"/>
        <family val="4"/>
      </rPr>
      <t>3</t>
    </r>
  </si>
  <si>
    <t>Plumbing Installations</t>
  </si>
  <si>
    <t>Approved laterite earth filling to make up level well rammed and consolidated in layers of 300mm thick.</t>
  </si>
  <si>
    <t>Vibrated Concrete Grade 15 in:</t>
  </si>
  <si>
    <t xml:space="preserve">50mm blinding under bases </t>
  </si>
  <si>
    <t>Vibrated Concrete grade 20 in:</t>
  </si>
  <si>
    <t>Column bases</t>
  </si>
  <si>
    <t xml:space="preserve">High yield deformed bars to BS 4449 in column bases, columns &amp; retaining walls etc </t>
  </si>
  <si>
    <t>Sides of columns</t>
  </si>
  <si>
    <t>EXTERNAL AND INTERNAL WALL</t>
  </si>
  <si>
    <t>Sides and soffits of lintels, column and beam</t>
  </si>
  <si>
    <t>Prepare and apply standard coat of Texture paint on</t>
  </si>
  <si>
    <t xml:space="preserve">verified floor tile finish of approved colour, bedded and jointed in cement and sand (1:3) mix floated bed (measured separately) with and including pointing with matching cement colour. </t>
  </si>
  <si>
    <t>8mm floor tile (toilet)</t>
  </si>
  <si>
    <t xml:space="preserve">Verified floor tile finish of approved colour, bedded and jointed in cement and sand (1:3) mix floated bed (measured separately) with and including pointing with matching cement colour. </t>
  </si>
  <si>
    <t>M31: Ceiling board</t>
  </si>
  <si>
    <t>POP CEILING</t>
  </si>
  <si>
    <t xml:space="preserve">Skirting and board to ceiling </t>
  </si>
  <si>
    <t>Soffits of suspended board</t>
  </si>
  <si>
    <t>Allow provisional sum for this section of work incuding accessories</t>
  </si>
  <si>
    <t>Sides of column and bases</t>
  </si>
  <si>
    <t>Purpose made steel fabricated fence grill overall size 2800 x 2100 mm high including horizontal and vertical hollow pipes welded together and building in concrete work or block work.To include Concertiana barbwire, Y angle iron and painting.</t>
  </si>
  <si>
    <t xml:space="preserve">FENCE </t>
  </si>
  <si>
    <t>COST &amp; TENDER LTD</t>
  </si>
  <si>
    <t>ditto; columns and peirs</t>
  </si>
  <si>
    <t>QS YAHAYA KAMALDEEN MUHAMMED (MNIQS)</t>
  </si>
  <si>
    <t>Allow a provisional sum for Mechanical Installation to include pipping, fittings and accessories</t>
  </si>
  <si>
    <t>MAIN BUILDING (3 BEDROOM TERRACE DUPLEX )</t>
  </si>
  <si>
    <t>12mm Diameter bar in Column base</t>
  </si>
  <si>
    <t>10-12mm diameter bars</t>
  </si>
  <si>
    <t>Edge and suffit of roof slab and gutter</t>
  </si>
  <si>
    <t>Roof slab, gutter and coping</t>
  </si>
  <si>
    <t>Sides and soffits of concrete facia and slab</t>
  </si>
  <si>
    <t>Window size 2300 x 1800mm high</t>
  </si>
  <si>
    <t>Ditto 1500 x 1800mm high</t>
  </si>
  <si>
    <t>Ditto 900 x 1800mm high</t>
  </si>
  <si>
    <t>Ditto 600x1800mm high</t>
  </si>
  <si>
    <t>Ditto 530x1800mm high</t>
  </si>
  <si>
    <t>Ditto 900x1200mm high</t>
  </si>
  <si>
    <t>Door size 1200x2700mm high</t>
  </si>
  <si>
    <t>Door size 900x2700mm high</t>
  </si>
  <si>
    <t xml:space="preserve">Size 2400mm long x 600mm deep x 2800mm high </t>
  </si>
  <si>
    <t>Supply and fix kitchen cabinet size 6400mm long x 600mm deep x 900mm high with wall mounted  constructed of MBF quality laminated plywood complete with granite work tops</t>
  </si>
  <si>
    <t>Ditto balcony</t>
  </si>
  <si>
    <t>MAIN BUILDING - 3 bedroom terrace duplex</t>
  </si>
  <si>
    <t>Sides and soffits of gutter</t>
  </si>
  <si>
    <t>6 BEDROOM FULLY DETATCHED</t>
  </si>
  <si>
    <t>4 BEDROOM SEMI DETACHED</t>
  </si>
  <si>
    <t>3 BEDROOM TERRACE DUPLEX</t>
  </si>
  <si>
    <t>3 BEDROOM BLOCK OF FLAT</t>
  </si>
  <si>
    <t>2 BEDROOM BLOCK FLAT</t>
  </si>
  <si>
    <t>TOTAL SUM</t>
  </si>
  <si>
    <t xml:space="preserve">EXTERNAL WORKS </t>
  </si>
  <si>
    <t>INFRASTRUCTURE</t>
  </si>
  <si>
    <t>16mm Diameter bar in Column base</t>
  </si>
  <si>
    <t>Window size 1500 x 1800mm high</t>
  </si>
  <si>
    <t>Ditto 1200 x 1800mm high</t>
  </si>
  <si>
    <t>Ditto 600 x 1800mm high</t>
  </si>
  <si>
    <t>Ditto 1200x1200mm high</t>
  </si>
  <si>
    <t>Ditto 900x2700mm high</t>
  </si>
  <si>
    <t>Ditto 1500x2700mm high Glass sliding door</t>
  </si>
  <si>
    <t xml:space="preserve">Ditto 750x2100mm high </t>
  </si>
  <si>
    <t>Marble Floor Tiles</t>
  </si>
  <si>
    <t>300x600x12mm unglazed black verona granite floor tiles in entrance porch, balcony,terrace</t>
  </si>
  <si>
    <t>600/300x600x8mm glazed CDK Nigerian floor tiles in bedrooms</t>
  </si>
  <si>
    <t>600/300x600x8mm glazed CDK Nigerian floor tiles in  kitchen and store)</t>
  </si>
  <si>
    <t>1200X1200X10mm porclelain floor tiles (Lounge, dinnig,anti room )</t>
  </si>
  <si>
    <t>400x400x8mm non slip/unglazed tiles ( toilets)</t>
  </si>
  <si>
    <t>Supply and fix kitchen cabinet size 11000mm long x 600mm deep x 900mm high with wall mounted  constructed of MBF quality laminated plywood complete with granite work tops</t>
  </si>
  <si>
    <t>Ditto 1200mm long x 600mm x 2800 high in rooms</t>
  </si>
  <si>
    <t>Ditto 3000mm long x 600mm x 2800 high in rooms</t>
  </si>
  <si>
    <t>Size 3900mm long x 600mm deep x 2800mm high in first floor</t>
  </si>
  <si>
    <t>Size 6600mm long x 600mm deep x 2800mm high in second floor</t>
  </si>
  <si>
    <t>Sides and soffits of concrete facia and deck</t>
  </si>
  <si>
    <t>Edge and suffit of roof deck and facia</t>
  </si>
  <si>
    <t>Roof deck and fascia</t>
  </si>
  <si>
    <t>MAIN BUILDING - 6 bedroom fully detached</t>
  </si>
  <si>
    <t>Net construction cost/unit</t>
  </si>
  <si>
    <t>MAIN BUILDING (6 BEDROOM FULLY DETATCHED )</t>
  </si>
  <si>
    <t>Edge and suffit of roof deck</t>
  </si>
  <si>
    <t>Size 4600mm long x 600mm deep x 2800mm high in first floor</t>
  </si>
  <si>
    <t>Size 2960mm long x 600mm deep x 2800mm high in first floor</t>
  </si>
  <si>
    <t>Ditto 1610mm long x 600mm x 2800 high in rooms</t>
  </si>
  <si>
    <t>Ditto 1530mm long x 600mm x 2800 high in rooms</t>
  </si>
  <si>
    <t>Supply and fix kitchen cabinet size 8000mm long x 600mm deep x 900mm high with wall mounted  constructed of MBF quality laminated plywood complete with granite work tops</t>
  </si>
  <si>
    <t>Ditto Stair balcony</t>
  </si>
  <si>
    <t>400x400x8mm non slip/unglazed tiles ( toilets, kitchen)</t>
  </si>
  <si>
    <t>1200X1200X10mm porclelain floor tiles (Lounge, dinnig, store)</t>
  </si>
  <si>
    <t>600/300x600x8mm glazed CDK Nigerian floor tiles in bedrooms, lobby, and closets</t>
  </si>
  <si>
    <t>Soffit of suspended floor slab and roof</t>
  </si>
  <si>
    <t>MAIN BUILDING - 4 bedroom semi detached</t>
  </si>
  <si>
    <t>MAIN BUILDING (3 BEDROOM BLOCK OF FLAT )</t>
  </si>
  <si>
    <t>MAIN BUILDING (2 BEDROOM BLOCK OF FLAT )</t>
  </si>
  <si>
    <t xml:space="preserve">PROPOSED ESTATE DEVELOMENT               </t>
  </si>
  <si>
    <t>PROPOSED HOUSING ESTATE DEVELOPMENT, AT PLOT E-29, LUGBE EAST DISTRICT 1 , ABUJA - F.C.T.</t>
  </si>
  <si>
    <t>VON GARDEN CITY LIMITED</t>
  </si>
  <si>
    <t>FEBRUARY, 2024.</t>
  </si>
  <si>
    <t>AMOUNT PER BLK</t>
  </si>
  <si>
    <t>AMOUNT PER UNIT</t>
  </si>
  <si>
    <t>High yield deformed bars to BS 4449 in lintels/beam</t>
  </si>
  <si>
    <t>12-10mm diameter bars</t>
  </si>
  <si>
    <t>POWDER COATED  ALUMINIUM  CASEMENT WINDOW WITH TOP FIX LIGHT AND FLY NET FIXED TO MANUFACTURER'S DETAILS</t>
  </si>
  <si>
    <t>Window size1200 x 1800mm high</t>
  </si>
  <si>
    <t>Window size 750 x 1800mm high</t>
  </si>
  <si>
    <t>POWDER COATED  ALUMINIUM  CASEMENT WINDOW WITH  FLY NET FIXED TO MANUFACTURER'S DETAILS</t>
  </si>
  <si>
    <t xml:space="preserve">Ditto 600 x 1200mm high window </t>
  </si>
  <si>
    <t xml:space="preserve">Ditto 750 x 750mm high window </t>
  </si>
  <si>
    <t>SUPPLY AND FIX IMPORTED SECURITY SWING DOOR FIXED TO MANUFACTURER'S DETAILS</t>
  </si>
  <si>
    <t>Ditto 900X2100mm high</t>
  </si>
  <si>
    <t>SINGLE SWING IMPORTED STANLEY DOOR FIXED TO MANUFACTURER'S DETAILS</t>
  </si>
  <si>
    <t>Fascia/roof beam externally including  copping.</t>
  </si>
  <si>
    <t>8mm diameter bars</t>
  </si>
  <si>
    <t>Sides of beam/fascia/coping</t>
  </si>
  <si>
    <t>Aluminium roof covering</t>
  </si>
  <si>
    <t>Ridge cap 150mm girth and eaves</t>
  </si>
  <si>
    <t>100 x 50mm strut</t>
  </si>
  <si>
    <t>225mm in parapet/Gable wall</t>
  </si>
  <si>
    <t xml:space="preserve"> Parapet wall</t>
  </si>
  <si>
    <t>Sides and soffits of Fascia</t>
  </si>
  <si>
    <t>50mm thick floated bed (slab)</t>
  </si>
  <si>
    <t>page /5</t>
  </si>
  <si>
    <t>Ditto not exceeding 300mm girth including dressing  the arrises</t>
  </si>
  <si>
    <t>600/300x600x8mm glazed CDK Nigerian floor tiles in offices )</t>
  </si>
  <si>
    <t xml:space="preserve"> Entrance/exit</t>
  </si>
  <si>
    <t>Allow provisional sum for this section of work incuding soakaway</t>
  </si>
  <si>
    <t>SITE OFFICE</t>
  </si>
  <si>
    <t xml:space="preserve">SITE OFFICE </t>
  </si>
  <si>
    <t>staircase</t>
  </si>
  <si>
    <t>High yield deformed bars to BS 4449 in lintels,beams ,column and stairs</t>
  </si>
  <si>
    <t xml:space="preserve">16mm diameter bars in </t>
  </si>
  <si>
    <t>Sides and soffits of lintels, column,beam and stairs</t>
  </si>
  <si>
    <t>Window size 1800 x 1800mm high</t>
  </si>
  <si>
    <t xml:space="preserve">Ditto 600 x 600mm high window </t>
  </si>
  <si>
    <t>POLISHED MASONIA PANEL SWING DOOR FIXED TO MANUFACTURER'S DETAILS</t>
  </si>
  <si>
    <t>slab/roof beam externally including  copping.</t>
  </si>
  <si>
    <t>Sides of beam/fascia/slab</t>
  </si>
  <si>
    <t>Parapet wall/upstand</t>
  </si>
  <si>
    <t>Sides and soffits of staircase</t>
  </si>
  <si>
    <t>security room</t>
  </si>
  <si>
    <t>Living room,Dinning,  kitchen, store, lobby</t>
  </si>
  <si>
    <t>Wall piers (230 x 925mm)</t>
  </si>
  <si>
    <t>150mm wall</t>
  </si>
  <si>
    <t>Ditto: tyrolene finish</t>
  </si>
  <si>
    <t>EXTERNAL WALL</t>
  </si>
  <si>
    <t>MAIN BUILDING (4 BEDROOM SEMI DETACHED DUPLEX )</t>
  </si>
  <si>
    <t>Ditto 750 x 1800mm high</t>
  </si>
  <si>
    <t>Size 3600mm long x 600mm deep x 2800mm high in first floor</t>
  </si>
  <si>
    <t>Ditto 2150mm long x 600mm x 2800 high in rooms</t>
  </si>
  <si>
    <t>Supply and fix kitchen cabinet size 7600mm long x 600mm deep x 900mm high with wall mounted  constructed of MBF quality laminated plywood complete with granite work tops</t>
  </si>
  <si>
    <t xml:space="preserve">600/300x600x8mm glazed CDK Nigerian floor tiles( service terrace and stair way) </t>
  </si>
  <si>
    <t>MAIN BUILDING - 3 bedroom block flat</t>
  </si>
  <si>
    <t>Size 3600mm long x 600mm deep x 2800mm high in rooms</t>
  </si>
  <si>
    <t>600X600X8mm porclelain floor tiles (Lounge, dinnig,anti room )</t>
  </si>
  <si>
    <t>Total cost external work</t>
  </si>
  <si>
    <t>Total area of road &amp; drainage</t>
  </si>
  <si>
    <t>total area of external work</t>
  </si>
  <si>
    <t>% for external work per unit</t>
  </si>
  <si>
    <t>total</t>
  </si>
  <si>
    <t>total area of interlock</t>
  </si>
  <si>
    <t>total green area</t>
  </si>
  <si>
    <t>Area of site</t>
  </si>
  <si>
    <t>6 BD  FULLY DETATCHED</t>
  </si>
  <si>
    <t>AREA OF BUILDING PER UNIT</t>
  </si>
  <si>
    <t>TOTAL</t>
  </si>
  <si>
    <t>2 BD BLOCK OF FLAT</t>
  </si>
  <si>
    <t>3 BD BLOCK OF FLAT</t>
  </si>
  <si>
    <t>3 BD TERRACE</t>
  </si>
  <si>
    <t>4 BD SM DETATCHED</t>
  </si>
  <si>
    <t>TOTAL AREA OF BUILDINGS</t>
  </si>
  <si>
    <t>AREA</t>
  </si>
  <si>
    <t>EXTERNAL WORK</t>
  </si>
  <si>
    <t>COST PER M2</t>
  </si>
  <si>
    <t>45-65K</t>
  </si>
  <si>
    <t>COST ANALYSIS FOR EXTERNAL WORKS AND INFRASTRUCTURE</t>
  </si>
  <si>
    <t xml:space="preserve">Total area for parking lot </t>
  </si>
  <si>
    <t xml:space="preserve">Area for parking lot/m2 </t>
  </si>
  <si>
    <t>Total area for infrastruture</t>
  </si>
  <si>
    <t>600/300x600x8mm glazed CDK Nigerian floor tiles in kitchen )</t>
  </si>
  <si>
    <t xml:space="preserve">600/300x600x8mm glazed CDK Nigerian floor tiles in  (Ante room, foyer, Stairhall)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</si>
</sst>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0_);[Red]\(&quot;$&quot;#,##0\)"/>
    <numFmt numFmtId="165" formatCode="_(&quot;$&quot;* #,##0.00_);_(&quot;$&quot;* \(#,##0.00\);_(&quot;$&quot;* &quot;-&quot;??_);_(@_)"/>
    <numFmt numFmtId="166" formatCode="_(* #,##0.00_);_(* \(#,##0.00\);_(* &quot;-&quot;??_);_(@_)"/>
    <numFmt numFmtId="167" formatCode="#,##0.00;[Red]#,##0.00"/>
    <numFmt numFmtId="168" formatCode="_-* #,##0.00_-;\-* #,##0.00_-;_-* &quot;-&quot;??_-;_-@"/>
    <numFmt numFmtId="169" formatCode="_(* #,##0_);_(* \(#,##0\);_(* &quot;-&quot;??_);_(@_)"/>
    <numFmt numFmtId="170" formatCode="#,##0;[Red]#,##0"/>
    <numFmt numFmtId="171" formatCode="_-* #,##0_-;\-* #,##0_-;_-* &quot;-&quot;??_-;_-@_-"/>
    <numFmt numFmtId="172" formatCode="0.0"/>
    <numFmt numFmtId="173" formatCode="_(* #,##0_);_(* \(#,##0\);_(* &quot;-&quot;?_);_(@_)"/>
  </numFmts>
  <fonts count="93" x14ac:knownFonts="1">
    <font>
      <sz val="11"/>
      <color theme="1"/>
      <name val="Calibri"/>
      <family val="2"/>
      <scheme val="minor"/>
    </font>
    <font>
      <sz val="11"/>
      <color theme="1"/>
      <name val="Calibri"/>
      <family val="2"/>
      <scheme val="minor"/>
    </font>
    <font>
      <sz val="12"/>
      <name val="Arial"/>
      <family val="2"/>
    </font>
    <font>
      <b/>
      <sz val="9"/>
      <name val="Times New Roman"/>
      <family val="1"/>
    </font>
    <font>
      <sz val="9"/>
      <name val="Times New Roman"/>
      <family val="1"/>
    </font>
    <font>
      <sz val="10"/>
      <name val="Arial"/>
      <family val="2"/>
    </font>
    <font>
      <u/>
      <sz val="9"/>
      <name val="Times New Roman"/>
      <family val="1"/>
    </font>
    <font>
      <b/>
      <u/>
      <sz val="9"/>
      <name val="Times New Roman"/>
      <family val="1"/>
    </font>
    <font>
      <vertAlign val="superscript"/>
      <sz val="9"/>
      <name val="Times New Roman"/>
      <family val="1"/>
    </font>
    <font>
      <sz val="9"/>
      <color theme="1"/>
      <name val="Times New Roman"/>
      <family val="1"/>
    </font>
    <font>
      <sz val="9"/>
      <color indexed="8"/>
      <name val="Times New Roman"/>
      <family val="1"/>
    </font>
    <font>
      <sz val="9"/>
      <color rgb="FFFF0000"/>
      <name val="Times New Roman"/>
      <family val="1"/>
    </font>
    <font>
      <b/>
      <sz val="8"/>
      <name val="Comic Sans MS"/>
      <family val="4"/>
    </font>
    <font>
      <sz val="8"/>
      <name val="Comic Sans MS"/>
      <family val="4"/>
    </font>
    <font>
      <sz val="10"/>
      <name val="Comic Sans MS"/>
      <family val="4"/>
    </font>
    <font>
      <sz val="11"/>
      <color theme="1"/>
      <name val="Calibri"/>
      <family val="2"/>
      <charset val="178"/>
      <scheme val="minor"/>
    </font>
    <font>
      <sz val="9"/>
      <name val="Comic Sans MS"/>
      <family val="4"/>
    </font>
    <font>
      <sz val="9"/>
      <name val="Arial"/>
      <family val="2"/>
    </font>
    <font>
      <sz val="11"/>
      <color rgb="FF000000"/>
      <name val="Calibri"/>
      <family val="2"/>
    </font>
    <font>
      <sz val="11"/>
      <color theme="1"/>
      <name val="Times New Roman"/>
      <family val="2"/>
    </font>
    <font>
      <sz val="9"/>
      <color rgb="FF000000"/>
      <name val="Times New Roman"/>
      <family val="1"/>
    </font>
    <font>
      <i/>
      <sz val="9"/>
      <name val="Times New Roman"/>
      <family val="1"/>
    </font>
    <font>
      <b/>
      <sz val="9"/>
      <color rgb="FFFF0000"/>
      <name val="Times New Roman"/>
      <family val="1"/>
    </font>
    <font>
      <b/>
      <sz val="9"/>
      <color theme="1"/>
      <name val="Times New Roman"/>
      <family val="1"/>
    </font>
    <font>
      <b/>
      <i/>
      <sz val="9"/>
      <name val="Times New Roman"/>
      <family val="1"/>
    </font>
    <font>
      <b/>
      <u/>
      <sz val="9"/>
      <color rgb="FF00B0F0"/>
      <name val="Times New Roman"/>
      <family val="1"/>
    </font>
    <font>
      <b/>
      <sz val="9"/>
      <name val="Comic Sans MS"/>
      <family val="4"/>
    </font>
    <font>
      <sz val="11"/>
      <name val="Comic Sans MS"/>
      <family val="4"/>
    </font>
    <font>
      <i/>
      <sz val="11"/>
      <name val="Comic Sans MS"/>
      <family val="4"/>
    </font>
    <font>
      <b/>
      <u/>
      <sz val="10"/>
      <name val="Comic Sans MS"/>
      <family val="4"/>
    </font>
    <font>
      <i/>
      <sz val="10"/>
      <name val="Comic Sans MS"/>
      <family val="4"/>
    </font>
    <font>
      <b/>
      <sz val="10"/>
      <name val="Comic Sans MS"/>
      <family val="4"/>
    </font>
    <font>
      <vertAlign val="superscript"/>
      <sz val="10"/>
      <name val="Comic Sans MS"/>
      <family val="4"/>
    </font>
    <font>
      <i/>
      <sz val="8"/>
      <name val="Comic Sans MS"/>
      <family val="4"/>
    </font>
    <font>
      <u/>
      <sz val="10"/>
      <name val="Comic Sans MS"/>
      <family val="4"/>
    </font>
    <font>
      <b/>
      <i/>
      <sz val="10"/>
      <name val="Comic Sans MS"/>
      <family val="4"/>
    </font>
    <font>
      <sz val="10"/>
      <color theme="1"/>
      <name val="Comic Sans MS"/>
      <family val="4"/>
    </font>
    <font>
      <b/>
      <u/>
      <sz val="11"/>
      <name val="Comic Sans MS"/>
      <family val="4"/>
    </font>
    <font>
      <b/>
      <sz val="11"/>
      <name val="Comic Sans MS"/>
      <family val="4"/>
    </font>
    <font>
      <b/>
      <i/>
      <sz val="11"/>
      <name val="Comic Sans MS"/>
      <family val="4"/>
    </font>
    <font>
      <sz val="11"/>
      <color theme="1"/>
      <name val="Comic Sans MS"/>
      <family val="4"/>
    </font>
    <font>
      <b/>
      <sz val="11"/>
      <color theme="1"/>
      <name val="Comic Sans MS"/>
      <family val="4"/>
    </font>
    <font>
      <b/>
      <u/>
      <sz val="11"/>
      <color rgb="FF000000"/>
      <name val="Comic Sans MS"/>
      <family val="4"/>
    </font>
    <font>
      <sz val="10"/>
      <color rgb="FFFF0000"/>
      <name val="Comic Sans MS"/>
      <family val="4"/>
    </font>
    <font>
      <b/>
      <sz val="10"/>
      <color rgb="FFFF0000"/>
      <name val="Comic Sans MS"/>
      <family val="4"/>
    </font>
    <font>
      <b/>
      <sz val="10"/>
      <color rgb="FF0070C0"/>
      <name val="Comic Sans MS"/>
      <family val="4"/>
    </font>
    <font>
      <b/>
      <sz val="10"/>
      <color theme="1"/>
      <name val="Comic Sans MS"/>
      <family val="4"/>
    </font>
    <font>
      <b/>
      <u/>
      <sz val="10"/>
      <color theme="1"/>
      <name val="Comic Sans MS"/>
      <family val="4"/>
    </font>
    <font>
      <b/>
      <sz val="10"/>
      <color theme="1"/>
      <name val="Times New Roman"/>
      <family val="1"/>
    </font>
    <font>
      <sz val="10"/>
      <color theme="1"/>
      <name val="Times New Roman"/>
      <family val="1"/>
    </font>
    <font>
      <b/>
      <sz val="10"/>
      <color rgb="FFFF0000"/>
      <name val="Times New Roman"/>
      <family val="1"/>
    </font>
    <font>
      <b/>
      <sz val="10"/>
      <color rgb="FF00B0F0"/>
      <name val="Times New Roman"/>
      <family val="1"/>
    </font>
    <font>
      <i/>
      <sz val="10"/>
      <color theme="1"/>
      <name val="Comic Sans MS"/>
      <family val="4"/>
    </font>
    <font>
      <sz val="8"/>
      <color theme="1"/>
      <name val="Comic Sans MS"/>
      <family val="4"/>
    </font>
    <font>
      <b/>
      <u/>
      <sz val="8"/>
      <color theme="1"/>
      <name val="Comic Sans MS"/>
      <family val="4"/>
    </font>
    <font>
      <sz val="10"/>
      <name val="MS Sans Serif"/>
    </font>
    <font>
      <b/>
      <sz val="24"/>
      <name val="Candara"/>
      <family val="2"/>
    </font>
    <font>
      <b/>
      <sz val="20"/>
      <name val="Candara"/>
      <family val="2"/>
    </font>
    <font>
      <b/>
      <u/>
      <sz val="14"/>
      <name val="Candara"/>
      <family val="2"/>
    </font>
    <font>
      <b/>
      <sz val="12"/>
      <name val="Candara"/>
      <family val="2"/>
    </font>
    <font>
      <sz val="11"/>
      <name val="Palatino Linotype"/>
      <family val="1"/>
    </font>
    <font>
      <sz val="12"/>
      <name val="Candara"/>
      <family val="2"/>
    </font>
    <font>
      <sz val="9"/>
      <name val="Palatino Linotype"/>
      <family val="1"/>
    </font>
    <font>
      <sz val="11"/>
      <name val="Candara"/>
      <family val="2"/>
    </font>
    <font>
      <vertAlign val="superscript"/>
      <sz val="11"/>
      <name val="Comic Sans MS"/>
      <family val="4"/>
    </font>
    <font>
      <u/>
      <sz val="11"/>
      <name val="Comic Sans MS"/>
      <family val="4"/>
    </font>
    <font>
      <sz val="11"/>
      <color rgb="FF000000"/>
      <name val="Comic Sans MS"/>
      <family val="4"/>
    </font>
    <font>
      <b/>
      <sz val="10"/>
      <name val="Times New Roman"/>
      <family val="1"/>
    </font>
    <font>
      <b/>
      <sz val="10"/>
      <name val="Arial"/>
      <family val="2"/>
    </font>
    <font>
      <sz val="10"/>
      <name val="Times New Roman"/>
      <family val="1"/>
    </font>
    <font>
      <b/>
      <u/>
      <sz val="10"/>
      <name val="Times New Roman"/>
      <family val="1"/>
    </font>
    <font>
      <u/>
      <sz val="10"/>
      <name val="Times New Roman"/>
      <family val="1"/>
    </font>
    <font>
      <b/>
      <sz val="23"/>
      <name val="Cambria"/>
      <family val="1"/>
    </font>
    <font>
      <b/>
      <sz val="11"/>
      <name val="Calibri"/>
      <family val="2"/>
      <scheme val="minor"/>
    </font>
    <font>
      <b/>
      <sz val="14"/>
      <name val="Cambria"/>
      <family val="1"/>
    </font>
    <font>
      <b/>
      <sz val="26"/>
      <name val="Cambria"/>
      <family val="1"/>
    </font>
    <font>
      <b/>
      <sz val="20"/>
      <name val="Cambria"/>
      <family val="1"/>
    </font>
    <font>
      <b/>
      <sz val="24"/>
      <name val="Cambria"/>
      <family val="1"/>
    </font>
    <font>
      <b/>
      <sz val="11"/>
      <name val="Times New Roman"/>
      <family val="1"/>
    </font>
    <font>
      <b/>
      <sz val="31"/>
      <name val="Cambria"/>
      <family val="1"/>
    </font>
    <font>
      <b/>
      <sz val="11"/>
      <name val="Bauhaus 93"/>
      <family val="5"/>
    </font>
    <font>
      <u/>
      <sz val="10"/>
      <color theme="10"/>
      <name val="Arial"/>
      <family val="2"/>
    </font>
    <font>
      <b/>
      <u/>
      <sz val="10"/>
      <name val="Arial"/>
      <family val="2"/>
    </font>
    <font>
      <b/>
      <i/>
      <sz val="8"/>
      <name val="Calibri"/>
      <family val="2"/>
    </font>
    <font>
      <sz val="10"/>
      <color rgb="FF000000"/>
      <name val="Comic Sans MS"/>
      <family val="4"/>
    </font>
    <font>
      <b/>
      <sz val="10"/>
      <color rgb="FF000000"/>
      <name val="Comic Sans MS"/>
      <family val="4"/>
    </font>
    <font>
      <u/>
      <sz val="10"/>
      <color rgb="FF000000"/>
      <name val="Comic Sans MS"/>
      <family val="4"/>
    </font>
    <font>
      <b/>
      <sz val="11"/>
      <name val="Cambria"/>
      <family val="1"/>
    </font>
    <font>
      <sz val="10"/>
      <name val="Arial"/>
      <family val="2"/>
    </font>
    <font>
      <b/>
      <sz val="11"/>
      <color theme="1"/>
      <name val="Calibri"/>
      <family val="2"/>
      <scheme val="minor"/>
    </font>
    <font>
      <b/>
      <u val="double"/>
      <sz val="11"/>
      <color theme="1"/>
      <name val="Calibri"/>
      <family val="2"/>
      <scheme val="minor"/>
    </font>
    <font>
      <u/>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6">
    <border>
      <left/>
      <right/>
      <top/>
      <bottom/>
      <diagonal/>
    </border>
    <border>
      <left style="hair">
        <color indexed="64"/>
      </left>
      <right style="hair">
        <color indexed="64"/>
      </right>
      <top/>
      <bottom/>
      <diagonal/>
    </border>
    <border>
      <left/>
      <right/>
      <top style="thin">
        <color auto="1"/>
      </top>
      <bottom/>
      <diagonal/>
    </border>
    <border>
      <left/>
      <right/>
      <top/>
      <bottom style="thin">
        <color indexed="64"/>
      </bottom>
      <diagonal/>
    </border>
    <border>
      <left style="thin">
        <color rgb="FF87CEFA"/>
      </left>
      <right/>
      <top/>
      <bottom/>
      <diagonal/>
    </border>
    <border>
      <left style="thin">
        <color rgb="FF87CEFA"/>
      </left>
      <right style="thin">
        <color rgb="FF87CEFA"/>
      </right>
      <top/>
      <bottom/>
      <diagonal/>
    </border>
    <border>
      <left/>
      <right/>
      <top style="thin">
        <color indexed="64"/>
      </top>
      <bottom style="medium">
        <color indexed="64"/>
      </bottom>
      <diagonal/>
    </border>
    <border>
      <left/>
      <right/>
      <top style="thin">
        <color indexed="64"/>
      </top>
      <bottom style="double">
        <color indexed="64"/>
      </bottom>
      <diagonal/>
    </border>
    <border>
      <left style="hair">
        <color rgb="FF000000"/>
      </left>
      <right style="hair">
        <color rgb="FF000000"/>
      </right>
      <top/>
      <bottom/>
      <diagonal/>
    </border>
    <border>
      <left/>
      <right style="thin">
        <color auto="1"/>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17600024414813E-2"/>
      </left>
      <right style="thin">
        <color theme="2" tint="-9.9917600024414813E-2"/>
      </right>
      <top style="thin">
        <color theme="2" tint="-9.9948118533890809E-2"/>
      </top>
      <bottom style="thin">
        <color theme="2" tint="-9.9917600024414813E-2"/>
      </bottom>
      <diagonal/>
    </border>
    <border>
      <left style="thin">
        <color rgb="FF99CCFF"/>
      </left>
      <right/>
      <top/>
      <bottom/>
      <diagonal/>
    </border>
    <border>
      <left style="thin">
        <color rgb="FF99CCFF"/>
      </left>
      <right style="thin">
        <color rgb="FF99CCFF"/>
      </right>
      <top/>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
      <left style="thin">
        <color indexed="64"/>
      </left>
      <right style="double">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bottom/>
      <diagonal/>
    </border>
    <border>
      <left style="thin">
        <color indexed="64"/>
      </left>
      <right style="thin">
        <color indexed="64"/>
      </right>
      <top/>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style="double">
        <color indexed="64"/>
      </bottom>
      <diagonal/>
    </border>
    <border>
      <left/>
      <right/>
      <top/>
      <bottom style="double">
        <color indexed="64"/>
      </bottom>
      <diagonal/>
    </border>
    <border>
      <left/>
      <right/>
      <top style="thin">
        <color auto="1"/>
      </top>
      <bottom style="thin">
        <color indexed="64"/>
      </bottom>
      <diagonal/>
    </border>
  </borders>
  <cellStyleXfs count="41">
    <xf numFmtId="0" fontId="0" fillId="0" borderId="0"/>
    <xf numFmtId="166" fontId="1" fillId="0" borderId="0" applyFont="0" applyFill="0" applyBorder="0" applyAlignment="0" applyProtection="0"/>
    <xf numFmtId="0" fontId="2" fillId="0" borderId="0"/>
    <xf numFmtId="0" fontId="5" fillId="0" borderId="0"/>
    <xf numFmtId="166" fontId="2" fillId="0" borderId="0" applyFont="0" applyFill="0" applyBorder="0" applyAlignment="0" applyProtection="0"/>
    <xf numFmtId="0" fontId="1" fillId="0" borderId="0"/>
    <xf numFmtId="0" fontId="2" fillId="0" borderId="0"/>
    <xf numFmtId="0" fontId="5" fillId="0" borderId="0"/>
    <xf numFmtId="0" fontId="15" fillId="0" borderId="0"/>
    <xf numFmtId="166" fontId="5" fillId="0" borderId="0" applyFont="0" applyFill="0" applyBorder="0" applyAlignment="0" applyProtection="0"/>
    <xf numFmtId="0" fontId="18"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6" fontId="15" fillId="0" borderId="0" applyFont="0" applyFill="0" applyBorder="0" applyAlignment="0" applyProtection="0"/>
    <xf numFmtId="166" fontId="5" fillId="0" borderId="0" applyFont="0" applyFill="0" applyBorder="0" applyAlignment="0" applyProtection="0"/>
    <xf numFmtId="0" fontId="19" fillId="0" borderId="0"/>
    <xf numFmtId="166" fontId="5" fillId="0" borderId="0" applyFont="0" applyFill="0" applyBorder="0" applyAlignment="0" applyProtection="0"/>
    <xf numFmtId="0" fontId="5" fillId="0" borderId="0"/>
    <xf numFmtId="0" fontId="18" fillId="0" borderId="0"/>
    <xf numFmtId="0" fontId="18" fillId="0" borderId="0"/>
    <xf numFmtId="0" fontId="1" fillId="0" borderId="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9" fillId="0" borderId="0"/>
    <xf numFmtId="0" fontId="55" fillId="0" borderId="0"/>
    <xf numFmtId="0" fontId="5" fillId="0" borderId="0" applyBorder="0"/>
    <xf numFmtId="166" fontId="5" fillId="0" borderId="0" applyFont="0" applyFill="0" applyBorder="0" applyAlignment="0" applyProtection="0"/>
    <xf numFmtId="0" fontId="5" fillId="0" borderId="0"/>
    <xf numFmtId="0" fontId="1" fillId="0" borderId="0"/>
    <xf numFmtId="0" fontId="81" fillId="0" borderId="0" applyNumberFormat="0" applyFill="0" applyBorder="0" applyAlignment="0" applyProtection="0"/>
    <xf numFmtId="0" fontId="5" fillId="0" borderId="0"/>
    <xf numFmtId="0" fontId="88" fillId="0" borderId="0" applyBorder="0"/>
    <xf numFmtId="166" fontId="5" fillId="0" borderId="0" applyFont="0" applyFill="0" applyBorder="0" applyAlignment="0" applyProtection="0"/>
    <xf numFmtId="43" fontId="1" fillId="0" borderId="0" applyFont="0" applyFill="0" applyBorder="0" applyAlignment="0" applyProtection="0"/>
  </cellStyleXfs>
  <cellXfs count="684">
    <xf numFmtId="0" fontId="0" fillId="0" borderId="0" xfId="0"/>
    <xf numFmtId="0" fontId="10" fillId="0" borderId="1" xfId="2" applyFont="1" applyBorder="1" applyAlignment="1">
      <alignment wrapText="1"/>
    </xf>
    <xf numFmtId="0" fontId="3" fillId="0" borderId="0" xfId="3" applyFont="1" applyAlignment="1">
      <alignment vertical="center"/>
    </xf>
    <xf numFmtId="0" fontId="3" fillId="0" borderId="0" xfId="3" applyFont="1" applyAlignment="1">
      <alignment horizontal="left"/>
    </xf>
    <xf numFmtId="0" fontId="3" fillId="0" borderId="0" xfId="3" applyFont="1"/>
    <xf numFmtId="0" fontId="4" fillId="0" borderId="8" xfId="20" applyFont="1" applyBorder="1" applyAlignment="1">
      <alignment horizontal="left"/>
    </xf>
    <xf numFmtId="0" fontId="4" fillId="0" borderId="0" xfId="3" applyFont="1" applyAlignment="1">
      <alignment horizontal="left"/>
    </xf>
    <xf numFmtId="0" fontId="16" fillId="0" borderId="0" xfId="8" applyFont="1" applyAlignment="1">
      <alignment horizontal="center" vertical="top"/>
    </xf>
    <xf numFmtId="0" fontId="4" fillId="0" borderId="0" xfId="3" applyFont="1" applyAlignment="1">
      <alignment horizontal="center"/>
    </xf>
    <xf numFmtId="0" fontId="7" fillId="0" borderId="0" xfId="3" applyFont="1" applyAlignment="1">
      <alignment horizontal="left"/>
    </xf>
    <xf numFmtId="166" fontId="3" fillId="0" borderId="0" xfId="9" applyFont="1" applyBorder="1" applyAlignment="1">
      <alignment horizontal="right"/>
    </xf>
    <xf numFmtId="166" fontId="3" fillId="0" borderId="0" xfId="9" applyFont="1" applyBorder="1"/>
    <xf numFmtId="0" fontId="4" fillId="0" borderId="0" xfId="3" applyFont="1"/>
    <xf numFmtId="166" fontId="7" fillId="0" borderId="0" xfId="9" applyFont="1" applyBorder="1"/>
    <xf numFmtId="166" fontId="4" fillId="0" borderId="0" xfId="9" applyFont="1" applyBorder="1" applyAlignment="1">
      <alignment horizontal="center"/>
    </xf>
    <xf numFmtId="166" fontId="4" fillId="0" borderId="0" xfId="9" applyFont="1" applyBorder="1"/>
    <xf numFmtId="0" fontId="4" fillId="0" borderId="0" xfId="8" applyFont="1" applyAlignment="1">
      <alignment horizontal="center" vertical="top"/>
    </xf>
    <xf numFmtId="0" fontId="7" fillId="0" borderId="0" xfId="8" applyFont="1"/>
    <xf numFmtId="166" fontId="21" fillId="0" borderId="0" xfId="9" applyFont="1" applyBorder="1" applyAlignment="1">
      <alignment horizontal="right" vertical="top"/>
    </xf>
    <xf numFmtId="166" fontId="4" fillId="0" borderId="0" xfId="9" applyFont="1" applyBorder="1" applyAlignment="1">
      <alignment vertical="top"/>
    </xf>
    <xf numFmtId="0" fontId="9" fillId="0" borderId="0" xfId="8" applyFont="1"/>
    <xf numFmtId="0" fontId="4" fillId="0" borderId="0" xfId="8" applyFont="1"/>
    <xf numFmtId="0" fontId="6" fillId="0" borderId="0" xfId="8" applyFont="1" applyAlignment="1">
      <alignment vertical="top" wrapText="1"/>
    </xf>
    <xf numFmtId="0" fontId="4" fillId="0" borderId="0" xfId="8" applyFont="1" applyAlignment="1">
      <alignment horizontal="center"/>
    </xf>
    <xf numFmtId="166" fontId="4" fillId="0" borderId="0" xfId="9" applyFont="1" applyBorder="1" applyAlignment="1">
      <alignment horizontal="right"/>
    </xf>
    <xf numFmtId="166" fontId="3" fillId="0" borderId="0" xfId="9" applyFont="1" applyBorder="1" applyAlignment="1">
      <alignment horizontal="left"/>
    </xf>
    <xf numFmtId="0" fontId="4" fillId="0" borderId="0" xfId="3" applyFont="1" applyAlignment="1">
      <alignment horizontal="center" vertical="center"/>
    </xf>
    <xf numFmtId="0" fontId="7" fillId="0" borderId="0" xfId="3" applyFont="1" applyAlignment="1">
      <alignment horizontal="left" vertical="center" wrapText="1"/>
    </xf>
    <xf numFmtId="166" fontId="4" fillId="0" borderId="0" xfId="9" applyFont="1" applyBorder="1" applyAlignment="1">
      <alignment vertical="center"/>
    </xf>
    <xf numFmtId="166" fontId="3" fillId="0" borderId="0" xfId="9" applyFont="1" applyBorder="1" applyAlignment="1">
      <alignment vertical="center"/>
    </xf>
    <xf numFmtId="0" fontId="4" fillId="0" borderId="0" xfId="3" applyFont="1" applyAlignment="1">
      <alignment vertical="center"/>
    </xf>
    <xf numFmtId="0" fontId="4" fillId="0" borderId="0" xfId="3" applyFont="1" applyAlignment="1">
      <alignment horizontal="left" vertical="center" wrapText="1"/>
    </xf>
    <xf numFmtId="0" fontId="3" fillId="0" borderId="0" xfId="3" applyFont="1" applyAlignment="1">
      <alignment horizontal="left" vertical="center" wrapText="1"/>
    </xf>
    <xf numFmtId="1" fontId="3" fillId="0" borderId="0" xfId="3" applyNumberFormat="1" applyFont="1" applyAlignment="1">
      <alignment horizontal="center" vertical="center"/>
    </xf>
    <xf numFmtId="166" fontId="3" fillId="0" borderId="0" xfId="9" applyFont="1" applyBorder="1" applyAlignment="1">
      <alignment horizontal="right" vertical="center"/>
    </xf>
    <xf numFmtId="0" fontId="6" fillId="0" borderId="0" xfId="3" applyFont="1" applyAlignment="1">
      <alignment horizontal="left" vertical="center" wrapText="1"/>
    </xf>
    <xf numFmtId="1" fontId="4" fillId="0" borderId="0" xfId="3" applyNumberFormat="1" applyFont="1" applyAlignment="1">
      <alignment horizontal="center" vertical="center"/>
    </xf>
    <xf numFmtId="0" fontId="4" fillId="0" borderId="0" xfId="3" applyFont="1" applyAlignment="1">
      <alignment horizontal="right" vertical="center" wrapText="1"/>
    </xf>
    <xf numFmtId="0" fontId="23" fillId="0" borderId="0" xfId="19" applyFont="1" applyAlignment="1">
      <alignment vertical="center"/>
    </xf>
    <xf numFmtId="0" fontId="4" fillId="0" borderId="0" xfId="3" applyFont="1" applyAlignment="1">
      <alignment horizontal="center" vertical="top"/>
    </xf>
    <xf numFmtId="0" fontId="4" fillId="0" borderId="0" xfId="3" applyFont="1" applyAlignment="1">
      <alignment horizontal="justify" vertical="top" wrapText="1"/>
    </xf>
    <xf numFmtId="1" fontId="4" fillId="0" borderId="0" xfId="3" applyNumberFormat="1" applyFont="1" applyAlignment="1">
      <alignment horizontal="center"/>
    </xf>
    <xf numFmtId="167" fontId="4" fillId="0" borderId="0" xfId="9" applyNumberFormat="1" applyFont="1" applyBorder="1" applyAlignment="1">
      <alignment vertical="top"/>
    </xf>
    <xf numFmtId="167" fontId="4" fillId="0" borderId="0" xfId="3" applyNumberFormat="1" applyFont="1" applyAlignment="1">
      <alignment vertical="top"/>
    </xf>
    <xf numFmtId="0" fontId="4" fillId="0" borderId="0" xfId="3" applyFont="1" applyAlignment="1">
      <alignment vertical="top"/>
    </xf>
    <xf numFmtId="0" fontId="4" fillId="0" borderId="0" xfId="8" applyFont="1" applyAlignment="1">
      <alignment horizontal="left" vertical="top" wrapText="1"/>
    </xf>
    <xf numFmtId="0" fontId="4" fillId="0" borderId="0" xfId="3" applyFont="1" applyAlignment="1">
      <alignment horizontal="justify" wrapText="1"/>
    </xf>
    <xf numFmtId="166" fontId="4" fillId="0" borderId="0" xfId="9" applyFont="1" applyBorder="1" applyAlignment="1">
      <alignment horizontal="right" vertical="top"/>
    </xf>
    <xf numFmtId="0" fontId="6" fillId="0" borderId="0" xfId="3" applyFont="1" applyAlignment="1">
      <alignment horizontal="left"/>
    </xf>
    <xf numFmtId="0" fontId="3" fillId="0" borderId="0" xfId="3" applyFont="1" applyAlignment="1">
      <alignment horizontal="center"/>
    </xf>
    <xf numFmtId="0" fontId="3" fillId="0" borderId="0" xfId="3" applyFont="1" applyAlignment="1">
      <alignment horizontal="left" vertical="top"/>
    </xf>
    <xf numFmtId="1" fontId="3" fillId="0" borderId="0" xfId="3" applyNumberFormat="1" applyFont="1" applyAlignment="1">
      <alignment horizontal="center"/>
    </xf>
    <xf numFmtId="0" fontId="4" fillId="0" borderId="0" xfId="3" applyFont="1" applyAlignment="1">
      <alignment horizontal="right" vertical="top"/>
    </xf>
    <xf numFmtId="0" fontId="3" fillId="0" borderId="0" xfId="3" applyFont="1" applyAlignment="1">
      <alignment horizontal="center" vertical="top"/>
    </xf>
    <xf numFmtId="0" fontId="4" fillId="0" borderId="0" xfId="10" applyFont="1" applyAlignment="1">
      <alignment horizontal="left" wrapText="1"/>
    </xf>
    <xf numFmtId="166" fontId="3" fillId="0" borderId="0" xfId="9" applyFont="1" applyBorder="1" applyAlignment="1">
      <alignment vertical="top"/>
    </xf>
    <xf numFmtId="0" fontId="6" fillId="0" borderId="0" xfId="3" applyFont="1"/>
    <xf numFmtId="0" fontId="4" fillId="0" borderId="5" xfId="10" applyFont="1" applyBorder="1" applyAlignment="1">
      <alignment horizontal="center"/>
    </xf>
    <xf numFmtId="0" fontId="4" fillId="0" borderId="0" xfId="10" applyFont="1" applyAlignment="1">
      <alignment horizontal="left"/>
    </xf>
    <xf numFmtId="0" fontId="4" fillId="0" borderId="4" xfId="10" applyFont="1" applyBorder="1" applyAlignment="1">
      <alignment horizontal="center"/>
    </xf>
    <xf numFmtId="168" fontId="4" fillId="0" borderId="4" xfId="10" applyNumberFormat="1" applyFont="1" applyBorder="1"/>
    <xf numFmtId="39" fontId="4" fillId="0" borderId="5" xfId="10" applyNumberFormat="1" applyFont="1" applyBorder="1"/>
    <xf numFmtId="0" fontId="20" fillId="0" borderId="0" xfId="10" applyFont="1"/>
    <xf numFmtId="168" fontId="20" fillId="0" borderId="0" xfId="10" applyNumberFormat="1" applyFont="1"/>
    <xf numFmtId="0" fontId="3" fillId="0" borderId="0" xfId="10" applyFont="1" applyAlignment="1">
      <alignment horizontal="left"/>
    </xf>
    <xf numFmtId="0" fontId="6" fillId="0" borderId="0" xfId="3" applyFont="1" applyAlignment="1">
      <alignment wrapText="1"/>
    </xf>
    <xf numFmtId="0" fontId="4" fillId="0" borderId="5" xfId="10" applyFont="1" applyBorder="1"/>
    <xf numFmtId="167" fontId="4" fillId="0" borderId="0" xfId="9" applyNumberFormat="1" applyFont="1" applyBorder="1" applyAlignment="1">
      <alignment horizontal="right" vertical="top"/>
    </xf>
    <xf numFmtId="167" fontId="4" fillId="0" borderId="0" xfId="3" applyNumberFormat="1" applyFont="1" applyAlignment="1">
      <alignment horizontal="right" vertical="top"/>
    </xf>
    <xf numFmtId="0" fontId="7" fillId="0" borderId="0" xfId="3" applyFont="1"/>
    <xf numFmtId="0" fontId="4" fillId="0" borderId="0" xfId="3" applyFont="1" applyAlignment="1">
      <alignment vertical="top" wrapText="1"/>
    </xf>
    <xf numFmtId="0" fontId="7" fillId="0" borderId="0" xfId="3" applyFont="1" applyAlignment="1">
      <alignment vertical="top"/>
    </xf>
    <xf numFmtId="167" fontId="24" fillId="0" borderId="0" xfId="9" applyNumberFormat="1" applyFont="1" applyBorder="1" applyAlignment="1">
      <alignment horizontal="right" vertical="top"/>
    </xf>
    <xf numFmtId="167" fontId="3" fillId="0" borderId="0" xfId="9" applyNumberFormat="1" applyFont="1" applyBorder="1" applyAlignment="1">
      <alignment horizontal="right" vertical="top"/>
    </xf>
    <xf numFmtId="0" fontId="4" fillId="0" borderId="0" xfId="3" applyFont="1" applyAlignment="1">
      <alignment horizontal="left" vertical="top"/>
    </xf>
    <xf numFmtId="0" fontId="6" fillId="0" borderId="0" xfId="3" applyFont="1" applyAlignment="1">
      <alignment vertical="top" wrapText="1"/>
    </xf>
    <xf numFmtId="166" fontId="4" fillId="0" borderId="0" xfId="9" applyFont="1" applyFill="1" applyBorder="1"/>
    <xf numFmtId="166" fontId="4" fillId="2" borderId="0" xfId="9" applyFont="1" applyFill="1" applyBorder="1"/>
    <xf numFmtId="166" fontId="6" fillId="0" borderId="0" xfId="9" applyFont="1" applyBorder="1"/>
    <xf numFmtId="167" fontId="6" fillId="0" borderId="0" xfId="11" applyNumberFormat="1" applyFont="1" applyBorder="1" applyAlignment="1">
      <alignment vertical="top"/>
    </xf>
    <xf numFmtId="167" fontId="4" fillId="0" borderId="0" xfId="12" applyNumberFormat="1" applyFont="1" applyAlignment="1">
      <alignment vertical="top"/>
    </xf>
    <xf numFmtId="166" fontId="21" fillId="0" borderId="0" xfId="9" applyFont="1" applyBorder="1" applyAlignment="1">
      <alignment vertical="top"/>
    </xf>
    <xf numFmtId="0" fontId="6" fillId="0" borderId="0" xfId="12" applyFont="1" applyAlignment="1">
      <alignment vertical="top"/>
    </xf>
    <xf numFmtId="0" fontId="4" fillId="0" borderId="0" xfId="12" applyFont="1" applyAlignment="1">
      <alignment horizontal="center" vertical="top"/>
    </xf>
    <xf numFmtId="0" fontId="6" fillId="0" borderId="0" xfId="12" applyFont="1" applyAlignment="1">
      <alignment vertical="top" wrapText="1"/>
    </xf>
    <xf numFmtId="0" fontId="4" fillId="0" borderId="0" xfId="12" applyFont="1" applyAlignment="1">
      <alignment horizontal="justify" vertical="top" wrapText="1"/>
    </xf>
    <xf numFmtId="167" fontId="4" fillId="0" borderId="0" xfId="11" applyNumberFormat="1" applyFont="1" applyBorder="1" applyAlignment="1">
      <alignment vertical="top"/>
    </xf>
    <xf numFmtId="0" fontId="4" fillId="0" borderId="0" xfId="12" applyFont="1" applyAlignment="1">
      <alignment vertical="top"/>
    </xf>
    <xf numFmtId="166" fontId="4" fillId="0" borderId="0" xfId="9" applyFont="1" applyBorder="1" applyAlignment="1">
      <alignment horizontal="center" vertical="top"/>
    </xf>
    <xf numFmtId="4" fontId="4" fillId="0" borderId="0" xfId="9" applyNumberFormat="1" applyFont="1" applyBorder="1" applyAlignment="1">
      <alignment vertical="top"/>
    </xf>
    <xf numFmtId="9" fontId="6" fillId="0" borderId="0" xfId="13" applyFont="1" applyBorder="1" applyAlignment="1">
      <alignment vertical="top" wrapText="1"/>
    </xf>
    <xf numFmtId="0" fontId="6" fillId="0" borderId="0" xfId="8" applyFont="1"/>
    <xf numFmtId="167" fontId="21" fillId="0" borderId="0" xfId="8" applyNumberFormat="1" applyFont="1" applyAlignment="1">
      <alignment horizontal="right"/>
    </xf>
    <xf numFmtId="167" fontId="4" fillId="0" borderId="0" xfId="8" applyNumberFormat="1" applyFont="1" applyAlignment="1">
      <alignment vertical="top"/>
    </xf>
    <xf numFmtId="0" fontId="6" fillId="0" borderId="0" xfId="8" applyFont="1" applyAlignment="1">
      <alignment wrapText="1"/>
    </xf>
    <xf numFmtId="167" fontId="21" fillId="0" borderId="0" xfId="8" applyNumberFormat="1" applyFont="1" applyAlignment="1">
      <alignment vertical="top"/>
    </xf>
    <xf numFmtId="167" fontId="4" fillId="0" borderId="0" xfId="14" applyNumberFormat="1" applyFont="1" applyBorder="1" applyAlignment="1">
      <alignment horizontal="right"/>
    </xf>
    <xf numFmtId="167" fontId="4" fillId="0" borderId="0" xfId="14" applyNumberFormat="1" applyFont="1" applyBorder="1" applyAlignment="1">
      <alignment vertical="top"/>
    </xf>
    <xf numFmtId="167" fontId="21" fillId="0" borderId="0" xfId="14" applyNumberFormat="1" applyFont="1" applyFill="1" applyBorder="1" applyAlignment="1">
      <alignment vertical="top"/>
    </xf>
    <xf numFmtId="0" fontId="3" fillId="0" borderId="6" xfId="8" applyFont="1" applyBorder="1" applyAlignment="1">
      <alignment horizontal="center" vertical="top"/>
    </xf>
    <xf numFmtId="166" fontId="9" fillId="0" borderId="0" xfId="15" applyFont="1"/>
    <xf numFmtId="0" fontId="6" fillId="0" borderId="0" xfId="3" applyFont="1" applyAlignment="1">
      <alignment vertical="top" wrapText="1" shrinkToFit="1"/>
    </xf>
    <xf numFmtId="0" fontId="7" fillId="0" borderId="0" xfId="3" applyFont="1" applyAlignment="1">
      <alignment horizontal="left" vertical="top" wrapText="1"/>
    </xf>
    <xf numFmtId="0" fontId="4" fillId="0" borderId="0" xfId="8" applyFont="1" applyAlignment="1">
      <alignment horizontal="left"/>
    </xf>
    <xf numFmtId="0" fontId="4" fillId="0" borderId="0" xfId="8" applyFont="1" applyAlignment="1">
      <alignment horizontal="center" vertical="center"/>
    </xf>
    <xf numFmtId="4" fontId="4" fillId="0" borderId="0" xfId="8" applyNumberFormat="1" applyFont="1" applyAlignment="1">
      <alignment horizontal="right" vertical="top"/>
    </xf>
    <xf numFmtId="0" fontId="4" fillId="0" borderId="0" xfId="8" applyFont="1" applyAlignment="1">
      <alignment vertical="center"/>
    </xf>
    <xf numFmtId="0" fontId="4" fillId="0" borderId="0" xfId="10" applyFont="1" applyAlignment="1">
      <alignment horizontal="left" vertical="center" wrapText="1"/>
    </xf>
    <xf numFmtId="0" fontId="4" fillId="0" borderId="0" xfId="10" applyFont="1" applyAlignment="1">
      <alignment horizontal="center"/>
    </xf>
    <xf numFmtId="168" fontId="4" fillId="0" borderId="0" xfId="10" applyNumberFormat="1" applyFont="1"/>
    <xf numFmtId="39" fontId="4" fillId="0" borderId="0" xfId="10" applyNumberFormat="1" applyFont="1"/>
    <xf numFmtId="0" fontId="4" fillId="0" borderId="0" xfId="3" applyFont="1" applyAlignment="1">
      <alignment wrapText="1"/>
    </xf>
    <xf numFmtId="166" fontId="4" fillId="0" borderId="0" xfId="9" applyFont="1" applyBorder="1" applyAlignment="1">
      <alignment horizontal="left"/>
    </xf>
    <xf numFmtId="0" fontId="4" fillId="0" borderId="0" xfId="3" applyFont="1" applyAlignment="1">
      <alignment horizontal="center" vertical="top" wrapText="1"/>
    </xf>
    <xf numFmtId="0" fontId="7" fillId="0" borderId="0" xfId="3" applyFont="1" applyAlignment="1">
      <alignment vertical="top" wrapText="1"/>
    </xf>
    <xf numFmtId="166" fontId="4" fillId="0" borderId="0" xfId="9" applyFont="1" applyBorder="1" applyAlignment="1">
      <alignment vertical="top" wrapText="1"/>
    </xf>
    <xf numFmtId="0" fontId="7" fillId="0" borderId="0" xfId="8" applyFont="1" applyAlignment="1">
      <alignment vertical="top"/>
    </xf>
    <xf numFmtId="0" fontId="7" fillId="0" borderId="0" xfId="8" applyFont="1" applyAlignment="1">
      <alignment horizontal="left"/>
    </xf>
    <xf numFmtId="4" fontId="4" fillId="0" borderId="0" xfId="9" applyNumberFormat="1" applyFont="1" applyBorder="1" applyAlignment="1">
      <alignment horizontal="right" vertical="top"/>
    </xf>
    <xf numFmtId="0" fontId="4" fillId="0" borderId="0" xfId="8" applyFont="1" applyAlignment="1">
      <alignment vertical="top"/>
    </xf>
    <xf numFmtId="167" fontId="21" fillId="0" borderId="0" xfId="9" applyNumberFormat="1" applyFont="1" applyFill="1" applyBorder="1" applyAlignment="1">
      <alignment vertical="top"/>
    </xf>
    <xf numFmtId="166" fontId="7" fillId="0" borderId="0" xfId="16" applyFont="1" applyAlignment="1">
      <alignment horizontal="left"/>
    </xf>
    <xf numFmtId="4" fontId="4" fillId="0" borderId="0" xfId="15" applyNumberFormat="1" applyFont="1" applyBorder="1" applyAlignment="1">
      <alignment horizontal="right"/>
    </xf>
    <xf numFmtId="166" fontId="4" fillId="0" borderId="0" xfId="15" applyFont="1" applyBorder="1" applyAlignment="1">
      <alignment vertical="top"/>
    </xf>
    <xf numFmtId="4" fontId="4" fillId="0" borderId="0" xfId="16" applyNumberFormat="1" applyFont="1" applyBorder="1" applyAlignment="1">
      <alignment horizontal="right" vertical="top"/>
    </xf>
    <xf numFmtId="167" fontId="3" fillId="0" borderId="0" xfId="9" applyNumberFormat="1" applyFont="1" applyBorder="1" applyAlignment="1">
      <alignment vertical="top"/>
    </xf>
    <xf numFmtId="167" fontId="4" fillId="0" borderId="0" xfId="8" applyNumberFormat="1" applyFont="1"/>
    <xf numFmtId="0" fontId="3" fillId="0" borderId="0" xfId="8" applyFont="1" applyAlignment="1">
      <alignment horizontal="center" vertical="top"/>
    </xf>
    <xf numFmtId="4" fontId="3" fillId="0" borderId="0" xfId="8" applyNumberFormat="1" applyFont="1" applyAlignment="1">
      <alignment horizontal="right" vertical="top"/>
    </xf>
    <xf numFmtId="167" fontId="3" fillId="0" borderId="0" xfId="8" applyNumberFormat="1" applyFont="1" applyAlignment="1">
      <alignment vertical="top"/>
    </xf>
    <xf numFmtId="0" fontId="4" fillId="0" borderId="0" xfId="17" applyFont="1" applyAlignment="1">
      <alignment horizontal="center" vertical="center"/>
    </xf>
    <xf numFmtId="0" fontId="7" fillId="0" borderId="0" xfId="17" applyFont="1" applyAlignment="1">
      <alignment horizontal="left" vertical="center" wrapText="1"/>
    </xf>
    <xf numFmtId="4" fontId="4" fillId="0" borderId="0" xfId="9" applyNumberFormat="1" applyFont="1" applyBorder="1" applyAlignment="1">
      <alignment horizontal="right" vertical="center"/>
    </xf>
    <xf numFmtId="167" fontId="4" fillId="0" borderId="0" xfId="9" applyNumberFormat="1" applyFont="1" applyBorder="1" applyAlignment="1">
      <alignment vertical="center"/>
    </xf>
    <xf numFmtId="0" fontId="4" fillId="0" borderId="0" xfId="17" applyFont="1" applyAlignment="1">
      <alignment vertical="center"/>
    </xf>
    <xf numFmtId="0" fontId="4" fillId="0" borderId="0" xfId="17" applyFont="1" applyAlignment="1">
      <alignment vertical="center" wrapText="1"/>
    </xf>
    <xf numFmtId="167" fontId="21" fillId="0" borderId="0" xfId="9" applyNumberFormat="1" applyFont="1" applyFill="1" applyBorder="1" applyAlignment="1">
      <alignment vertical="center"/>
    </xf>
    <xf numFmtId="167" fontId="21" fillId="0" borderId="0" xfId="17" applyNumberFormat="1" applyFont="1" applyAlignment="1">
      <alignment vertical="center"/>
    </xf>
    <xf numFmtId="166" fontId="7" fillId="0" borderId="0" xfId="16" applyFont="1" applyAlignment="1">
      <alignment horizontal="left" vertical="center" wrapText="1"/>
    </xf>
    <xf numFmtId="4" fontId="4" fillId="0" borderId="0" xfId="17" applyNumberFormat="1" applyFont="1" applyAlignment="1">
      <alignment horizontal="right" vertical="center"/>
    </xf>
    <xf numFmtId="167" fontId="4" fillId="0" borderId="0" xfId="17" applyNumberFormat="1" applyFont="1" applyAlignment="1">
      <alignment vertical="center"/>
    </xf>
    <xf numFmtId="0" fontId="7" fillId="0" borderId="0" xfId="17" applyFont="1" applyAlignment="1">
      <alignment vertical="center" wrapText="1"/>
    </xf>
    <xf numFmtId="4" fontId="4" fillId="0" borderId="0" xfId="18" applyNumberFormat="1" applyFont="1" applyBorder="1" applyAlignment="1">
      <alignment horizontal="right" vertical="center"/>
    </xf>
    <xf numFmtId="166" fontId="4" fillId="0" borderId="0" xfId="18" applyFont="1" applyBorder="1" applyAlignment="1">
      <alignment vertical="center"/>
    </xf>
    <xf numFmtId="0" fontId="3" fillId="0" borderId="0" xfId="3" applyFont="1" applyAlignment="1">
      <alignment horizontal="center" vertical="center"/>
    </xf>
    <xf numFmtId="166" fontId="3" fillId="0" borderId="0" xfId="15" applyFont="1" applyFill="1" applyAlignment="1">
      <alignment horizontal="right" vertical="center"/>
    </xf>
    <xf numFmtId="167" fontId="24" fillId="0" borderId="0" xfId="11" applyNumberFormat="1" applyFont="1" applyFill="1" applyAlignment="1">
      <alignment vertical="center"/>
    </xf>
    <xf numFmtId="0" fontId="4" fillId="0" borderId="0" xfId="8" applyFont="1" applyAlignment="1">
      <alignment vertical="top" wrapText="1"/>
    </xf>
    <xf numFmtId="0" fontId="4" fillId="0" borderId="0" xfId="19" applyFont="1" applyAlignment="1">
      <alignment vertical="center"/>
    </xf>
    <xf numFmtId="166" fontId="4" fillId="0" borderId="0" xfId="3" applyNumberFormat="1" applyFont="1"/>
    <xf numFmtId="43" fontId="4" fillId="0" borderId="0" xfId="3" applyNumberFormat="1" applyFont="1"/>
    <xf numFmtId="166" fontId="4" fillId="0" borderId="0" xfId="15" applyFont="1"/>
    <xf numFmtId="0" fontId="4" fillId="0" borderId="0" xfId="0" applyFont="1" applyAlignment="1">
      <alignment vertical="center"/>
    </xf>
    <xf numFmtId="0" fontId="6" fillId="0" borderId="0" xfId="8" applyFont="1" applyAlignment="1">
      <alignment horizontal="left"/>
    </xf>
    <xf numFmtId="4" fontId="4" fillId="0" borderId="0" xfId="3" applyNumberFormat="1" applyFont="1" applyAlignment="1">
      <alignment horizontal="center" vertical="top"/>
    </xf>
    <xf numFmtId="167" fontId="21" fillId="0" borderId="0" xfId="3" applyNumberFormat="1" applyFont="1" applyAlignment="1">
      <alignment horizontal="right" vertical="top"/>
    </xf>
    <xf numFmtId="0" fontId="4" fillId="0" borderId="0" xfId="8" applyFont="1" applyAlignment="1">
      <alignment horizontal="right"/>
    </xf>
    <xf numFmtId="167" fontId="3" fillId="0" borderId="0" xfId="8" applyNumberFormat="1" applyFont="1" applyAlignment="1">
      <alignment horizontal="right" vertical="top"/>
    </xf>
    <xf numFmtId="4" fontId="3" fillId="0" borderId="0" xfId="9" applyNumberFormat="1" applyFont="1" applyBorder="1" applyAlignment="1">
      <alignment horizontal="center" vertical="center"/>
    </xf>
    <xf numFmtId="167" fontId="24" fillId="0" borderId="0" xfId="9" applyNumberFormat="1" applyFont="1" applyBorder="1" applyAlignment="1">
      <alignment vertical="center"/>
    </xf>
    <xf numFmtId="169" fontId="3" fillId="0" borderId="0" xfId="1" applyNumberFormat="1" applyFont="1" applyFill="1" applyBorder="1" applyAlignment="1">
      <alignment vertical="center"/>
    </xf>
    <xf numFmtId="166" fontId="3" fillId="0" borderId="0" xfId="1" applyFont="1" applyBorder="1" applyAlignment="1">
      <alignment horizontal="center" vertical="center"/>
    </xf>
    <xf numFmtId="0" fontId="7" fillId="0" borderId="0" xfId="3" applyFont="1" applyAlignment="1">
      <alignment vertical="center"/>
    </xf>
    <xf numFmtId="169" fontId="3" fillId="0" borderId="0" xfId="1" applyNumberFormat="1" applyFont="1" applyFill="1" applyAlignment="1">
      <alignment vertical="center"/>
    </xf>
    <xf numFmtId="0" fontId="24" fillId="0" borderId="0" xfId="3" applyFont="1" applyAlignment="1">
      <alignment vertical="center"/>
    </xf>
    <xf numFmtId="169" fontId="24" fillId="0" borderId="0" xfId="1" applyNumberFormat="1" applyFont="1" applyFill="1" applyAlignment="1">
      <alignment vertical="center"/>
    </xf>
    <xf numFmtId="0" fontId="24" fillId="0" borderId="0" xfId="3" applyFont="1" applyAlignment="1">
      <alignment horizontal="center" vertical="center"/>
    </xf>
    <xf numFmtId="166" fontId="24" fillId="0" borderId="2" xfId="1" applyFont="1" applyBorder="1" applyAlignment="1">
      <alignment horizontal="center" vertical="center"/>
    </xf>
    <xf numFmtId="166" fontId="24" fillId="0" borderId="0" xfId="1" applyFont="1" applyBorder="1" applyAlignment="1">
      <alignment horizontal="center" vertical="center"/>
    </xf>
    <xf numFmtId="166" fontId="3" fillId="0" borderId="7" xfId="1" applyFont="1" applyBorder="1" applyAlignment="1">
      <alignment horizontal="center" vertical="center"/>
    </xf>
    <xf numFmtId="1" fontId="16" fillId="0" borderId="0" xfId="3" applyNumberFormat="1" applyFont="1" applyAlignment="1">
      <alignment horizontal="center" vertical="top"/>
    </xf>
    <xf numFmtId="1" fontId="16" fillId="0" borderId="0" xfId="3" applyNumberFormat="1" applyFont="1" applyAlignment="1">
      <alignment horizontal="center"/>
    </xf>
    <xf numFmtId="0" fontId="17" fillId="0" borderId="0" xfId="3" applyFont="1" applyAlignment="1">
      <alignment horizontal="center"/>
    </xf>
    <xf numFmtId="0" fontId="16" fillId="0" borderId="0" xfId="3" applyFont="1" applyAlignment="1">
      <alignment horizontal="center" vertical="top"/>
    </xf>
    <xf numFmtId="0" fontId="16" fillId="0" borderId="0" xfId="3" applyFont="1" applyAlignment="1">
      <alignment horizontal="left"/>
    </xf>
    <xf numFmtId="0" fontId="16" fillId="0" borderId="0" xfId="3" applyFont="1" applyAlignment="1">
      <alignment horizontal="center" vertical="center"/>
    </xf>
    <xf numFmtId="0" fontId="16" fillId="0" borderId="0" xfId="12" applyFont="1" applyAlignment="1">
      <alignment horizontal="center" vertical="top"/>
    </xf>
    <xf numFmtId="0" fontId="16" fillId="0" borderId="4" xfId="10" applyFont="1" applyBorder="1" applyAlignment="1">
      <alignment horizontal="center"/>
    </xf>
    <xf numFmtId="166" fontId="16" fillId="0" borderId="0" xfId="9" applyFont="1" applyFill="1" applyBorder="1" applyAlignment="1">
      <alignment vertical="top"/>
    </xf>
    <xf numFmtId="0" fontId="16" fillId="0" borderId="0" xfId="8" applyFont="1" applyAlignment="1">
      <alignment horizontal="center" vertical="center"/>
    </xf>
    <xf numFmtId="0" fontId="13" fillId="0" borderId="0" xfId="8" applyFont="1" applyAlignment="1">
      <alignment horizontal="center" vertical="center"/>
    </xf>
    <xf numFmtId="1" fontId="16" fillId="0" borderId="0" xfId="3" applyNumberFormat="1" applyFont="1" applyAlignment="1">
      <alignment horizontal="center" vertical="center"/>
    </xf>
    <xf numFmtId="1" fontId="13" fillId="0" borderId="0" xfId="8" applyNumberFormat="1" applyFont="1" applyAlignment="1">
      <alignment horizontal="center"/>
    </xf>
    <xf numFmtId="166" fontId="14" fillId="0" borderId="0" xfId="9" applyFont="1" applyFill="1" applyBorder="1"/>
    <xf numFmtId="0" fontId="26" fillId="0" borderId="0" xfId="3" applyFont="1" applyAlignment="1">
      <alignment horizontal="center" vertical="top"/>
    </xf>
    <xf numFmtId="1" fontId="26" fillId="0" borderId="0" xfId="3" applyNumberFormat="1" applyFont="1" applyAlignment="1">
      <alignment horizontal="center"/>
    </xf>
    <xf numFmtId="0" fontId="13" fillId="0" borderId="0" xfId="8" applyFont="1" applyAlignment="1">
      <alignment horizontal="center"/>
    </xf>
    <xf numFmtId="0" fontId="26" fillId="0" borderId="0" xfId="3" applyFont="1" applyAlignment="1">
      <alignment horizontal="center" vertical="center"/>
    </xf>
    <xf numFmtId="1" fontId="13" fillId="0" borderId="0" xfId="8" applyNumberFormat="1" applyFont="1" applyAlignment="1">
      <alignment horizontal="center" vertical="center"/>
    </xf>
    <xf numFmtId="1" fontId="4" fillId="0" borderId="0" xfId="3" applyNumberFormat="1" applyFont="1" applyAlignment="1">
      <alignment horizontal="center" vertical="top"/>
    </xf>
    <xf numFmtId="1" fontId="4" fillId="0" borderId="0" xfId="3" applyNumberFormat="1" applyFont="1" applyAlignment="1">
      <alignment horizontal="center" vertical="top" wrapText="1"/>
    </xf>
    <xf numFmtId="1" fontId="4" fillId="0" borderId="0" xfId="9" applyNumberFormat="1" applyFont="1" applyBorder="1" applyAlignment="1">
      <alignment horizontal="center"/>
    </xf>
    <xf numFmtId="1" fontId="4" fillId="0" borderId="0" xfId="8" applyNumberFormat="1" applyFont="1" applyAlignment="1">
      <alignment horizontal="center" vertical="top"/>
    </xf>
    <xf numFmtId="1" fontId="4" fillId="0" borderId="0" xfId="8" applyNumberFormat="1" applyFont="1" applyAlignment="1">
      <alignment horizontal="center"/>
    </xf>
    <xf numFmtId="0" fontId="3" fillId="0" borderId="0" xfId="8" applyFont="1" applyAlignment="1">
      <alignment horizontal="center" vertical="center"/>
    </xf>
    <xf numFmtId="1" fontId="11" fillId="0" borderId="0" xfId="3" applyNumberFormat="1" applyFont="1" applyAlignment="1">
      <alignment horizontal="center"/>
    </xf>
    <xf numFmtId="0" fontId="16" fillId="0" borderId="0" xfId="10" applyFont="1" applyAlignment="1">
      <alignment horizontal="center"/>
    </xf>
    <xf numFmtId="0" fontId="27" fillId="0" borderId="0" xfId="3" applyFont="1" applyAlignment="1">
      <alignment horizontal="center" vertical="center"/>
    </xf>
    <xf numFmtId="0" fontId="27" fillId="0" borderId="0" xfId="3" applyFont="1" applyAlignment="1">
      <alignment horizontal="left" vertical="center"/>
    </xf>
    <xf numFmtId="1" fontId="27" fillId="0" borderId="0" xfId="3" applyNumberFormat="1" applyFont="1" applyAlignment="1">
      <alignment horizontal="center" vertical="center"/>
    </xf>
    <xf numFmtId="4" fontId="27" fillId="0" borderId="0" xfId="3" applyNumberFormat="1" applyFont="1" applyAlignment="1">
      <alignment horizontal="center" vertical="center"/>
    </xf>
    <xf numFmtId="167" fontId="28" fillId="0" borderId="0" xfId="3" applyNumberFormat="1" applyFont="1" applyAlignment="1">
      <alignment vertical="center"/>
    </xf>
    <xf numFmtId="0" fontId="27" fillId="0" borderId="0" xfId="3" applyFont="1" applyAlignment="1">
      <alignment vertical="center"/>
    </xf>
    <xf numFmtId="9" fontId="14" fillId="0" borderId="0" xfId="13" applyFont="1" applyAlignment="1">
      <alignment horizontal="center" vertical="center"/>
    </xf>
    <xf numFmtId="9" fontId="29" fillId="0" borderId="0" xfId="13" applyFont="1" applyAlignment="1">
      <alignment vertical="center"/>
    </xf>
    <xf numFmtId="169" fontId="14" fillId="0" borderId="0" xfId="1" applyNumberFormat="1" applyFont="1" applyAlignment="1">
      <alignment horizontal="center" vertical="center"/>
    </xf>
    <xf numFmtId="0" fontId="14" fillId="0" borderId="0" xfId="3" applyFont="1" applyAlignment="1">
      <alignment horizontal="center" vertical="center"/>
    </xf>
    <xf numFmtId="167" fontId="30" fillId="0" borderId="0" xfId="3" applyNumberFormat="1" applyFont="1" applyAlignment="1">
      <alignment vertical="center"/>
    </xf>
    <xf numFmtId="0" fontId="13" fillId="0" borderId="0" xfId="3" applyFont="1" applyAlignment="1">
      <alignment vertical="center"/>
    </xf>
    <xf numFmtId="0" fontId="31" fillId="0" borderId="0" xfId="3" applyFont="1" applyAlignment="1">
      <alignment horizontal="center" vertical="center"/>
    </xf>
    <xf numFmtId="0" fontId="29" fillId="0" borderId="0" xfId="3" applyFont="1" applyAlignment="1">
      <alignment vertical="center"/>
    </xf>
    <xf numFmtId="0" fontId="29" fillId="0" borderId="0" xfId="3" applyFont="1" applyAlignment="1">
      <alignment horizontal="left" vertical="center"/>
    </xf>
    <xf numFmtId="166" fontId="14" fillId="0" borderId="0" xfId="16" applyFont="1" applyAlignment="1">
      <alignment vertical="center"/>
    </xf>
    <xf numFmtId="0" fontId="5" fillId="0" borderId="0" xfId="3" applyAlignment="1">
      <alignment vertical="center"/>
    </xf>
    <xf numFmtId="0" fontId="14" fillId="0" borderId="0" xfId="3" applyFont="1" applyAlignment="1">
      <alignment vertical="center"/>
    </xf>
    <xf numFmtId="0" fontId="14" fillId="0" borderId="0" xfId="3" applyFont="1" applyAlignment="1">
      <alignment horizontal="justify" vertical="center" wrapText="1"/>
    </xf>
    <xf numFmtId="170" fontId="30" fillId="0" borderId="0" xfId="3" applyNumberFormat="1" applyFont="1" applyAlignment="1">
      <alignment vertical="center"/>
    </xf>
    <xf numFmtId="1" fontId="13" fillId="0" borderId="0" xfId="3" applyNumberFormat="1" applyFont="1" applyAlignment="1">
      <alignment vertical="center"/>
    </xf>
    <xf numFmtId="0" fontId="14" fillId="0" borderId="0" xfId="3" applyFont="1" applyAlignment="1">
      <alignment vertical="center" wrapText="1"/>
    </xf>
    <xf numFmtId="0" fontId="34" fillId="0" borderId="0" xfId="3" applyFont="1" applyAlignment="1">
      <alignment vertical="center"/>
    </xf>
    <xf numFmtId="0" fontId="31" fillId="0" borderId="0" xfId="3" applyFont="1" applyAlignment="1">
      <alignment vertical="center"/>
    </xf>
    <xf numFmtId="169" fontId="31" fillId="0" borderId="0" xfId="1" applyNumberFormat="1" applyFont="1" applyAlignment="1">
      <alignment horizontal="center" vertical="center"/>
    </xf>
    <xf numFmtId="167" fontId="35" fillId="0" borderId="0" xfId="3" applyNumberFormat="1" applyFont="1" applyAlignment="1">
      <alignment vertical="center"/>
    </xf>
    <xf numFmtId="0" fontId="12" fillId="0" borderId="0" xfId="3" applyFont="1" applyAlignment="1">
      <alignment vertical="center"/>
    </xf>
    <xf numFmtId="0" fontId="34" fillId="0" borderId="0" xfId="3" applyFont="1" applyAlignment="1">
      <alignment vertical="center" wrapText="1"/>
    </xf>
    <xf numFmtId="0" fontId="31" fillId="0" borderId="0" xfId="3" applyFont="1" applyAlignment="1">
      <alignment horizontal="left" vertical="center"/>
    </xf>
    <xf numFmtId="0" fontId="34" fillId="0" borderId="0" xfId="3" applyFont="1" applyAlignment="1">
      <alignment horizontal="left" vertical="center" wrapText="1"/>
    </xf>
    <xf numFmtId="0" fontId="30" fillId="0" borderId="0" xfId="3" applyFont="1" applyAlignment="1">
      <alignment vertical="center"/>
    </xf>
    <xf numFmtId="0" fontId="34" fillId="0" borderId="0" xfId="3" applyFont="1" applyAlignment="1">
      <alignment horizontal="justify" vertical="center" wrapText="1"/>
    </xf>
    <xf numFmtId="43" fontId="30" fillId="0" borderId="0" xfId="23" applyFont="1" applyAlignment="1">
      <alignment vertical="center"/>
    </xf>
    <xf numFmtId="167" fontId="30" fillId="0" borderId="0" xfId="3" applyNumberFormat="1" applyFont="1" applyAlignment="1">
      <alignment horizontal="right" vertical="center"/>
    </xf>
    <xf numFmtId="0" fontId="14" fillId="0" borderId="0" xfId="3" applyFont="1" applyAlignment="1">
      <alignment horizontal="right" vertical="center"/>
    </xf>
    <xf numFmtId="0" fontId="31" fillId="0" borderId="0" xfId="3" applyFont="1" applyAlignment="1">
      <alignment horizontal="right" vertical="center"/>
    </xf>
    <xf numFmtId="0" fontId="14" fillId="0" borderId="0" xfId="3" applyFont="1" applyAlignment="1">
      <alignment horizontal="left" vertical="center"/>
    </xf>
    <xf numFmtId="0" fontId="29" fillId="0" borderId="0" xfId="3" applyFont="1" applyAlignment="1">
      <alignment vertical="center" wrapText="1"/>
    </xf>
    <xf numFmtId="167" fontId="35" fillId="0" borderId="0" xfId="3" applyNumberFormat="1" applyFont="1" applyAlignment="1">
      <alignment horizontal="right" vertical="center"/>
    </xf>
    <xf numFmtId="0" fontId="13" fillId="0" borderId="0" xfId="3" applyFont="1" applyAlignment="1">
      <alignment vertical="center" wrapText="1"/>
    </xf>
    <xf numFmtId="0" fontId="34" fillId="0" borderId="0" xfId="3" applyFont="1" applyAlignment="1">
      <alignment horizontal="center" vertical="center"/>
    </xf>
    <xf numFmtId="0" fontId="34" fillId="0" borderId="0" xfId="3" applyFont="1" applyAlignment="1">
      <alignment horizontal="center" vertical="center" wrapText="1"/>
    </xf>
    <xf numFmtId="169" fontId="14" fillId="0" borderId="0" xfId="1" applyNumberFormat="1" applyFont="1" applyAlignment="1">
      <alignment horizontal="center" vertical="center" wrapText="1"/>
    </xf>
    <xf numFmtId="0" fontId="14" fillId="0" borderId="0" xfId="3" applyFont="1" applyAlignment="1">
      <alignment horizontal="center" vertical="center" wrapText="1"/>
    </xf>
    <xf numFmtId="167" fontId="30" fillId="0" borderId="0" xfId="3" applyNumberFormat="1" applyFont="1" applyAlignment="1">
      <alignment vertical="center" wrapText="1"/>
    </xf>
    <xf numFmtId="0" fontId="29" fillId="0" borderId="0" xfId="3" applyFont="1" applyAlignment="1">
      <alignment horizontal="left" vertical="center" wrapText="1"/>
    </xf>
    <xf numFmtId="16" fontId="14" fillId="0" borderId="0" xfId="3" applyNumberFormat="1" applyFont="1" applyAlignment="1">
      <alignment horizontal="right" vertical="center"/>
    </xf>
    <xf numFmtId="16" fontId="14" fillId="0" borderId="0" xfId="3" quotePrefix="1" applyNumberFormat="1" applyFont="1" applyAlignment="1">
      <alignment horizontal="right" vertical="center"/>
    </xf>
    <xf numFmtId="167" fontId="30" fillId="0" borderId="0" xfId="3" applyNumberFormat="1" applyFont="1" applyAlignment="1">
      <alignment horizontal="right" vertical="center" wrapText="1"/>
    </xf>
    <xf numFmtId="0" fontId="14" fillId="0" borderId="0" xfId="3" applyFont="1" applyAlignment="1">
      <alignment horizontal="left" vertical="center" wrapText="1"/>
    </xf>
    <xf numFmtId="171" fontId="27" fillId="0" borderId="0" xfId="25" applyNumberFormat="1" applyFont="1" applyFill="1" applyBorder="1" applyAlignment="1">
      <alignment vertical="center"/>
    </xf>
    <xf numFmtId="167" fontId="28" fillId="0" borderId="0" xfId="26" applyNumberFormat="1" applyFont="1" applyFill="1" applyBorder="1" applyAlignment="1">
      <alignment vertical="center"/>
    </xf>
    <xf numFmtId="166" fontId="27" fillId="0" borderId="0" xfId="1" applyFont="1" applyFill="1" applyBorder="1" applyAlignment="1">
      <alignment vertical="center"/>
    </xf>
    <xf numFmtId="166" fontId="27" fillId="0" borderId="0" xfId="3" applyNumberFormat="1" applyFont="1" applyAlignment="1">
      <alignment vertical="center"/>
    </xf>
    <xf numFmtId="169" fontId="5" fillId="0" borderId="0" xfId="1" applyNumberFormat="1" applyFont="1" applyAlignment="1">
      <alignment horizontal="center" vertical="center"/>
    </xf>
    <xf numFmtId="16" fontId="34" fillId="0" borderId="0" xfId="3" applyNumberFormat="1" applyFont="1" applyAlignment="1">
      <alignment horizontal="left" vertical="center"/>
    </xf>
    <xf numFmtId="16" fontId="14" fillId="0" borderId="0" xfId="3" applyNumberFormat="1" applyFont="1" applyAlignment="1">
      <alignment horizontal="left" vertical="center"/>
    </xf>
    <xf numFmtId="16" fontId="14" fillId="0" borderId="0" xfId="3" quotePrefix="1" applyNumberFormat="1" applyFont="1" applyAlignment="1">
      <alignment horizontal="left" vertical="center"/>
    </xf>
    <xf numFmtId="166" fontId="13" fillId="0" borderId="0" xfId="3" applyNumberFormat="1" applyFont="1" applyAlignment="1">
      <alignment vertical="center"/>
    </xf>
    <xf numFmtId="169" fontId="34" fillId="0" borderId="0" xfId="1" applyNumberFormat="1" applyFont="1" applyAlignment="1">
      <alignment horizontal="center" vertical="center"/>
    </xf>
    <xf numFmtId="4" fontId="30" fillId="0" borderId="0" xfId="3" applyNumberFormat="1" applyFont="1" applyAlignment="1">
      <alignment vertical="center"/>
    </xf>
    <xf numFmtId="0" fontId="14" fillId="0" borderId="9" xfId="3" applyFont="1" applyBorder="1" applyAlignment="1">
      <alignment vertical="center"/>
    </xf>
    <xf numFmtId="166" fontId="14" fillId="0" borderId="0" xfId="1" applyFont="1" applyAlignment="1">
      <alignment vertical="center"/>
    </xf>
    <xf numFmtId="0" fontId="13" fillId="0" borderId="0" xfId="3" applyFont="1" applyAlignment="1">
      <alignment horizontal="center" vertical="center"/>
    </xf>
    <xf numFmtId="166" fontId="30" fillId="0" borderId="0" xfId="18" applyFont="1" applyAlignment="1">
      <alignment vertical="center"/>
    </xf>
    <xf numFmtId="169" fontId="14" fillId="0" borderId="0" xfId="1" applyNumberFormat="1" applyFont="1" applyFill="1" applyAlignment="1">
      <alignment horizontal="center" vertical="center"/>
    </xf>
    <xf numFmtId="171" fontId="13" fillId="0" borderId="0" xfId="3" applyNumberFormat="1" applyFont="1" applyAlignment="1">
      <alignment vertical="center"/>
    </xf>
    <xf numFmtId="0" fontId="31" fillId="0" borderId="0" xfId="3" applyFont="1" applyAlignment="1">
      <alignment vertical="center" wrapText="1"/>
    </xf>
    <xf numFmtId="0" fontId="14" fillId="0" borderId="0" xfId="12" applyFont="1" applyAlignment="1">
      <alignment horizontal="center" vertical="center"/>
    </xf>
    <xf numFmtId="0" fontId="29" fillId="0" borderId="0" xfId="12" applyFont="1" applyAlignment="1">
      <alignment vertical="center"/>
    </xf>
    <xf numFmtId="169" fontId="34" fillId="0" borderId="0" xfId="1" applyNumberFormat="1" applyFont="1" applyFill="1" applyAlignment="1">
      <alignment horizontal="center" vertical="center"/>
    </xf>
    <xf numFmtId="167" fontId="30" fillId="0" borderId="0" xfId="12" applyNumberFormat="1" applyFont="1" applyAlignment="1">
      <alignment vertical="center"/>
    </xf>
    <xf numFmtId="0" fontId="14" fillId="0" borderId="0" xfId="12" applyFont="1" applyAlignment="1">
      <alignment vertical="center"/>
    </xf>
    <xf numFmtId="0" fontId="14" fillId="0" borderId="0" xfId="12" applyFont="1" applyAlignment="1">
      <alignment horizontal="left" vertical="center" wrapText="1"/>
    </xf>
    <xf numFmtId="0" fontId="14" fillId="0" borderId="0" xfId="12" applyFont="1" applyAlignment="1">
      <alignment vertical="center" wrapText="1"/>
    </xf>
    <xf numFmtId="166" fontId="34" fillId="0" borderId="0" xfId="16" applyFont="1" applyAlignment="1">
      <alignment horizontal="left" vertical="center"/>
    </xf>
    <xf numFmtId="167" fontId="35" fillId="0" borderId="0" xfId="3" applyNumberFormat="1" applyFont="1" applyAlignment="1">
      <alignment horizontal="center" vertical="center"/>
    </xf>
    <xf numFmtId="167" fontId="30" fillId="0" borderId="0" xfId="3" applyNumberFormat="1" applyFont="1" applyAlignment="1">
      <alignment horizontal="center" vertical="center"/>
    </xf>
    <xf numFmtId="169" fontId="14" fillId="0" borderId="0" xfId="1" quotePrefix="1" applyNumberFormat="1" applyFont="1" applyAlignment="1">
      <alignment horizontal="center" vertical="center"/>
    </xf>
    <xf numFmtId="0" fontId="14" fillId="0" borderId="0" xfId="3" quotePrefix="1" applyFont="1" applyAlignment="1">
      <alignment horizontal="center" vertical="center"/>
    </xf>
    <xf numFmtId="169" fontId="14" fillId="0" borderId="0" xfId="1" applyNumberFormat="1" applyFont="1" applyBorder="1" applyAlignment="1">
      <alignment horizontal="center" vertical="center"/>
    </xf>
    <xf numFmtId="0" fontId="31" fillId="0" borderId="3" xfId="12" applyFont="1" applyBorder="1" applyAlignment="1">
      <alignment vertical="center"/>
    </xf>
    <xf numFmtId="169" fontId="14" fillId="0" borderId="3" xfId="1" applyNumberFormat="1" applyFont="1" applyBorder="1" applyAlignment="1">
      <alignment horizontal="center" vertical="center"/>
    </xf>
    <xf numFmtId="0" fontId="14" fillId="0" borderId="3" xfId="3" applyFont="1" applyBorder="1" applyAlignment="1">
      <alignment horizontal="center" vertical="center"/>
    </xf>
    <xf numFmtId="167" fontId="35" fillId="0" borderId="3" xfId="3" applyNumberFormat="1" applyFont="1" applyBorder="1" applyAlignment="1">
      <alignment vertical="center"/>
    </xf>
    <xf numFmtId="167" fontId="35" fillId="0" borderId="2" xfId="3" applyNumberFormat="1" applyFont="1" applyBorder="1" applyAlignment="1">
      <alignment vertical="center"/>
    </xf>
    <xf numFmtId="167" fontId="35" fillId="0" borderId="7" xfId="3" applyNumberFormat="1" applyFont="1" applyBorder="1" applyAlignment="1">
      <alignment vertical="center"/>
    </xf>
    <xf numFmtId="167" fontId="33" fillId="0" borderId="0" xfId="26" applyNumberFormat="1" applyFont="1" applyAlignment="1">
      <alignment vertical="center"/>
    </xf>
    <xf numFmtId="167" fontId="35" fillId="0" borderId="0" xfId="26" applyNumberFormat="1" applyFont="1" applyAlignment="1">
      <alignment vertical="center"/>
    </xf>
    <xf numFmtId="167" fontId="35" fillId="0" borderId="0" xfId="26" applyNumberFormat="1" applyFont="1" applyAlignment="1">
      <alignment horizontal="right" vertical="center"/>
    </xf>
    <xf numFmtId="167" fontId="30" fillId="0" borderId="0" xfId="26" applyNumberFormat="1" applyFont="1" applyAlignment="1">
      <alignment horizontal="right" vertical="center"/>
    </xf>
    <xf numFmtId="166" fontId="30" fillId="0" borderId="0" xfId="26" applyFont="1" applyAlignment="1">
      <alignment vertical="center"/>
    </xf>
    <xf numFmtId="167" fontId="30" fillId="0" borderId="0" xfId="26" applyNumberFormat="1" applyFont="1" applyAlignment="1">
      <alignment vertical="center"/>
    </xf>
    <xf numFmtId="167" fontId="28" fillId="0" borderId="0" xfId="26" applyNumberFormat="1" applyFont="1" applyFill="1" applyBorder="1" applyAlignment="1">
      <alignment horizontal="center" vertical="center"/>
    </xf>
    <xf numFmtId="4" fontId="30" fillId="0" borderId="0" xfId="26" applyNumberFormat="1" applyFont="1" applyAlignment="1">
      <alignment vertical="center"/>
    </xf>
    <xf numFmtId="0" fontId="37" fillId="0" borderId="0" xfId="3" applyFont="1" applyAlignment="1">
      <alignment vertical="center"/>
    </xf>
    <xf numFmtId="0" fontId="38" fillId="0" borderId="0" xfId="3" applyFont="1" applyAlignment="1">
      <alignment vertical="center"/>
    </xf>
    <xf numFmtId="0" fontId="38" fillId="0" borderId="0" xfId="3" applyFont="1" applyAlignment="1">
      <alignment horizontal="center" vertical="center"/>
    </xf>
    <xf numFmtId="166" fontId="38" fillId="0" borderId="0" xfId="1" applyFont="1" applyAlignment="1">
      <alignment horizontal="right" vertical="center"/>
    </xf>
    <xf numFmtId="167" fontId="39" fillId="0" borderId="0" xfId="26" applyNumberFormat="1" applyFont="1" applyAlignment="1">
      <alignment vertical="center"/>
    </xf>
    <xf numFmtId="0" fontId="40" fillId="0" borderId="0" xfId="0" applyFont="1" applyAlignment="1">
      <alignment horizontal="center"/>
    </xf>
    <xf numFmtId="0" fontId="27" fillId="0" borderId="0" xfId="0" applyFont="1" applyAlignment="1">
      <alignment vertical="center"/>
    </xf>
    <xf numFmtId="166" fontId="27" fillId="0" borderId="0" xfId="1" applyFont="1" applyAlignment="1">
      <alignment horizontal="right" vertical="center"/>
    </xf>
    <xf numFmtId="0" fontId="42" fillId="0" borderId="0" xfId="0" applyFont="1" applyAlignment="1">
      <alignment vertical="center"/>
    </xf>
    <xf numFmtId="3" fontId="41" fillId="0" borderId="0" xfId="0" applyNumberFormat="1" applyFont="1"/>
    <xf numFmtId="166" fontId="13" fillId="0" borderId="0" xfId="1" applyFont="1" applyAlignment="1">
      <alignment vertical="center"/>
    </xf>
    <xf numFmtId="166" fontId="31" fillId="0" borderId="0" xfId="1" applyFont="1" applyAlignment="1">
      <alignment horizontal="right" vertical="center"/>
    </xf>
    <xf numFmtId="166" fontId="14" fillId="0" borderId="0" xfId="1" applyFont="1" applyAlignment="1">
      <alignment horizontal="right" vertical="center"/>
    </xf>
    <xf numFmtId="166" fontId="14" fillId="0" borderId="0" xfId="1" applyFont="1" applyAlignment="1">
      <alignment horizontal="right" vertical="center" wrapText="1"/>
    </xf>
    <xf numFmtId="166" fontId="14" fillId="0" borderId="0" xfId="1" applyFont="1" applyFill="1" applyAlignment="1">
      <alignment horizontal="right" vertical="center"/>
    </xf>
    <xf numFmtId="166" fontId="27" fillId="0" borderId="0" xfId="1" applyFont="1" applyFill="1" applyBorder="1" applyAlignment="1">
      <alignment horizontal="right" vertical="center"/>
    </xf>
    <xf numFmtId="166" fontId="41" fillId="0" borderId="0" xfId="1" applyFont="1" applyAlignment="1">
      <alignment horizontal="right"/>
    </xf>
    <xf numFmtId="166" fontId="14" fillId="0" borderId="3" xfId="1" applyFont="1" applyBorder="1" applyAlignment="1">
      <alignment horizontal="right" vertical="center"/>
    </xf>
    <xf numFmtId="166" fontId="34" fillId="0" borderId="0" xfId="1" applyFont="1" applyAlignment="1">
      <alignment horizontal="right" vertical="center"/>
    </xf>
    <xf numFmtId="169" fontId="44" fillId="0" borderId="0" xfId="1" applyNumberFormat="1" applyFont="1" applyFill="1" applyAlignment="1">
      <alignment horizontal="center" vertical="center"/>
    </xf>
    <xf numFmtId="166" fontId="31" fillId="0" borderId="0" xfId="1" applyFont="1" applyBorder="1" applyAlignment="1">
      <alignment horizontal="right" vertical="center"/>
    </xf>
    <xf numFmtId="167" fontId="35" fillId="0" borderId="0" xfId="26" applyNumberFormat="1" applyFont="1" applyBorder="1" applyAlignment="1">
      <alignment vertical="center"/>
    </xf>
    <xf numFmtId="0" fontId="36" fillId="0" borderId="0" xfId="0" applyFont="1" applyAlignment="1">
      <alignment horizontal="center"/>
    </xf>
    <xf numFmtId="0" fontId="36" fillId="0" borderId="0" xfId="0" applyFont="1"/>
    <xf numFmtId="166" fontId="36" fillId="0" borderId="0" xfId="0" applyNumberFormat="1" applyFont="1" applyAlignment="1">
      <alignment horizontal="right"/>
    </xf>
    <xf numFmtId="0" fontId="46" fillId="0" borderId="0" xfId="0" applyFont="1"/>
    <xf numFmtId="169" fontId="14" fillId="0" borderId="0" xfId="3" applyNumberFormat="1" applyFont="1" applyAlignment="1">
      <alignment vertical="center"/>
    </xf>
    <xf numFmtId="166" fontId="36" fillId="0" borderId="0" xfId="0" applyNumberFormat="1" applyFont="1"/>
    <xf numFmtId="4" fontId="14" fillId="0" borderId="0" xfId="3" applyNumberFormat="1" applyFont="1" applyAlignment="1">
      <alignment horizontal="center" vertical="center"/>
    </xf>
    <xf numFmtId="166" fontId="46" fillId="0" borderId="0" xfId="0" applyNumberFormat="1" applyFont="1" applyAlignment="1">
      <alignment horizontal="right"/>
    </xf>
    <xf numFmtId="166" fontId="46" fillId="0" borderId="0" xfId="1" applyFont="1"/>
    <xf numFmtId="3" fontId="36" fillId="0" borderId="0" xfId="0" applyNumberFormat="1" applyFont="1"/>
    <xf numFmtId="166" fontId="36" fillId="0" borderId="0" xfId="1" applyFont="1" applyAlignment="1" applyProtection="1">
      <alignment horizontal="right"/>
      <protection locked="0"/>
    </xf>
    <xf numFmtId="0" fontId="14" fillId="0" borderId="0" xfId="3" applyFont="1" applyAlignment="1">
      <alignment wrapText="1"/>
    </xf>
    <xf numFmtId="169" fontId="36" fillId="0" borderId="0" xfId="1" applyNumberFormat="1" applyFont="1" applyFill="1" applyAlignment="1">
      <alignment horizontal="center"/>
    </xf>
    <xf numFmtId="169" fontId="36" fillId="0" borderId="0" xfId="1" applyNumberFormat="1" applyFont="1" applyFill="1" applyAlignment="1">
      <alignment horizontal="center" vertical="center"/>
    </xf>
    <xf numFmtId="4" fontId="14" fillId="0" borderId="0" xfId="3" applyNumberFormat="1" applyFont="1" applyAlignment="1">
      <alignment horizontal="right" vertical="center"/>
    </xf>
    <xf numFmtId="0" fontId="14" fillId="2" borderId="10" xfId="29" applyFont="1" applyFill="1" applyBorder="1"/>
    <xf numFmtId="166" fontId="14" fillId="0" borderId="0" xfId="3" applyNumberFormat="1" applyFont="1" applyAlignment="1">
      <alignment vertical="center"/>
    </xf>
    <xf numFmtId="169" fontId="43" fillId="0" borderId="0" xfId="1" applyNumberFormat="1" applyFont="1" applyFill="1" applyAlignment="1">
      <alignment horizontal="center" vertical="center"/>
    </xf>
    <xf numFmtId="167" fontId="30" fillId="0" borderId="0" xfId="26" applyNumberFormat="1" applyFont="1" applyBorder="1" applyAlignment="1">
      <alignment vertical="center"/>
    </xf>
    <xf numFmtId="166" fontId="14" fillId="0" borderId="0" xfId="1" applyFont="1" applyBorder="1" applyAlignment="1">
      <alignment horizontal="right" vertical="center"/>
    </xf>
    <xf numFmtId="166" fontId="14" fillId="0" borderId="0" xfId="1" applyFont="1" applyBorder="1" applyAlignment="1">
      <alignment vertical="center"/>
    </xf>
    <xf numFmtId="0" fontId="47" fillId="0" borderId="0" xfId="0" applyFont="1"/>
    <xf numFmtId="169" fontId="14" fillId="0" borderId="0" xfId="1" applyNumberFormat="1" applyFont="1" applyFill="1" applyAlignment="1">
      <alignment horizontal="center"/>
    </xf>
    <xf numFmtId="167" fontId="30" fillId="0" borderId="0" xfId="3" applyNumberFormat="1" applyFont="1"/>
    <xf numFmtId="0" fontId="40" fillId="0" borderId="0" xfId="0" applyFont="1" applyAlignment="1">
      <alignment vertical="center"/>
    </xf>
    <xf numFmtId="0" fontId="14" fillId="2" borderId="11" xfId="29" applyFont="1" applyFill="1" applyBorder="1" applyAlignment="1">
      <alignment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0" xfId="0" applyFont="1" applyAlignment="1">
      <alignment horizontal="justify" vertical="center" wrapText="1"/>
    </xf>
    <xf numFmtId="0" fontId="14" fillId="0" borderId="0" xfId="0" applyFont="1" applyAlignment="1">
      <alignment horizontal="right" vertical="center" wrapText="1"/>
    </xf>
    <xf numFmtId="166" fontId="14" fillId="0" borderId="0" xfId="0" applyNumberFormat="1" applyFont="1" applyAlignment="1">
      <alignment horizontal="center" vertical="center" wrapText="1"/>
    </xf>
    <xf numFmtId="166" fontId="14" fillId="0" borderId="0" xfId="0" applyNumberFormat="1" applyFont="1" applyAlignment="1">
      <alignment horizontal="center" vertical="center"/>
    </xf>
    <xf numFmtId="0" fontId="19" fillId="0" borderId="0" xfId="30"/>
    <xf numFmtId="0" fontId="49" fillId="0" borderId="0" xfId="30" applyFont="1" applyAlignment="1">
      <alignment horizontal="center" wrapText="1"/>
    </xf>
    <xf numFmtId="3" fontId="49" fillId="0" borderId="0" xfId="30" applyNumberFormat="1" applyFont="1" applyAlignment="1">
      <alignment horizontal="center" wrapText="1"/>
    </xf>
    <xf numFmtId="0" fontId="49" fillId="0" borderId="0" xfId="30" applyFont="1" applyAlignment="1">
      <alignment horizontal="center"/>
    </xf>
    <xf numFmtId="0" fontId="50" fillId="0" borderId="0" xfId="30" applyFont="1" applyAlignment="1">
      <alignment wrapText="1"/>
    </xf>
    <xf numFmtId="3" fontId="50" fillId="0" borderId="0" xfId="30" applyNumberFormat="1" applyFont="1" applyAlignment="1">
      <alignment horizontal="center" wrapText="1"/>
    </xf>
    <xf numFmtId="3" fontId="48" fillId="0" borderId="0" xfId="30" applyNumberFormat="1" applyFont="1" applyAlignment="1">
      <alignment horizontal="center" wrapText="1"/>
    </xf>
    <xf numFmtId="3" fontId="51" fillId="0" borderId="0" xfId="30" applyNumberFormat="1" applyFont="1" applyAlignment="1">
      <alignment horizontal="center" wrapText="1"/>
    </xf>
    <xf numFmtId="0" fontId="46" fillId="0" borderId="0" xfId="30" applyFont="1" applyAlignment="1">
      <alignment horizontal="center"/>
    </xf>
    <xf numFmtId="0" fontId="46" fillId="0" borderId="0" xfId="30" applyFont="1" applyAlignment="1">
      <alignment wrapText="1"/>
    </xf>
    <xf numFmtId="0" fontId="46" fillId="0" borderId="0" xfId="30" applyFont="1"/>
    <xf numFmtId="1" fontId="36" fillId="0" borderId="0" xfId="30" applyNumberFormat="1" applyFont="1" applyAlignment="1">
      <alignment horizontal="center" wrapText="1"/>
    </xf>
    <xf numFmtId="1" fontId="36" fillId="0" borderId="0" xfId="30" applyNumberFormat="1" applyFont="1" applyAlignment="1">
      <alignment wrapText="1"/>
    </xf>
    <xf numFmtId="0" fontId="36" fillId="0" borderId="0" xfId="30" applyFont="1" applyAlignment="1">
      <alignment horizontal="center" wrapText="1"/>
    </xf>
    <xf numFmtId="3" fontId="36" fillId="0" borderId="0" xfId="30" applyNumberFormat="1" applyFont="1" applyAlignment="1">
      <alignment horizontal="center" wrapText="1"/>
    </xf>
    <xf numFmtId="0" fontId="36" fillId="0" borderId="0" xfId="30" applyFont="1" applyAlignment="1">
      <alignment wrapText="1"/>
    </xf>
    <xf numFmtId="0" fontId="36" fillId="0" borderId="0" xfId="30" applyFont="1" applyAlignment="1">
      <alignment horizontal="center"/>
    </xf>
    <xf numFmtId="0" fontId="46" fillId="0" borderId="0" xfId="30" applyFont="1" applyAlignment="1">
      <alignment horizontal="right" wrapText="1"/>
    </xf>
    <xf numFmtId="3" fontId="46" fillId="0" borderId="0" xfId="30" applyNumberFormat="1" applyFont="1" applyAlignment="1">
      <alignment horizontal="center" wrapText="1"/>
    </xf>
    <xf numFmtId="0" fontId="44" fillId="0" borderId="0" xfId="30" applyFont="1" applyAlignment="1">
      <alignment wrapText="1"/>
    </xf>
    <xf numFmtId="3" fontId="44" fillId="0" borderId="0" xfId="30" applyNumberFormat="1" applyFont="1" applyAlignment="1">
      <alignment horizontal="center" wrapText="1"/>
    </xf>
    <xf numFmtId="0" fontId="46" fillId="0" borderId="0" xfId="30" applyFont="1" applyAlignment="1">
      <alignment horizontal="center" wrapText="1"/>
    </xf>
    <xf numFmtId="0" fontId="36" fillId="0" borderId="0" xfId="30" applyFont="1"/>
    <xf numFmtId="3" fontId="45" fillId="0" borderId="0" xfId="30" applyNumberFormat="1" applyFont="1" applyAlignment="1">
      <alignment horizontal="center" wrapText="1"/>
    </xf>
    <xf numFmtId="3" fontId="36" fillId="0" borderId="0" xfId="0" applyNumberFormat="1" applyFont="1" applyAlignment="1">
      <alignment wrapText="1"/>
    </xf>
    <xf numFmtId="3" fontId="36"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vertical="center"/>
    </xf>
    <xf numFmtId="0" fontId="47" fillId="0" borderId="0" xfId="0" applyFont="1" applyAlignment="1">
      <alignment vertical="center"/>
    </xf>
    <xf numFmtId="168" fontId="36" fillId="0" borderId="0" xfId="0" applyNumberFormat="1" applyFont="1" applyAlignment="1">
      <alignment vertical="center"/>
    </xf>
    <xf numFmtId="167" fontId="52" fillId="0" borderId="0" xfId="0" applyNumberFormat="1" applyFont="1" applyAlignment="1">
      <alignment vertical="center"/>
    </xf>
    <xf numFmtId="0" fontId="53" fillId="0" borderId="0" xfId="0" applyFont="1" applyAlignment="1">
      <alignment vertical="center"/>
    </xf>
    <xf numFmtId="0" fontId="47" fillId="0" borderId="0" xfId="0" applyFont="1" applyAlignment="1">
      <alignment horizontal="left" vertical="center"/>
    </xf>
    <xf numFmtId="0" fontId="36" fillId="0" borderId="0" xfId="0" applyFont="1" applyAlignment="1">
      <alignment vertical="center"/>
    </xf>
    <xf numFmtId="0" fontId="46" fillId="0" borderId="0" xfId="0" applyFont="1" applyAlignment="1">
      <alignment horizontal="center" vertical="center"/>
    </xf>
    <xf numFmtId="0" fontId="54" fillId="0" borderId="0" xfId="0" applyFont="1" applyAlignment="1">
      <alignment vertical="center"/>
    </xf>
    <xf numFmtId="0" fontId="46" fillId="0" borderId="0" xfId="0" applyFont="1" applyAlignment="1">
      <alignment vertical="center"/>
    </xf>
    <xf numFmtId="168" fontId="46" fillId="0" borderId="0" xfId="0" applyNumberFormat="1" applyFont="1" applyAlignment="1">
      <alignment horizontal="right" vertical="center"/>
    </xf>
    <xf numFmtId="166" fontId="14" fillId="0" borderId="0" xfId="26" applyFont="1" applyAlignment="1">
      <alignment vertical="center"/>
    </xf>
    <xf numFmtId="171" fontId="27" fillId="3" borderId="0" xfId="25" applyNumberFormat="1" applyFont="1" applyFill="1" applyBorder="1" applyAlignment="1">
      <alignment vertical="center"/>
    </xf>
    <xf numFmtId="166" fontId="14" fillId="3" borderId="0" xfId="1" applyFont="1" applyFill="1" applyAlignment="1">
      <alignment horizontal="right" vertical="center"/>
    </xf>
    <xf numFmtId="169" fontId="14" fillId="0" borderId="0" xfId="1" applyNumberFormat="1" applyFont="1" applyFill="1" applyAlignment="1">
      <alignment horizontal="center" vertical="center" wrapText="1"/>
    </xf>
    <xf numFmtId="166" fontId="31" fillId="0" borderId="0" xfId="1" applyFont="1" applyAlignment="1">
      <alignment horizontal="center" vertical="center"/>
    </xf>
    <xf numFmtId="171" fontId="14" fillId="0" borderId="0" xfId="23" applyNumberFormat="1" applyFont="1" applyFill="1" applyBorder="1" applyAlignment="1">
      <alignment vertical="center"/>
    </xf>
    <xf numFmtId="4" fontId="14" fillId="0" borderId="0" xfId="16" applyNumberFormat="1" applyFont="1" applyFill="1" applyBorder="1" applyAlignment="1">
      <alignment horizontal="center" vertical="center"/>
    </xf>
    <xf numFmtId="1" fontId="14" fillId="0" borderId="0" xfId="3" applyNumberFormat="1" applyFont="1" applyAlignment="1">
      <alignment vertical="center"/>
    </xf>
    <xf numFmtId="0" fontId="57" fillId="0" borderId="0" xfId="31" applyFont="1"/>
    <xf numFmtId="0" fontId="56" fillId="0" borderId="0" xfId="31" applyFont="1" applyAlignment="1">
      <alignment vertical="center"/>
    </xf>
    <xf numFmtId="0" fontId="56" fillId="0" borderId="0" xfId="31" applyFont="1"/>
    <xf numFmtId="0" fontId="58" fillId="0" borderId="0" xfId="31" applyFont="1"/>
    <xf numFmtId="0" fontId="59" fillId="0" borderId="0" xfId="31" applyFont="1"/>
    <xf numFmtId="0" fontId="60" fillId="0" borderId="0" xfId="31" applyFont="1"/>
    <xf numFmtId="0" fontId="61" fillId="0" borderId="0" xfId="31" applyFont="1"/>
    <xf numFmtId="0" fontId="62" fillId="0" borderId="0" xfId="31" applyFont="1"/>
    <xf numFmtId="9" fontId="27" fillId="0" borderId="0" xfId="13" applyFont="1" applyAlignment="1">
      <alignment horizontal="center" vertical="center"/>
    </xf>
    <xf numFmtId="9" fontId="37" fillId="0" borderId="0" xfId="13" applyFont="1" applyAlignment="1">
      <alignment vertical="center"/>
    </xf>
    <xf numFmtId="0" fontId="27" fillId="0" borderId="0" xfId="32" applyFont="1" applyAlignment="1">
      <alignment vertical="center"/>
    </xf>
    <xf numFmtId="0" fontId="27" fillId="0" borderId="0" xfId="32" applyFont="1" applyAlignment="1">
      <alignment horizontal="center" vertical="center"/>
    </xf>
    <xf numFmtId="166" fontId="27" fillId="0" borderId="0" xfId="26" applyFont="1" applyAlignment="1">
      <alignment horizontal="center" vertical="center"/>
    </xf>
    <xf numFmtId="167" fontId="28" fillId="0" borderId="0" xfId="32" applyNumberFormat="1" applyFont="1" applyAlignment="1">
      <alignment vertical="center"/>
    </xf>
    <xf numFmtId="0" fontId="5" fillId="0" borderId="0" xfId="32"/>
    <xf numFmtId="0" fontId="38" fillId="0" borderId="0" xfId="32" applyFont="1" applyAlignment="1">
      <alignment horizontal="center" vertical="center"/>
    </xf>
    <xf numFmtId="0" fontId="37" fillId="0" borderId="0" xfId="32" applyFont="1" applyAlignment="1">
      <alignment vertical="center"/>
    </xf>
    <xf numFmtId="0" fontId="37" fillId="0" borderId="0" xfId="32" applyFont="1" applyAlignment="1">
      <alignment horizontal="left" vertical="center"/>
    </xf>
    <xf numFmtId="166" fontId="27" fillId="0" borderId="0" xfId="33" applyFont="1" applyAlignment="1">
      <alignment vertical="center"/>
    </xf>
    <xf numFmtId="0" fontId="27" fillId="0" borderId="0" xfId="32" applyFont="1" applyAlignment="1">
      <alignment horizontal="justify" vertical="center" wrapText="1"/>
    </xf>
    <xf numFmtId="171" fontId="27" fillId="0" borderId="0" xfId="23" applyNumberFormat="1" applyFont="1" applyAlignment="1">
      <alignment vertical="center"/>
    </xf>
    <xf numFmtId="172" fontId="27" fillId="0" borderId="0" xfId="32" applyNumberFormat="1" applyFont="1" applyAlignment="1">
      <alignment vertical="center"/>
    </xf>
    <xf numFmtId="1" fontId="27" fillId="0" borderId="0" xfId="32" applyNumberFormat="1" applyFont="1" applyAlignment="1">
      <alignment vertical="center"/>
    </xf>
    <xf numFmtId="0" fontId="65" fillId="0" borderId="0" xfId="32" applyFont="1" applyAlignment="1">
      <alignment vertical="center"/>
    </xf>
    <xf numFmtId="0" fontId="38" fillId="0" borderId="0" xfId="32" applyFont="1" applyAlignment="1">
      <alignment vertical="center"/>
    </xf>
    <xf numFmtId="166" fontId="38" fillId="0" borderId="0" xfId="26" applyFont="1" applyAlignment="1">
      <alignment horizontal="center" vertical="center"/>
    </xf>
    <xf numFmtId="167" fontId="39" fillId="0" borderId="0" xfId="26" applyNumberFormat="1" applyFont="1" applyAlignment="1">
      <alignment horizontal="right" vertical="center"/>
    </xf>
    <xf numFmtId="0" fontId="65" fillId="0" borderId="0" xfId="32" applyFont="1" applyAlignment="1">
      <alignment horizontal="left" vertical="center" wrapText="1"/>
    </xf>
    <xf numFmtId="0" fontId="65" fillId="0" borderId="0" xfId="32" applyFont="1" applyAlignment="1">
      <alignment vertical="center" wrapText="1"/>
    </xf>
    <xf numFmtId="0" fontId="27" fillId="0" borderId="0" xfId="32" applyFont="1" applyAlignment="1">
      <alignment vertical="center" wrapText="1"/>
    </xf>
    <xf numFmtId="0" fontId="28" fillId="0" borderId="0" xfId="32" applyFont="1" applyAlignment="1">
      <alignment vertical="center"/>
    </xf>
    <xf numFmtId="0" fontId="27" fillId="0" borderId="0" xfId="32" applyFont="1" applyAlignment="1">
      <alignment horizontal="left" vertical="center"/>
    </xf>
    <xf numFmtId="167" fontId="28" fillId="0" borderId="0" xfId="32" applyNumberFormat="1" applyFont="1" applyAlignment="1">
      <alignment horizontal="right" vertical="center"/>
    </xf>
    <xf numFmtId="0" fontId="37" fillId="0" borderId="0" xfId="32" applyFont="1" applyAlignment="1">
      <alignment vertical="center" wrapText="1"/>
    </xf>
    <xf numFmtId="167" fontId="39" fillId="0" borderId="0" xfId="32" applyNumberFormat="1" applyFont="1" applyAlignment="1">
      <alignment horizontal="right" vertical="center"/>
    </xf>
    <xf numFmtId="4" fontId="28" fillId="0" borderId="0" xfId="32" applyNumberFormat="1" applyFont="1" applyAlignment="1">
      <alignment vertical="center"/>
    </xf>
    <xf numFmtId="0" fontId="66" fillId="0" borderId="0" xfId="28" applyFont="1" applyAlignment="1" applyProtection="1">
      <alignment vertical="top" wrapText="1"/>
      <protection locked="0"/>
    </xf>
    <xf numFmtId="0" fontId="27" fillId="0" borderId="0" xfId="32" applyFont="1" applyAlignment="1">
      <alignment horizontal="left" vertical="center" wrapText="1"/>
    </xf>
    <xf numFmtId="0" fontId="27" fillId="0" borderId="0" xfId="28" applyFont="1" applyAlignment="1" applyProtection="1">
      <alignment vertical="top" wrapText="1"/>
      <protection locked="0"/>
    </xf>
    <xf numFmtId="0" fontId="40" fillId="0" borderId="0" xfId="32" applyFont="1" applyAlignment="1">
      <alignment wrapText="1"/>
    </xf>
    <xf numFmtId="171" fontId="27" fillId="0" borderId="0" xfId="32" applyNumberFormat="1" applyFont="1" applyAlignment="1">
      <alignment vertical="center"/>
    </xf>
    <xf numFmtId="0" fontId="66" fillId="0" borderId="0" xfId="28" applyFont="1" applyAlignment="1" applyProtection="1">
      <alignment wrapText="1"/>
      <protection locked="0"/>
    </xf>
    <xf numFmtId="0" fontId="38" fillId="0" borderId="0" xfId="32" applyFont="1" applyAlignment="1">
      <alignment vertical="center" wrapText="1"/>
    </xf>
    <xf numFmtId="0" fontId="27" fillId="2" borderId="14" xfId="32" applyFont="1" applyFill="1" applyBorder="1" applyAlignment="1">
      <alignment vertical="center"/>
    </xf>
    <xf numFmtId="0" fontId="27" fillId="2" borderId="0" xfId="32" applyFont="1" applyFill="1" applyAlignment="1">
      <alignment vertical="center"/>
    </xf>
    <xf numFmtId="167" fontId="39" fillId="0" borderId="0" xfId="32" applyNumberFormat="1" applyFont="1" applyAlignment="1">
      <alignment horizontal="center" vertical="center"/>
    </xf>
    <xf numFmtId="167" fontId="28" fillId="0" borderId="0" xfId="32" applyNumberFormat="1" applyFont="1" applyAlignment="1">
      <alignment horizontal="center" vertical="center"/>
    </xf>
    <xf numFmtId="167" fontId="39" fillId="0" borderId="0" xfId="32" applyNumberFormat="1" applyFont="1" applyAlignment="1">
      <alignment vertical="center"/>
    </xf>
    <xf numFmtId="167" fontId="39" fillId="0" borderId="7" xfId="26" applyNumberFormat="1" applyFont="1" applyBorder="1" applyAlignment="1">
      <alignment vertical="center"/>
    </xf>
    <xf numFmtId="4" fontId="38" fillId="0" borderId="0" xfId="26" applyNumberFormat="1" applyFont="1" applyAlignment="1">
      <alignment vertical="center"/>
    </xf>
    <xf numFmtId="167" fontId="38" fillId="0" borderId="0" xfId="26" applyNumberFormat="1" applyFont="1" applyAlignment="1">
      <alignment vertical="center"/>
    </xf>
    <xf numFmtId="0" fontId="39" fillId="0" borderId="0" xfId="32" applyFont="1" applyAlignment="1">
      <alignment vertical="center"/>
    </xf>
    <xf numFmtId="0" fontId="39" fillId="0" borderId="0" xfId="32" applyFont="1" applyAlignment="1">
      <alignment horizontal="center" vertical="center"/>
    </xf>
    <xf numFmtId="166" fontId="39" fillId="0" borderId="2" xfId="26" applyFont="1" applyBorder="1" applyAlignment="1">
      <alignment horizontal="center" vertical="center"/>
    </xf>
    <xf numFmtId="166" fontId="39" fillId="0" borderId="0" xfId="26" applyFont="1" applyAlignment="1">
      <alignment horizontal="center" vertical="center"/>
    </xf>
    <xf numFmtId="166" fontId="38" fillId="0" borderId="7" xfId="26" applyFont="1" applyBorder="1" applyAlignment="1">
      <alignment horizontal="center" vertical="center"/>
    </xf>
    <xf numFmtId="0" fontId="67" fillId="0" borderId="15" xfId="3" applyFont="1" applyBorder="1" applyAlignment="1">
      <alignment horizontal="center" wrapText="1"/>
    </xf>
    <xf numFmtId="0" fontId="67" fillId="0" borderId="16" xfId="3" applyFont="1" applyBorder="1" applyAlignment="1">
      <alignment horizontal="center" wrapText="1"/>
    </xf>
    <xf numFmtId="0" fontId="67" fillId="0" borderId="17" xfId="3" applyFont="1" applyBorder="1" applyAlignment="1">
      <alignment horizontal="center" wrapText="1"/>
    </xf>
    <xf numFmtId="0" fontId="67" fillId="0" borderId="18" xfId="3" applyFont="1" applyBorder="1" applyAlignment="1">
      <alignment horizontal="center" wrapText="1"/>
    </xf>
    <xf numFmtId="0" fontId="68" fillId="0" borderId="0" xfId="3" applyFont="1" applyAlignment="1">
      <alignment horizontal="center" wrapText="1"/>
    </xf>
    <xf numFmtId="0" fontId="67" fillId="0" borderId="19" xfId="3" applyFont="1" applyBorder="1" applyAlignment="1">
      <alignment horizontal="center"/>
    </xf>
    <xf numFmtId="0" fontId="67" fillId="0" borderId="0" xfId="3" applyFont="1" applyAlignment="1">
      <alignment horizontal="center"/>
    </xf>
    <xf numFmtId="0" fontId="67" fillId="0" borderId="20" xfId="3" applyFont="1" applyBorder="1" applyAlignment="1">
      <alignment horizontal="center"/>
    </xf>
    <xf numFmtId="0" fontId="67" fillId="0" borderId="21" xfId="3" applyFont="1" applyBorder="1" applyAlignment="1">
      <alignment horizontal="center"/>
    </xf>
    <xf numFmtId="0" fontId="68" fillId="0" borderId="0" xfId="3" applyFont="1" applyAlignment="1">
      <alignment horizontal="center"/>
    </xf>
    <xf numFmtId="0" fontId="69" fillId="0" borderId="19" xfId="3" applyFont="1" applyBorder="1"/>
    <xf numFmtId="0" fontId="70" fillId="0" borderId="0" xfId="3" applyFont="1"/>
    <xf numFmtId="0" fontId="69" fillId="0" borderId="20" xfId="3" applyFont="1" applyBorder="1"/>
    <xf numFmtId="0" fontId="69" fillId="0" borderId="0" xfId="3" applyFont="1"/>
    <xf numFmtId="0" fontId="69" fillId="0" borderId="21" xfId="3" applyFont="1" applyBorder="1"/>
    <xf numFmtId="0" fontId="5" fillId="0" borderId="0" xfId="3"/>
    <xf numFmtId="166" fontId="67" fillId="0" borderId="21" xfId="26" applyFont="1" applyBorder="1"/>
    <xf numFmtId="0" fontId="69" fillId="0" borderId="19" xfId="3" applyFont="1" applyBorder="1" applyAlignment="1">
      <alignment horizontal="center"/>
    </xf>
    <xf numFmtId="0" fontId="67" fillId="0" borderId="0" xfId="3" applyFont="1" applyAlignment="1">
      <alignment horizontal="left"/>
    </xf>
    <xf numFmtId="0" fontId="69" fillId="0" borderId="19" xfId="3" applyFont="1" applyBorder="1" applyAlignment="1">
      <alignment horizontal="center" vertical="top" wrapText="1"/>
    </xf>
    <xf numFmtId="0" fontId="67" fillId="0" borderId="0" xfId="3" applyFont="1" applyAlignment="1">
      <alignment horizontal="left" vertical="top" wrapText="1"/>
    </xf>
    <xf numFmtId="0" fontId="67" fillId="0" borderId="20" xfId="3" applyFont="1" applyBorder="1" applyAlignment="1">
      <alignment horizontal="center" vertical="top" wrapText="1"/>
    </xf>
    <xf numFmtId="166" fontId="69" fillId="0" borderId="0" xfId="26" applyFont="1" applyAlignment="1">
      <alignment horizontal="center" vertical="top" wrapText="1"/>
    </xf>
    <xf numFmtId="166" fontId="67" fillId="0" borderId="21" xfId="26" applyFont="1" applyBorder="1" applyAlignment="1"/>
    <xf numFmtId="0" fontId="5" fillId="0" borderId="0" xfId="3" applyAlignment="1">
      <alignment horizontal="left" vertical="top" wrapText="1"/>
    </xf>
    <xf numFmtId="3" fontId="69" fillId="0" borderId="20" xfId="3" applyNumberFormat="1" applyFont="1" applyBorder="1" applyAlignment="1">
      <alignment horizontal="center" vertical="top" wrapText="1"/>
    </xf>
    <xf numFmtId="0" fontId="70" fillId="0" borderId="0" xfId="3" applyFont="1" applyAlignment="1">
      <alignment horizontal="left" vertical="top" wrapText="1"/>
    </xf>
    <xf numFmtId="166" fontId="67" fillId="0" borderId="21" xfId="3" applyNumberFormat="1" applyFont="1" applyBorder="1" applyAlignment="1">
      <alignment horizontal="left" wrapText="1"/>
    </xf>
    <xf numFmtId="0" fontId="71" fillId="0" borderId="0" xfId="3" applyFont="1" applyAlignment="1">
      <alignment horizontal="left" vertical="top" wrapText="1"/>
    </xf>
    <xf numFmtId="0" fontId="69" fillId="0" borderId="20" xfId="3" applyFont="1" applyBorder="1" applyAlignment="1">
      <alignment horizontal="center"/>
    </xf>
    <xf numFmtId="0" fontId="69" fillId="0" borderId="0" xfId="3" applyFont="1" applyAlignment="1">
      <alignment horizontal="center"/>
    </xf>
    <xf numFmtId="166" fontId="69" fillId="0" borderId="21" xfId="3" applyNumberFormat="1" applyFont="1" applyBorder="1" applyAlignment="1">
      <alignment horizontal="left" wrapText="1"/>
    </xf>
    <xf numFmtId="0" fontId="69" fillId="0" borderId="20" xfId="3" applyFont="1" applyBorder="1" applyAlignment="1">
      <alignment horizontal="center" vertical="top" wrapText="1"/>
    </xf>
    <xf numFmtId="0" fontId="69" fillId="0" borderId="0" xfId="3" applyFont="1" applyAlignment="1">
      <alignment horizontal="center" vertical="top" wrapText="1"/>
    </xf>
    <xf numFmtId="0" fontId="73" fillId="0" borderId="0" xfId="35" applyFont="1"/>
    <xf numFmtId="0" fontId="74" fillId="0" borderId="0" xfId="34" applyFont="1" applyAlignment="1">
      <alignment horizontal="left" vertical="center"/>
    </xf>
    <xf numFmtId="0" fontId="68" fillId="0" borderId="0" xfId="34" applyFont="1"/>
    <xf numFmtId="0" fontId="74" fillId="0" borderId="0" xfId="34" applyFont="1" applyAlignment="1">
      <alignment horizontal="left" vertical="center" indent="6"/>
    </xf>
    <xf numFmtId="0" fontId="74" fillId="0" borderId="0" xfId="34" applyFont="1" applyAlignment="1">
      <alignment vertical="center"/>
    </xf>
    <xf numFmtId="0" fontId="72" fillId="0" borderId="0" xfId="34" applyFont="1" applyAlignment="1">
      <alignment horizontal="left" vertical="center"/>
    </xf>
    <xf numFmtId="0" fontId="77" fillId="0" borderId="0" xfId="34" applyFont="1" applyAlignment="1">
      <alignment vertical="center" wrapText="1"/>
    </xf>
    <xf numFmtId="0" fontId="78" fillId="0" borderId="0" xfId="35" applyFont="1"/>
    <xf numFmtId="0" fontId="79" fillId="0" borderId="0" xfId="34" applyFont="1" applyAlignment="1">
      <alignment horizontal="center" vertical="center"/>
    </xf>
    <xf numFmtId="0" fontId="80" fillId="0" borderId="0" xfId="34" applyFont="1" applyAlignment="1">
      <alignment horizontal="center" vertical="center"/>
    </xf>
    <xf numFmtId="0" fontId="83" fillId="0" borderId="0" xfId="34" applyFont="1" applyAlignment="1">
      <alignment horizontal="left" vertical="center"/>
    </xf>
    <xf numFmtId="0" fontId="82" fillId="0" borderId="0" xfId="36" applyFont="1" applyFill="1" applyAlignment="1">
      <alignment vertical="center"/>
    </xf>
    <xf numFmtId="0" fontId="83" fillId="0" borderId="0" xfId="34" applyFont="1" applyAlignment="1">
      <alignment vertical="center"/>
    </xf>
    <xf numFmtId="0" fontId="78" fillId="0" borderId="0" xfId="35" applyFont="1" applyAlignment="1">
      <alignment horizontal="left"/>
    </xf>
    <xf numFmtId="0" fontId="73" fillId="0" borderId="0" xfId="35" applyFont="1" applyAlignment="1">
      <alignment horizontal="left"/>
    </xf>
    <xf numFmtId="0" fontId="40" fillId="0" borderId="0" xfId="0" applyFont="1"/>
    <xf numFmtId="0" fontId="38" fillId="0" borderId="0" xfId="32" applyFont="1" applyAlignment="1">
      <alignment horizontal="left" vertical="center"/>
    </xf>
    <xf numFmtId="0" fontId="27" fillId="0" borderId="0" xfId="32" applyFont="1" applyAlignment="1">
      <alignment horizontal="right" vertical="center"/>
    </xf>
    <xf numFmtId="0" fontId="38" fillId="0" borderId="0" xfId="32" applyFont="1" applyAlignment="1">
      <alignment horizontal="right" vertical="center"/>
    </xf>
    <xf numFmtId="167" fontId="28" fillId="0" borderId="0" xfId="26" applyNumberFormat="1" applyFont="1" applyAlignment="1">
      <alignment vertical="center"/>
    </xf>
    <xf numFmtId="4" fontId="28" fillId="0" borderId="0" xfId="26" applyNumberFormat="1" applyFont="1" applyAlignment="1">
      <alignment vertical="center"/>
    </xf>
    <xf numFmtId="0" fontId="65" fillId="0" borderId="0" xfId="32" applyFont="1" applyAlignment="1">
      <alignment horizontal="center" vertical="center"/>
    </xf>
    <xf numFmtId="167" fontId="28" fillId="0" borderId="0" xfId="26" applyNumberFormat="1" applyFont="1" applyAlignment="1">
      <alignment horizontal="right" vertical="center"/>
    </xf>
    <xf numFmtId="0" fontId="37" fillId="0" borderId="0" xfId="32" applyFont="1" applyAlignment="1">
      <alignment horizontal="left" vertical="center" wrapText="1"/>
    </xf>
    <xf numFmtId="166" fontId="28" fillId="0" borderId="0" xfId="26" applyFont="1" applyAlignment="1">
      <alignment vertical="center"/>
    </xf>
    <xf numFmtId="166" fontId="65" fillId="0" borderId="0" xfId="33" applyFont="1" applyAlignment="1">
      <alignment horizontal="left" vertical="center"/>
    </xf>
    <xf numFmtId="173" fontId="27" fillId="0" borderId="0" xfId="32" applyNumberFormat="1" applyFont="1" applyAlignment="1">
      <alignment vertical="center"/>
    </xf>
    <xf numFmtId="166" fontId="27" fillId="0" borderId="0" xfId="26" applyFont="1" applyAlignment="1">
      <alignment vertical="center"/>
    </xf>
    <xf numFmtId="0" fontId="40" fillId="0" borderId="0" xfId="32" applyFont="1" applyAlignment="1">
      <alignment horizontal="center"/>
    </xf>
    <xf numFmtId="0" fontId="40" fillId="0" borderId="0" xfId="32" applyFont="1"/>
    <xf numFmtId="1" fontId="27" fillId="0" borderId="0" xfId="32" applyNumberFormat="1" applyFont="1" applyAlignment="1">
      <alignment horizontal="right" vertical="center"/>
    </xf>
    <xf numFmtId="4" fontId="41" fillId="0" borderId="0" xfId="32" applyNumberFormat="1" applyFont="1"/>
    <xf numFmtId="0" fontId="42" fillId="0" borderId="0" xfId="32" applyFont="1" applyAlignment="1">
      <alignment vertical="center"/>
    </xf>
    <xf numFmtId="166" fontId="38" fillId="0" borderId="0" xfId="1" applyFont="1" applyAlignment="1">
      <alignment horizontal="center" vertical="center"/>
    </xf>
    <xf numFmtId="0" fontId="84" fillId="0" borderId="0" xfId="0" applyFont="1" applyAlignment="1">
      <alignment horizontal="center"/>
    </xf>
    <xf numFmtId="0" fontId="84" fillId="0" borderId="0" xfId="0" applyFont="1" applyAlignment="1">
      <alignment horizontal="left" vertical="center" wrapText="1"/>
    </xf>
    <xf numFmtId="0" fontId="84" fillId="0" borderId="0" xfId="0" applyFont="1"/>
    <xf numFmtId="168" fontId="84" fillId="0" borderId="0" xfId="0" applyNumberFormat="1" applyFont="1"/>
    <xf numFmtId="0" fontId="84" fillId="0" borderId="0" xfId="0" applyFont="1" applyAlignment="1">
      <alignment horizontal="left" wrapText="1"/>
    </xf>
    <xf numFmtId="168" fontId="84" fillId="0" borderId="12" xfId="0" applyNumberFormat="1" applyFont="1" applyBorder="1"/>
    <xf numFmtId="39" fontId="84" fillId="0" borderId="0" xfId="0" applyNumberFormat="1" applyFont="1"/>
    <xf numFmtId="0" fontId="85" fillId="0" borderId="0" xfId="0" applyFont="1" applyAlignment="1">
      <alignment horizontal="left"/>
    </xf>
    <xf numFmtId="0" fontId="84" fillId="0" borderId="0" xfId="0" applyFont="1" applyAlignment="1">
      <alignment vertical="center" wrapText="1"/>
    </xf>
    <xf numFmtId="0" fontId="84" fillId="0" borderId="0" xfId="0" applyFont="1" applyAlignment="1">
      <alignment horizontal="center" vertical="center"/>
    </xf>
    <xf numFmtId="168" fontId="84" fillId="0" borderId="0" xfId="0" applyNumberFormat="1" applyFont="1" applyAlignment="1">
      <alignment vertical="center"/>
    </xf>
    <xf numFmtId="39" fontId="84" fillId="0" borderId="0" xfId="0" applyNumberFormat="1" applyFont="1" applyAlignment="1">
      <alignment vertical="center"/>
    </xf>
    <xf numFmtId="0" fontId="84" fillId="0" borderId="0" xfId="0" applyFont="1" applyAlignment="1">
      <alignment vertical="center"/>
    </xf>
    <xf numFmtId="0" fontId="84" fillId="0" borderId="0" xfId="0" applyFont="1" applyAlignment="1">
      <alignment wrapText="1"/>
    </xf>
    <xf numFmtId="1" fontId="84" fillId="0" borderId="0" xfId="0" applyNumberFormat="1" applyFont="1" applyAlignment="1">
      <alignment horizontal="center"/>
    </xf>
    <xf numFmtId="0" fontId="84" fillId="0" borderId="0" xfId="0" applyFont="1" applyAlignment="1">
      <alignment horizontal="left"/>
    </xf>
    <xf numFmtId="0" fontId="86" fillId="0" borderId="0" xfId="0" applyFont="1"/>
    <xf numFmtId="39" fontId="84" fillId="0" borderId="13" xfId="0" applyNumberFormat="1" applyFont="1" applyBorder="1"/>
    <xf numFmtId="0" fontId="40" fillId="0" borderId="0" xfId="30" applyFont="1"/>
    <xf numFmtId="0" fontId="14" fillId="0" borderId="0" xfId="0" applyFont="1" applyAlignment="1">
      <alignment horizontal="center"/>
    </xf>
    <xf numFmtId="0" fontId="34" fillId="0" borderId="0" xfId="3" applyFont="1" applyAlignment="1">
      <alignment horizontal="left"/>
    </xf>
    <xf numFmtId="3" fontId="14" fillId="0" borderId="0" xfId="0" applyNumberFormat="1" applyFont="1" applyAlignment="1">
      <alignment horizontal="right"/>
    </xf>
    <xf numFmtId="0" fontId="14" fillId="0" borderId="0" xfId="0" applyFont="1"/>
    <xf numFmtId="4" fontId="14" fillId="0" borderId="0" xfId="0" applyNumberFormat="1" applyFont="1" applyAlignment="1">
      <alignment horizontal="center"/>
    </xf>
    <xf numFmtId="166" fontId="14" fillId="0" borderId="0" xfId="0" applyNumberFormat="1" applyFont="1"/>
    <xf numFmtId="0" fontId="14" fillId="0" borderId="0" xfId="3" applyFont="1" applyAlignment="1">
      <alignment horizontal="left" wrapText="1"/>
    </xf>
    <xf numFmtId="0" fontId="34" fillId="0" borderId="0" xfId="3" applyFont="1" applyAlignment="1">
      <alignment horizontal="left" wrapText="1"/>
    </xf>
    <xf numFmtId="0" fontId="14" fillId="0" borderId="0" xfId="3" applyFont="1" applyAlignment="1">
      <alignment horizontal="left"/>
    </xf>
    <xf numFmtId="0" fontId="31" fillId="0" borderId="0" xfId="3" applyFont="1" applyAlignment="1">
      <alignment horizontal="left"/>
    </xf>
    <xf numFmtId="0" fontId="69" fillId="0" borderId="0" xfId="3" applyFont="1" applyBorder="1"/>
    <xf numFmtId="0" fontId="5" fillId="0" borderId="0" xfId="3" applyBorder="1" applyAlignment="1">
      <alignment horizontal="left" vertical="top" wrapText="1"/>
    </xf>
    <xf numFmtId="0" fontId="5" fillId="0" borderId="0" xfId="3" applyBorder="1"/>
    <xf numFmtId="0" fontId="70" fillId="2" borderId="0" xfId="3" applyFont="1" applyFill="1" applyBorder="1" applyAlignment="1">
      <alignment horizontal="left"/>
    </xf>
    <xf numFmtId="0" fontId="69" fillId="2" borderId="20" xfId="3" applyFont="1" applyFill="1" applyBorder="1" applyAlignment="1">
      <alignment horizontal="center" wrapText="1"/>
    </xf>
    <xf numFmtId="0" fontId="69" fillId="2" borderId="0" xfId="3" applyFont="1" applyFill="1" applyBorder="1" applyAlignment="1">
      <alignment horizontal="center" vertical="top" wrapText="1"/>
    </xf>
    <xf numFmtId="166" fontId="67" fillId="2" borderId="22" xfId="26" applyFont="1" applyFill="1" applyBorder="1" applyAlignment="1">
      <alignment horizontal="left" wrapText="1"/>
    </xf>
    <xf numFmtId="0" fontId="70" fillId="0" borderId="0" xfId="3" applyFont="1" applyBorder="1"/>
    <xf numFmtId="39" fontId="85" fillId="0" borderId="13" xfId="0" applyNumberFormat="1" applyFont="1" applyBorder="1"/>
    <xf numFmtId="0" fontId="70" fillId="0" borderId="0" xfId="3" applyFont="1" applyAlignment="1">
      <alignment horizontal="right" vertical="top" wrapText="1"/>
    </xf>
    <xf numFmtId="166" fontId="67" fillId="0" borderId="23" xfId="26" applyFont="1" applyBorder="1" applyAlignment="1"/>
    <xf numFmtId="166" fontId="69" fillId="0" borderId="0" xfId="1" applyFont="1" applyAlignment="1">
      <alignment horizontal="center"/>
    </xf>
    <xf numFmtId="166" fontId="27" fillId="0" borderId="0" xfId="14" applyFont="1" applyAlignment="1">
      <alignment horizontal="center" vertical="center"/>
    </xf>
    <xf numFmtId="166" fontId="14" fillId="0" borderId="0" xfId="14" applyFont="1" applyAlignment="1">
      <alignment horizontal="right" vertical="center"/>
    </xf>
    <xf numFmtId="0" fontId="14" fillId="0" borderId="0" xfId="32" applyFont="1" applyAlignment="1">
      <alignment horizontal="center" vertical="center"/>
    </xf>
    <xf numFmtId="0" fontId="34" fillId="0" borderId="0" xfId="32" applyFont="1" applyAlignment="1">
      <alignment vertical="center"/>
    </xf>
    <xf numFmtId="4" fontId="14" fillId="0" borderId="0" xfId="26" applyNumberFormat="1" applyFont="1" applyAlignment="1">
      <alignment horizontal="center" vertical="center"/>
    </xf>
    <xf numFmtId="167" fontId="30" fillId="0" borderId="0" xfId="32" applyNumberFormat="1" applyFont="1" applyAlignment="1">
      <alignment vertical="center"/>
    </xf>
    <xf numFmtId="170" fontId="30" fillId="0" borderId="0" xfId="32" applyNumberFormat="1" applyFont="1" applyAlignment="1">
      <alignment vertical="center"/>
    </xf>
    <xf numFmtId="0" fontId="13" fillId="0" borderId="0" xfId="32" applyFont="1" applyAlignment="1">
      <alignment vertical="center"/>
    </xf>
    <xf numFmtId="0" fontId="14" fillId="0" borderId="0" xfId="32" applyFont="1" applyAlignment="1">
      <alignment vertical="center"/>
    </xf>
    <xf numFmtId="166" fontId="38" fillId="0" borderId="0" xfId="14" applyFont="1" applyAlignment="1">
      <alignment horizontal="center" vertical="center"/>
    </xf>
    <xf numFmtId="4" fontId="14" fillId="0" borderId="0" xfId="32" applyNumberFormat="1" applyFont="1" applyAlignment="1">
      <alignment horizontal="center" vertical="center"/>
    </xf>
    <xf numFmtId="1" fontId="14" fillId="0" borderId="0" xfId="32" applyNumberFormat="1" applyFont="1" applyAlignment="1">
      <alignment horizontal="center" vertical="center"/>
    </xf>
    <xf numFmtId="0" fontId="29" fillId="0" borderId="0" xfId="32" applyFont="1" applyAlignment="1">
      <alignment horizontal="left" vertical="center"/>
    </xf>
    <xf numFmtId="0" fontId="34" fillId="0" borderId="0" xfId="32" applyFont="1" applyAlignment="1">
      <alignment vertical="center" wrapText="1"/>
    </xf>
    <xf numFmtId="171" fontId="14" fillId="0" borderId="0" xfId="23" applyNumberFormat="1" applyFont="1" applyAlignment="1">
      <alignment horizontal="center" vertical="center"/>
    </xf>
    <xf numFmtId="0" fontId="14" fillId="0" borderId="0" xfId="32" applyFont="1" applyAlignment="1">
      <alignment wrapText="1"/>
    </xf>
    <xf numFmtId="0" fontId="5" fillId="0" borderId="0" xfId="32" applyAlignment="1">
      <alignment wrapText="1"/>
    </xf>
    <xf numFmtId="0" fontId="27" fillId="0" borderId="0" xfId="32" applyFont="1" applyAlignment="1">
      <alignment horizontal="center" vertical="center" wrapText="1"/>
    </xf>
    <xf numFmtId="166" fontId="27" fillId="0" borderId="0" xfId="14" applyFont="1" applyAlignment="1">
      <alignment horizontal="center" vertical="center" wrapText="1"/>
    </xf>
    <xf numFmtId="167" fontId="28" fillId="0" borderId="0" xfId="32" applyNumberFormat="1" applyFont="1" applyAlignment="1">
      <alignment horizontal="right" vertical="center" wrapText="1"/>
    </xf>
    <xf numFmtId="0" fontId="65" fillId="0" borderId="0" xfId="32" applyFont="1" applyAlignment="1">
      <alignment horizontal="center" vertical="center" wrapText="1"/>
    </xf>
    <xf numFmtId="0" fontId="29" fillId="0" borderId="0" xfId="32" applyFont="1" applyAlignment="1">
      <alignment horizontal="left" vertical="center" wrapText="1"/>
    </xf>
    <xf numFmtId="0" fontId="29" fillId="0" borderId="0" xfId="32" applyFont="1" applyAlignment="1">
      <alignment vertical="center"/>
    </xf>
    <xf numFmtId="169" fontId="14" fillId="0" borderId="0" xfId="14" applyNumberFormat="1" applyFont="1" applyAlignment="1">
      <alignment horizontal="center" vertical="center"/>
    </xf>
    <xf numFmtId="169" fontId="34" fillId="0" borderId="0" xfId="14" applyNumberFormat="1" applyFont="1" applyAlignment="1">
      <alignment horizontal="center" vertical="center"/>
    </xf>
    <xf numFmtId="0" fontId="14" fillId="0" borderId="0" xfId="32" applyFont="1" applyAlignment="1">
      <alignment horizontal="left" vertical="center" wrapText="1"/>
    </xf>
    <xf numFmtId="0" fontId="14" fillId="0" borderId="0" xfId="32" applyFont="1" applyAlignment="1">
      <alignment vertical="center" wrapText="1"/>
    </xf>
    <xf numFmtId="0" fontId="27" fillId="2" borderId="0" xfId="32" applyFont="1" applyFill="1" applyBorder="1" applyAlignment="1">
      <alignment vertical="center"/>
    </xf>
    <xf numFmtId="166" fontId="40" fillId="0" borderId="0" xfId="32" applyNumberFormat="1" applyFont="1" applyAlignment="1">
      <alignment horizontal="center"/>
    </xf>
    <xf numFmtId="166" fontId="41" fillId="0" borderId="0" xfId="32" applyNumberFormat="1" applyFont="1" applyAlignment="1">
      <alignment horizontal="center"/>
    </xf>
    <xf numFmtId="3" fontId="41" fillId="0" borderId="0" xfId="32" applyNumberFormat="1" applyFont="1"/>
    <xf numFmtId="166" fontId="39" fillId="0" borderId="2" xfId="14" applyFont="1" applyBorder="1" applyAlignment="1">
      <alignment horizontal="center" vertical="center"/>
    </xf>
    <xf numFmtId="166" fontId="39" fillId="0" borderId="0" xfId="14" applyFont="1" applyAlignment="1">
      <alignment horizontal="center" vertical="center"/>
    </xf>
    <xf numFmtId="166" fontId="38" fillId="0" borderId="7" xfId="14" applyFont="1" applyBorder="1" applyAlignment="1">
      <alignment horizontal="center" vertical="center"/>
    </xf>
    <xf numFmtId="0" fontId="88" fillId="0" borderId="0" xfId="38"/>
    <xf numFmtId="0" fontId="14" fillId="0" borderId="0" xfId="38" applyFont="1" applyAlignment="1">
      <alignment wrapText="1"/>
    </xf>
    <xf numFmtId="0" fontId="88" fillId="0" borderId="0" xfId="38" applyAlignment="1">
      <alignment wrapText="1"/>
    </xf>
    <xf numFmtId="169" fontId="14" fillId="0" borderId="0" xfId="39" applyNumberFormat="1" applyFont="1" applyAlignment="1">
      <alignment horizontal="center" vertical="center"/>
    </xf>
    <xf numFmtId="166" fontId="14" fillId="0" borderId="0" xfId="39" applyFont="1" applyAlignment="1">
      <alignment horizontal="right" vertical="center"/>
    </xf>
    <xf numFmtId="169" fontId="34" fillId="0" borderId="0" xfId="39" applyNumberFormat="1" applyFont="1" applyAlignment="1">
      <alignment horizontal="center" vertical="center"/>
    </xf>
    <xf numFmtId="166" fontId="27" fillId="0" borderId="0" xfId="39" applyFont="1" applyAlignment="1">
      <alignment horizontal="center" vertical="center"/>
    </xf>
    <xf numFmtId="0" fontId="31" fillId="0" borderId="0" xfId="32" applyFont="1" applyAlignment="1">
      <alignment vertical="center"/>
    </xf>
    <xf numFmtId="0" fontId="84" fillId="0" borderId="0" xfId="38" applyFont="1" applyAlignment="1">
      <alignment horizontal="center"/>
    </xf>
    <xf numFmtId="0" fontId="85" fillId="0" borderId="0" xfId="38" applyFont="1" applyAlignment="1">
      <alignment horizontal="left"/>
    </xf>
    <xf numFmtId="168" fontId="84" fillId="0" borderId="0" xfId="38" applyNumberFormat="1" applyFont="1"/>
    <xf numFmtId="39" fontId="84" fillId="0" borderId="0" xfId="38" applyNumberFormat="1" applyFont="1"/>
    <xf numFmtId="0" fontId="84" fillId="0" borderId="0" xfId="38" applyFont="1"/>
    <xf numFmtId="0" fontId="40" fillId="0" borderId="0" xfId="38" applyFont="1"/>
    <xf numFmtId="0" fontId="84" fillId="0" borderId="0" xfId="38" applyFont="1" applyAlignment="1">
      <alignment wrapText="1"/>
    </xf>
    <xf numFmtId="1" fontId="84" fillId="0" borderId="0" xfId="38" applyNumberFormat="1" applyFont="1" applyAlignment="1">
      <alignment horizontal="center"/>
    </xf>
    <xf numFmtId="0" fontId="40" fillId="0" borderId="0" xfId="38" applyFont="1" applyAlignment="1">
      <alignment horizontal="center"/>
    </xf>
    <xf numFmtId="0" fontId="27" fillId="0" borderId="0" xfId="38" applyFont="1" applyAlignment="1">
      <alignment vertical="center"/>
    </xf>
    <xf numFmtId="166" fontId="40" fillId="0" borderId="0" xfId="38" applyNumberFormat="1" applyFont="1" applyAlignment="1">
      <alignment horizontal="center"/>
    </xf>
    <xf numFmtId="0" fontId="40" fillId="0" borderId="0" xfId="38" applyFont="1" applyAlignment="1">
      <alignment wrapText="1"/>
    </xf>
    <xf numFmtId="0" fontId="27" fillId="0" borderId="0" xfId="38" applyFont="1" applyAlignment="1">
      <alignment horizontal="right" vertical="center"/>
    </xf>
    <xf numFmtId="1" fontId="27" fillId="0" borderId="0" xfId="38" applyNumberFormat="1" applyFont="1" applyAlignment="1">
      <alignment horizontal="right" vertical="center"/>
    </xf>
    <xf numFmtId="166" fontId="41" fillId="0" borderId="0" xfId="38" applyNumberFormat="1" applyFont="1" applyAlignment="1">
      <alignment horizontal="center"/>
    </xf>
    <xf numFmtId="4" fontId="41" fillId="0" borderId="0" xfId="38" applyNumberFormat="1" applyFont="1"/>
    <xf numFmtId="0" fontId="42" fillId="0" borderId="0" xfId="38" applyFont="1" applyAlignment="1">
      <alignment vertical="center"/>
    </xf>
    <xf numFmtId="3" fontId="41" fillId="0" borderId="0" xfId="38" applyNumberFormat="1" applyFont="1"/>
    <xf numFmtId="169" fontId="27" fillId="0" borderId="0" xfId="1" applyNumberFormat="1" applyFont="1" applyAlignment="1">
      <alignment vertical="center"/>
    </xf>
    <xf numFmtId="169" fontId="27" fillId="2" borderId="14" xfId="1" applyNumberFormat="1" applyFont="1" applyFill="1" applyBorder="1" applyAlignment="1">
      <alignment vertical="center"/>
    </xf>
    <xf numFmtId="43" fontId="69" fillId="0" borderId="0" xfId="3" applyNumberFormat="1" applyFont="1" applyAlignment="1">
      <alignment horizontal="center"/>
    </xf>
    <xf numFmtId="171" fontId="14" fillId="0" borderId="0" xfId="3" applyNumberFormat="1" applyFont="1" applyAlignment="1">
      <alignment vertical="center"/>
    </xf>
    <xf numFmtId="166" fontId="31" fillId="0" borderId="0" xfId="1" applyFont="1" applyAlignment="1">
      <alignment vertical="center"/>
    </xf>
    <xf numFmtId="4" fontId="14" fillId="0" borderId="0" xfId="0" applyNumberFormat="1" applyFont="1" applyAlignment="1"/>
    <xf numFmtId="4" fontId="14" fillId="0" borderId="0" xfId="16" applyNumberFormat="1" applyFont="1" applyFill="1" applyBorder="1" applyAlignment="1">
      <alignment vertical="center"/>
    </xf>
    <xf numFmtId="166" fontId="14" fillId="0" borderId="0" xfId="1" applyFont="1" applyAlignment="1">
      <alignment vertical="center" wrapText="1"/>
    </xf>
    <xf numFmtId="166" fontId="14" fillId="0" borderId="0" xfId="1" applyFont="1" applyFill="1" applyAlignment="1">
      <alignment vertical="center"/>
    </xf>
    <xf numFmtId="0" fontId="84" fillId="0" borderId="0" xfId="0" applyFont="1" applyAlignment="1"/>
    <xf numFmtId="168" fontId="84" fillId="0" borderId="12" xfId="0" applyNumberFormat="1" applyFont="1" applyBorder="1" applyAlignment="1"/>
    <xf numFmtId="168" fontId="84" fillId="0" borderId="0" xfId="0" applyNumberFormat="1" applyFont="1" applyAlignment="1"/>
    <xf numFmtId="168" fontId="46" fillId="0" borderId="0" xfId="0" applyNumberFormat="1" applyFont="1" applyAlignment="1">
      <alignment vertical="center"/>
    </xf>
    <xf numFmtId="166" fontId="38" fillId="0" borderId="0" xfId="1" applyFont="1" applyAlignment="1">
      <alignment vertical="center"/>
    </xf>
    <xf numFmtId="166" fontId="31" fillId="0" borderId="0" xfId="1" applyFont="1" applyBorder="1" applyAlignment="1">
      <alignment vertical="center"/>
    </xf>
    <xf numFmtId="166" fontId="27" fillId="0" borderId="0" xfId="1" applyFont="1" applyAlignment="1">
      <alignment vertical="center"/>
    </xf>
    <xf numFmtId="0" fontId="46" fillId="0" borderId="0" xfId="30" applyFont="1" applyAlignment="1"/>
    <xf numFmtId="3" fontId="36" fillId="0" borderId="0" xfId="30" applyNumberFormat="1" applyFont="1" applyAlignment="1">
      <alignment wrapText="1"/>
    </xf>
    <xf numFmtId="166" fontId="41" fillId="0" borderId="0" xfId="1" applyFont="1" applyAlignment="1"/>
    <xf numFmtId="166" fontId="14" fillId="0" borderId="3" xfId="1" applyFont="1" applyBorder="1" applyAlignment="1">
      <alignment vertical="center"/>
    </xf>
    <xf numFmtId="166" fontId="34" fillId="0" borderId="0" xfId="1" applyFont="1" applyAlignment="1">
      <alignment vertical="center"/>
    </xf>
    <xf numFmtId="4" fontId="14" fillId="0" borderId="0" xfId="0" applyNumberFormat="1" applyFont="1" applyAlignment="1">
      <alignment horizontal="right" vertical="center"/>
    </xf>
    <xf numFmtId="4" fontId="14" fillId="0" borderId="0" xfId="16" applyNumberFormat="1" applyFont="1" applyFill="1" applyBorder="1" applyAlignment="1">
      <alignment horizontal="right" vertical="center"/>
    </xf>
    <xf numFmtId="168" fontId="36" fillId="0" borderId="0" xfId="0" applyNumberFormat="1" applyFont="1" applyAlignment="1">
      <alignment horizontal="right" vertical="center"/>
    </xf>
    <xf numFmtId="0" fontId="84" fillId="0" borderId="0" xfId="0" applyFont="1" applyAlignment="1">
      <alignment horizontal="right" vertical="center"/>
    </xf>
    <xf numFmtId="168" fontId="84" fillId="0" borderId="12" xfId="0" applyNumberFormat="1" applyFont="1" applyBorder="1" applyAlignment="1">
      <alignment horizontal="right" vertical="center"/>
    </xf>
    <xf numFmtId="168" fontId="84" fillId="0" borderId="0" xfId="0" applyNumberFormat="1" applyFont="1" applyAlignment="1">
      <alignment horizontal="right" vertical="center"/>
    </xf>
    <xf numFmtId="0" fontId="53" fillId="0" borderId="0" xfId="0" applyFont="1" applyAlignment="1">
      <alignment horizontal="right" vertical="center"/>
    </xf>
    <xf numFmtId="0" fontId="46" fillId="0" borderId="0" xfId="30" applyFont="1" applyAlignment="1">
      <alignment horizontal="right" vertical="center"/>
    </xf>
    <xf numFmtId="3" fontId="36" fillId="0" borderId="0" xfId="30" applyNumberFormat="1" applyFont="1" applyAlignment="1">
      <alignment horizontal="right" vertical="center" wrapText="1"/>
    </xf>
    <xf numFmtId="166" fontId="41" fillId="0" borderId="0" xfId="1" applyFont="1" applyAlignment="1">
      <alignment horizontal="right" vertical="center"/>
    </xf>
    <xf numFmtId="4" fontId="14" fillId="0" borderId="0" xfId="0" applyNumberFormat="1" applyFont="1" applyAlignment="1">
      <alignment horizontal="right"/>
    </xf>
    <xf numFmtId="0" fontId="84" fillId="0" borderId="0" xfId="0" applyFont="1" applyAlignment="1">
      <alignment horizontal="right"/>
    </xf>
    <xf numFmtId="168" fontId="84" fillId="0" borderId="12" xfId="0" applyNumberFormat="1" applyFont="1" applyBorder="1" applyAlignment="1">
      <alignment horizontal="right"/>
    </xf>
    <xf numFmtId="168" fontId="84" fillId="0" borderId="0" xfId="0" applyNumberFormat="1" applyFont="1" applyAlignment="1">
      <alignment horizontal="right"/>
    </xf>
    <xf numFmtId="166" fontId="27" fillId="0" borderId="0" xfId="14" applyFont="1" applyAlignment="1">
      <alignment horizontal="right" vertical="center"/>
    </xf>
    <xf numFmtId="0" fontId="46" fillId="0" borderId="0" xfId="30" applyFont="1" applyAlignment="1">
      <alignment horizontal="right"/>
    </xf>
    <xf numFmtId="3" fontId="36" fillId="0" borderId="0" xfId="30" applyNumberFormat="1" applyFont="1" applyAlignment="1">
      <alignment horizontal="right" wrapText="1"/>
    </xf>
    <xf numFmtId="43" fontId="89" fillId="0" borderId="24" xfId="40" applyFont="1" applyBorder="1"/>
    <xf numFmtId="43" fontId="0" fillId="0" borderId="0" xfId="40" applyFont="1"/>
    <xf numFmtId="0" fontId="90" fillId="0" borderId="0" xfId="0" applyFont="1"/>
    <xf numFmtId="0" fontId="0" fillId="0" borderId="0" xfId="0" applyAlignment="1">
      <alignment horizontal="left"/>
    </xf>
    <xf numFmtId="43" fontId="0" fillId="0" borderId="0" xfId="0" applyNumberFormat="1"/>
    <xf numFmtId="43" fontId="89" fillId="0" borderId="2" xfId="0" applyNumberFormat="1" applyFont="1" applyBorder="1"/>
    <xf numFmtId="0" fontId="0" fillId="0" borderId="0" xfId="0" applyAlignment="1">
      <alignment horizontal="right"/>
    </xf>
    <xf numFmtId="0" fontId="0" fillId="0" borderId="0" xfId="0" applyAlignment="1">
      <alignment horizontal="center"/>
    </xf>
    <xf numFmtId="0" fontId="89" fillId="0" borderId="0" xfId="0" applyFont="1"/>
    <xf numFmtId="0" fontId="91" fillId="0" borderId="0" xfId="0" applyFont="1"/>
    <xf numFmtId="43" fontId="89" fillId="0" borderId="0" xfId="0" applyNumberFormat="1" applyFont="1"/>
    <xf numFmtId="0" fontId="89" fillId="0" borderId="0" xfId="0" applyFont="1" applyAlignment="1">
      <alignment horizontal="center"/>
    </xf>
    <xf numFmtId="0" fontId="92" fillId="0" borderId="0" xfId="0" applyFont="1"/>
    <xf numFmtId="166" fontId="0" fillId="0" borderId="0" xfId="1" applyFont="1"/>
    <xf numFmtId="43" fontId="0" fillId="0" borderId="25" xfId="0" applyNumberFormat="1" applyBorder="1"/>
    <xf numFmtId="0" fontId="7" fillId="0" borderId="0" xfId="8" applyFont="1" applyAlignment="1">
      <alignment horizontal="center" vertical="center"/>
    </xf>
    <xf numFmtId="0" fontId="22" fillId="0" borderId="0" xfId="12" applyFont="1" applyAlignment="1">
      <alignment horizontal="center" vertical="top"/>
    </xf>
    <xf numFmtId="0" fontId="25" fillId="0" borderId="0" xfId="3" applyFont="1" applyAlignment="1">
      <alignment horizontal="center"/>
    </xf>
    <xf numFmtId="0" fontId="82" fillId="0" borderId="0" xfId="36" applyFont="1" applyFill="1" applyAlignment="1">
      <alignment horizontal="center" vertical="center"/>
    </xf>
    <xf numFmtId="0" fontId="72" fillId="0" borderId="0" xfId="34" applyFont="1" applyAlignment="1">
      <alignment horizontal="center" vertical="center"/>
    </xf>
    <xf numFmtId="0" fontId="72" fillId="0" borderId="0" xfId="34" applyFont="1" applyAlignment="1">
      <alignment horizontal="center" vertical="center" wrapText="1"/>
    </xf>
    <xf numFmtId="0" fontId="75" fillId="0" borderId="0" xfId="34" applyFont="1" applyAlignment="1">
      <alignment horizontal="center" vertical="center"/>
    </xf>
    <xf numFmtId="0" fontId="76" fillId="0" borderId="0" xfId="34" applyFont="1" applyAlignment="1">
      <alignment horizontal="center" vertical="center" wrapText="1"/>
    </xf>
    <xf numFmtId="0" fontId="79" fillId="0" borderId="0" xfId="34" applyFont="1" applyAlignment="1">
      <alignment horizontal="center" vertical="center"/>
    </xf>
    <xf numFmtId="0" fontId="80" fillId="0" borderId="0" xfId="34" applyFont="1" applyAlignment="1">
      <alignment horizontal="center" vertical="center"/>
    </xf>
    <xf numFmtId="0" fontId="87" fillId="0" borderId="0" xfId="34" applyFont="1" applyAlignment="1">
      <alignment horizontal="center" vertical="center"/>
    </xf>
    <xf numFmtId="0" fontId="56" fillId="0" borderId="0" xfId="31" applyFont="1" applyAlignment="1">
      <alignment horizontal="center" vertical="center"/>
    </xf>
    <xf numFmtId="0" fontId="56" fillId="0" borderId="0" xfId="31" applyFont="1" applyAlignment="1">
      <alignment horizontal="center" vertical="center" wrapText="1"/>
    </xf>
    <xf numFmtId="0" fontId="63" fillId="0" borderId="0" xfId="31" applyFont="1" applyAlignment="1">
      <alignment horizontal="center"/>
    </xf>
  </cellXfs>
  <cellStyles count="41">
    <cellStyle name="Comma" xfId="1" builtinId="3"/>
    <cellStyle name="Comma 10" xfId="14" xr:uid="{00000000-0005-0000-0000-000001000000}"/>
    <cellStyle name="Comma 10 2" xfId="39" xr:uid="{9559F007-515E-42C2-B414-9CB8B808B67F}"/>
    <cellStyle name="Comma 13" xfId="23" xr:uid="{12F6DA18-7ECA-436E-8944-BC6CD38A7AD9}"/>
    <cellStyle name="Comma 13 2" xfId="25" xr:uid="{63AC30D2-3EEE-48AF-BACE-186A36871D23}"/>
    <cellStyle name="Comma 16" xfId="4" xr:uid="{00000000-0005-0000-0000-000002000000}"/>
    <cellStyle name="Comma 2" xfId="40" xr:uid="{D98A718B-A8FE-497C-BF44-0C584AF8B60A}"/>
    <cellStyle name="Comma 2 2" xfId="11" xr:uid="{00000000-0005-0000-0000-000003000000}"/>
    <cellStyle name="Comma 2 2 2" xfId="26" xr:uid="{D9D0AFAE-2D81-4D34-9C52-E87C307BD281}"/>
    <cellStyle name="Comma 2 3" xfId="9" xr:uid="{00000000-0005-0000-0000-000004000000}"/>
    <cellStyle name="Comma 3" xfId="16" xr:uid="{00000000-0005-0000-0000-000005000000}"/>
    <cellStyle name="Comma 3 2" xfId="15" xr:uid="{00000000-0005-0000-0000-000006000000}"/>
    <cellStyle name="Comma 3 2 2" xfId="33" xr:uid="{15516F5B-A45D-4999-B93D-4DA1BC574550}"/>
    <cellStyle name="Comma 4 2" xfId="18" xr:uid="{00000000-0005-0000-0000-000007000000}"/>
    <cellStyle name="Comma 5" xfId="27" xr:uid="{E149D0EE-2038-474C-BF35-C11CF99B36A8}"/>
    <cellStyle name="Currency 2" xfId="24" xr:uid="{7C16CBE5-41F6-491D-87A4-D2E2672F36F2}"/>
    <cellStyle name="Hyperlink 2" xfId="36" xr:uid="{F723F2E5-432E-47C4-AE66-19FFBDFAACBA}"/>
    <cellStyle name="Normal" xfId="0" builtinId="0"/>
    <cellStyle name="Normal 10" xfId="28" xr:uid="{52CA0711-D758-4A6F-85FD-B284140CA4D5}"/>
    <cellStyle name="Normal 10 2" xfId="37" xr:uid="{0304B89F-7DCB-49B9-B643-8BA9A373EFA9}"/>
    <cellStyle name="Normal 13" xfId="34" xr:uid="{CF132CB1-EA5E-46CE-9557-75A18793D556}"/>
    <cellStyle name="Normal 2" xfId="3" xr:uid="{00000000-0005-0000-0000-000009000000}"/>
    <cellStyle name="Normal 2 2" xfId="12" xr:uid="{00000000-0005-0000-0000-00000A000000}"/>
    <cellStyle name="Normal 2 3" xfId="32" xr:uid="{02539FE8-7D7F-4DD8-A59E-52800D9B616F}"/>
    <cellStyle name="Normal 3" xfId="5" xr:uid="{00000000-0005-0000-0000-00000B000000}"/>
    <cellStyle name="Normal 3 2" xfId="7" xr:uid="{00000000-0005-0000-0000-00000C000000}"/>
    <cellStyle name="Normal 3 2 2" xfId="8" xr:uid="{00000000-0005-0000-0000-00000D000000}"/>
    <cellStyle name="Normal 3 2 2 2" xfId="17" xr:uid="{00000000-0005-0000-0000-00000E000000}"/>
    <cellStyle name="Normal 3 2 2 2 2" xfId="19" xr:uid="{00000000-0005-0000-0000-00000F000000}"/>
    <cellStyle name="Normal 3 2 2 2 3" xfId="35" xr:uid="{B2EC0499-10A9-42C9-8B94-339101235D9E}"/>
    <cellStyle name="Normal 3 3" xfId="10" xr:uid="{00000000-0005-0000-0000-000010000000}"/>
    <cellStyle name="Normal 3 3 2" xfId="22" xr:uid="{00000000-0005-0000-0000-000011000000}"/>
    <cellStyle name="Normal 3 3 3" xfId="31" xr:uid="{CBE44166-D9C7-47C2-B2DD-74D694A320AC}"/>
    <cellStyle name="Normal 4" xfId="20" xr:uid="{00000000-0005-0000-0000-000012000000}"/>
    <cellStyle name="Normal 4 2" xfId="21" xr:uid="{00000000-0005-0000-0000-000013000000}"/>
    <cellStyle name="Normal 5" xfId="30" xr:uid="{60B4806D-D09C-4CF9-94BC-74A0993573B2}"/>
    <cellStyle name="Normal 6" xfId="38" xr:uid="{CD2B6CB7-DD91-468E-941B-CA63A28C460E}"/>
    <cellStyle name="Normal 7 2" xfId="2" xr:uid="{00000000-0005-0000-0000-000014000000}"/>
    <cellStyle name="Normal 7 3" xfId="6" xr:uid="{00000000-0005-0000-0000-000015000000}"/>
    <cellStyle name="Normal 9" xfId="29" xr:uid="{35A70A1E-F1D4-4FFF-A1F6-A4DBD6A0D8A8}"/>
    <cellStyle name="Percent 2 2" xfId="13"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externalLink" Target="externalLinks/externalLink26.xml"/><Relationship Id="rId50" Type="http://schemas.openxmlformats.org/officeDocument/2006/relationships/externalLink" Target="externalLinks/externalLink2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8.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52" Type="http://schemas.openxmlformats.org/officeDocument/2006/relationships/externalLink" Target="externalLinks/externalLink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externalLink" Target="externalLinks/externalLink2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externalLink" Target="externalLinks/externalLink2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externalLink" Target="externalLinks/externalLink2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B846D733-CE50-4F1A-A140-DC9AEA788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9B714385-902F-4A53-B7A2-E8AE2E232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4C8C2257-6AEA-4755-9D38-423E587C0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70F6E37A-B22A-40BF-99EF-A2A5881E2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F91F5FA1-A7D4-40A4-959D-2C113E162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DE3B6376-AD1A-4E96-BE0A-FBEE2E75D5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AFAF2AA2-2FA8-47EB-B522-E77FA476E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qs-2\hqs%202%20(d)\msoffice\excel\t\JFLIN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achabba/Dropbox/Life%20Camp/Development%20Analysis/Server/d/Chinwe/Practice%20Proforma/701%20Lamont%20-Debt-%20BB&amp;T%20Termsheet%20&amp;%20scenario%20analysi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QS/AppData/Local/Temp/COST%20BREAKDOWN%20EBOYIN%2008%20FEB2016.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Bachabba/Dropbox/Life%20Camp/Development%20Analysis/Atntbdc01/macstuff/CURRENT%20PROJECTS/01-7528.00RR%20LA%20BID/Exhibits/VI.%20Housing/Housing.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AMOS%20ETAREWHU/Desktop/KANO-MAIDUGURI%20PROJECT/PAYMENT%20CERTIFICATE/IC-32-CORRECT%20DRAFT%20COPY%20-%20Final/utecn/Ponti-Viadotti/London%20DLRE/Dwg/ModuliQualita/Barsched%208666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pc/Desktop/Documents%20and%20Settings/user.OWNER/My%20Documents/My%20Documents/HIGH%20COURT%20V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Users\ELALAN-MONDAY\Documents\PROJECTS\LBW\BOQ\BREAKDOWN%20%20%20LBW%20MAY%2022%202016%20Rvs2.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B310%20Int%20Val%20June%2007revis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Documents%20and%20Settings/Marisa%20Gaither/Desktop/GDA%20Engagements/The%20Strand/The%20Strand.Revised%20SubmissionFinancial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CBNsystem1/Downloads/Break%2520even%2520analysis%25202%2520as%2520at%252026th%2520June%2520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Bachabba/Dropbox/Life%20Camp/Development%20Analysis/Server/d/Chinwe/Projects/affordable%20housing/rental/614%20Longfellow%20Rental%20ProForma%20-%20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NANA%20FATIMA\Documents\YAHAYA%20ABUKUR%20DOCUMENTS\MANGAL%20PROJECT%20AT%20KADUNA\CONSTRUCTION%20OF%20BLOCK%20OF%20STUDENT%20HOSTEL%20AT%20NYSC%20%20CENTRE%20KATSIN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dams\c-didams\My%20Documents\BON\Labour-fluct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Sam\Aria\proposal%20%232\Proposal%20for%20aria%20Price%20breakdown%20rev31%20%2025_03%20DAF%20V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OSE%20BRIDGES\FRO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YBOOKLIVE1\Public\Leecon%20associates\Bentaiwo\DTV%20draft%20P&amp;G%20Oct%201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8000's/8148.00,%2004-%20Gewirz%20Grosvenor/FINANCIALS/FIN-RENTAL-AGGR-9.5%25-MPDU-MX.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JBN%20Port%20Harcourt\Baustellen\PHC%20Flyover\Certificate%20genehmigt\Certificate%20Bridges%2008%20vom%2031.05.00%20agreed%20FMWH%20(incl%20RETC%2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Bachabba/Dropbox/Life%20Camp/Development%20Analysis/dcsnap01/active-jobs/OLDMEN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84D4665/Certificate%20Bridges%2008%20vom%2031.05.00%20agreed%20FMWH%20(incl%20RETC%2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M/IBD/Atlanta%20Region/ACQ_MORT/Equity/Multifamily/Sawyer%20Heights/Sawyer%20Heights%20MS%20v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SKY/Downloads/jah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Abubakar\Desktop\FCE%20OKENE%20PROJECTS\CONSTRUCTION%20OF%20BLOCK%20OF%20OFFICE%20AND%20CLASS%20AT%20FCE%20OKENE.%20AMMENDED.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Dropbox\My%20PC%20(DESKTOP-MD3CUCQ)\Desktop\shola%20taiwo\TYPE%205\TYPE%205%20CRD%20Mr%20DEJI.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My%20Drive\QS%20KAMALDEEN\AJIWE\BOQ\BOQ%20-%20IN-%20USE\AJIWE%20BOQ%20(Revised%20MARCH.%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aryam%20Nadabo/Desktop/HOSPITALS/Users/Abubakar/Desktop/FCE%20OKENE%20PROJECTS/CONSTRUCTION%20OF%20BLOCK%20OF%20OFFICE%20AND%20CLASS%20AT%20FCE%20OKENE.%20AMMEND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c/Desktop/Users/NANA%20FATIMA/Documents/YAHAYA%20ABUKUR%20DOCUMENTS/MANGAL%20PROJECT%20AT%20KADUNA/CONSTRUCTION%20OF%20BLOCK%20OF%20STUDENT%20HOSTEL%20AT%20NYSC%20%20CENTRE%20KATSIN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chabba/Dropbox/Life%20Camp/Development%20Analysis/Dcsnap01/active-jobs/6240.02,%2004-%20Toll%20Bros%20Loudoun/Toll%20Brothers%20market%20exhibits/employment%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NANA%20FATIMA\Documents\MANGAL%20PROJECT%20AT%20KADUNA\CONSTRUCTION%20OF%20BLOCK%20OF%20STUDENT%20HOSTEL%20AT%20NYSC%20%20CENTRE%20KATSINA%20WITH%20MINISTRY%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Users\NANA%20FATIMA\Documents\OTHER%20PROJECTS\EXPANSION%20OF%20SCH%20OF%20LANG%20%20LOTC%20VAL%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s>
    <sheetDataSet>
      <sheetData sheetId="0"/>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ase - condos"/>
      <sheetName val="Condo Pricing"/>
      <sheetName val="Construction Details"/>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
      <sheetName val="Rates"/>
      <sheetName val="Simulation"/>
      <sheetName val="PRELIMS"/>
      <sheetName val="BOQ"/>
      <sheetName val="BUILD UP"/>
      <sheetName val="BUILD UP  05 10 2015"/>
      <sheetName val="SEPTIC TANK"/>
      <sheetName val="PREL"/>
      <sheetName val="HB"/>
      <sheetName val="service"/>
      <sheetName val="GATE HOUSE"/>
      <sheetName val="EXTWENAL"/>
      <sheetName val="UTILITY"/>
      <sheetName val="FENCING"/>
      <sheetName val="GS "/>
    </sheetNames>
    <sheetDataSet>
      <sheetData sheetId="0">
        <row r="15">
          <cell r="B15">
            <v>3244.8</v>
          </cell>
        </row>
        <row r="77">
          <cell r="B77">
            <v>10845.33</v>
          </cell>
        </row>
        <row r="79">
          <cell r="B79">
            <v>400</v>
          </cell>
        </row>
        <row r="80">
          <cell r="B80">
            <v>450</v>
          </cell>
        </row>
        <row r="83">
          <cell r="B83">
            <v>2964</v>
          </cell>
        </row>
        <row r="85">
          <cell r="B85">
            <v>1221</v>
          </cell>
        </row>
        <row r="99">
          <cell r="B99">
            <v>220</v>
          </cell>
        </row>
        <row r="100">
          <cell r="B100">
            <v>240</v>
          </cell>
        </row>
        <row r="101">
          <cell r="B101">
            <v>260</v>
          </cell>
        </row>
        <row r="104">
          <cell r="B104">
            <v>237.6</v>
          </cell>
        </row>
        <row r="105">
          <cell r="B105">
            <v>286.2</v>
          </cell>
        </row>
        <row r="106">
          <cell r="B106">
            <v>367.2</v>
          </cell>
        </row>
        <row r="109">
          <cell r="B109">
            <v>1728</v>
          </cell>
        </row>
        <row r="114">
          <cell r="B114">
            <v>320</v>
          </cell>
        </row>
        <row r="115">
          <cell r="B115">
            <v>4450</v>
          </cell>
        </row>
        <row r="116">
          <cell r="B116">
            <v>2700</v>
          </cell>
        </row>
        <row r="130">
          <cell r="B130">
            <v>1751</v>
          </cell>
        </row>
        <row r="132">
          <cell r="B132">
            <v>7290</v>
          </cell>
        </row>
        <row r="140">
          <cell r="B140">
            <v>1100</v>
          </cell>
        </row>
        <row r="147">
          <cell r="B147">
            <v>31.5</v>
          </cell>
        </row>
        <row r="148">
          <cell r="B148">
            <v>1200</v>
          </cell>
        </row>
        <row r="150">
          <cell r="B150">
            <v>3000</v>
          </cell>
        </row>
        <row r="174">
          <cell r="B174">
            <v>7900</v>
          </cell>
        </row>
        <row r="177">
          <cell r="B177">
            <v>7000</v>
          </cell>
        </row>
        <row r="178">
          <cell r="B178">
            <v>3500</v>
          </cell>
        </row>
        <row r="179">
          <cell r="B179">
            <v>5500</v>
          </cell>
        </row>
        <row r="182">
          <cell r="B182">
            <v>17500</v>
          </cell>
        </row>
        <row r="183">
          <cell r="B183">
            <v>167.5</v>
          </cell>
        </row>
        <row r="188">
          <cell r="B188">
            <v>2700</v>
          </cell>
        </row>
        <row r="196">
          <cell r="B196">
            <v>18000</v>
          </cell>
        </row>
        <row r="198">
          <cell r="B198">
            <v>3</v>
          </cell>
        </row>
        <row r="207">
          <cell r="B207">
            <v>212.51</v>
          </cell>
        </row>
        <row r="208">
          <cell r="B208">
            <v>275</v>
          </cell>
        </row>
        <row r="209">
          <cell r="B209">
            <v>387.5</v>
          </cell>
        </row>
        <row r="211">
          <cell r="B211">
            <v>562.5</v>
          </cell>
        </row>
        <row r="212">
          <cell r="B212">
            <v>825</v>
          </cell>
        </row>
        <row r="245">
          <cell r="B245">
            <v>4350</v>
          </cell>
        </row>
        <row r="246">
          <cell r="B246">
            <v>2100</v>
          </cell>
        </row>
        <row r="247">
          <cell r="B247">
            <v>4000</v>
          </cell>
        </row>
        <row r="248">
          <cell r="B248">
            <v>17500</v>
          </cell>
        </row>
        <row r="249">
          <cell r="B249">
            <v>7000</v>
          </cell>
        </row>
        <row r="250">
          <cell r="B250">
            <v>13200</v>
          </cell>
        </row>
        <row r="252">
          <cell r="B252">
            <v>22000</v>
          </cell>
        </row>
        <row r="256">
          <cell r="B256">
            <v>6200</v>
          </cell>
        </row>
        <row r="257">
          <cell r="B257">
            <v>55000</v>
          </cell>
        </row>
        <row r="258">
          <cell r="B258">
            <v>1770.67</v>
          </cell>
        </row>
        <row r="259">
          <cell r="B259">
            <v>155</v>
          </cell>
        </row>
        <row r="264">
          <cell r="B264">
            <v>250</v>
          </cell>
        </row>
        <row r="265">
          <cell r="B265">
            <v>300</v>
          </cell>
        </row>
        <row r="270">
          <cell r="B270">
            <v>6640</v>
          </cell>
        </row>
        <row r="271">
          <cell r="B271">
            <v>553.33000000000004</v>
          </cell>
        </row>
        <row r="272">
          <cell r="B272">
            <v>885.33</v>
          </cell>
        </row>
        <row r="359">
          <cell r="B359">
            <v>21750</v>
          </cell>
        </row>
        <row r="361">
          <cell r="B361">
            <v>18000</v>
          </cell>
        </row>
        <row r="365">
          <cell r="B365">
            <v>32800</v>
          </cell>
        </row>
        <row r="366">
          <cell r="B366">
            <v>30000</v>
          </cell>
        </row>
        <row r="368">
          <cell r="B368">
            <v>54000</v>
          </cell>
        </row>
        <row r="371">
          <cell r="B371">
            <v>50400</v>
          </cell>
        </row>
        <row r="372">
          <cell r="B372">
            <v>155</v>
          </cell>
        </row>
        <row r="374">
          <cell r="B374">
            <v>2800</v>
          </cell>
        </row>
        <row r="375">
          <cell r="B375">
            <v>4000</v>
          </cell>
        </row>
        <row r="376">
          <cell r="B376">
            <v>180</v>
          </cell>
        </row>
        <row r="380">
          <cell r="B380">
            <v>4200</v>
          </cell>
        </row>
        <row r="382">
          <cell r="B382">
            <v>1800</v>
          </cell>
        </row>
        <row r="396">
          <cell r="B396">
            <v>7500</v>
          </cell>
        </row>
        <row r="397">
          <cell r="B397">
            <v>1260</v>
          </cell>
        </row>
        <row r="399">
          <cell r="B399">
            <v>3600</v>
          </cell>
        </row>
        <row r="400">
          <cell r="B400">
            <v>80000</v>
          </cell>
        </row>
        <row r="401">
          <cell r="B401">
            <v>10500</v>
          </cell>
        </row>
        <row r="402">
          <cell r="B402">
            <v>12000</v>
          </cell>
        </row>
        <row r="409">
          <cell r="B409">
            <v>750</v>
          </cell>
        </row>
        <row r="415">
          <cell r="B415">
            <v>1300</v>
          </cell>
        </row>
        <row r="421">
          <cell r="B421">
            <v>2692.5</v>
          </cell>
        </row>
        <row r="451">
          <cell r="B451">
            <v>20000</v>
          </cell>
        </row>
        <row r="452">
          <cell r="B452">
            <v>1600</v>
          </cell>
        </row>
        <row r="453">
          <cell r="B453">
            <v>1500</v>
          </cell>
        </row>
        <row r="454">
          <cell r="B454">
            <v>5000</v>
          </cell>
        </row>
        <row r="458">
          <cell r="B458">
            <v>3000</v>
          </cell>
        </row>
        <row r="463">
          <cell r="B463">
            <v>6490</v>
          </cell>
        </row>
        <row r="464">
          <cell r="B464">
            <v>450</v>
          </cell>
        </row>
        <row r="470">
          <cell r="B470">
            <v>3400</v>
          </cell>
        </row>
        <row r="490">
          <cell r="B490">
            <v>95</v>
          </cell>
        </row>
        <row r="501">
          <cell r="B501">
            <v>4200</v>
          </cell>
        </row>
        <row r="502">
          <cell r="B502">
            <v>4800</v>
          </cell>
        </row>
        <row r="516">
          <cell r="B516">
            <v>2250</v>
          </cell>
        </row>
        <row r="528">
          <cell r="B528">
            <v>30000</v>
          </cell>
        </row>
        <row r="529">
          <cell r="B529">
            <v>5400</v>
          </cell>
        </row>
        <row r="531">
          <cell r="B531">
            <v>2300</v>
          </cell>
        </row>
        <row r="533">
          <cell r="B533">
            <v>1200</v>
          </cell>
        </row>
        <row r="534">
          <cell r="B534">
            <v>330</v>
          </cell>
        </row>
        <row r="535">
          <cell r="B535">
            <v>375</v>
          </cell>
        </row>
        <row r="536">
          <cell r="B536">
            <v>600</v>
          </cell>
        </row>
        <row r="539">
          <cell r="B539">
            <v>7500</v>
          </cell>
        </row>
        <row r="560">
          <cell r="B560">
            <v>2600</v>
          </cell>
        </row>
        <row r="561">
          <cell r="B561">
            <v>5700</v>
          </cell>
        </row>
        <row r="563">
          <cell r="B563">
            <v>1328</v>
          </cell>
        </row>
        <row r="567">
          <cell r="B567">
            <v>3645</v>
          </cell>
        </row>
        <row r="569">
          <cell r="B569">
            <v>13379.6</v>
          </cell>
        </row>
        <row r="571">
          <cell r="B571">
            <v>0.22</v>
          </cell>
        </row>
        <row r="572">
          <cell r="B572">
            <v>2800</v>
          </cell>
        </row>
        <row r="579">
          <cell r="B579">
            <v>265.60000000000002</v>
          </cell>
        </row>
      </sheetData>
      <sheetData sheetId="1">
        <row r="52">
          <cell r="A52">
            <v>1</v>
          </cell>
        </row>
        <row r="54">
          <cell r="A54">
            <v>3</v>
          </cell>
        </row>
        <row r="56">
          <cell r="A56">
            <v>5</v>
          </cell>
        </row>
        <row r="61">
          <cell r="A61">
            <v>10</v>
          </cell>
        </row>
        <row r="63">
          <cell r="A63">
            <v>12</v>
          </cell>
        </row>
        <row r="66">
          <cell r="A66">
            <v>15</v>
          </cell>
        </row>
        <row r="70">
          <cell r="A70">
            <v>19</v>
          </cell>
        </row>
        <row r="71">
          <cell r="A71">
            <v>20</v>
          </cell>
        </row>
        <row r="86">
          <cell r="A86">
            <v>35</v>
          </cell>
        </row>
        <row r="93">
          <cell r="A93">
            <v>42</v>
          </cell>
        </row>
        <row r="95">
          <cell r="A95">
            <v>44</v>
          </cell>
        </row>
        <row r="98">
          <cell r="A98">
            <v>47</v>
          </cell>
        </row>
        <row r="99">
          <cell r="A99">
            <v>48</v>
          </cell>
        </row>
        <row r="105">
          <cell r="A105">
            <v>54</v>
          </cell>
        </row>
        <row r="106">
          <cell r="A106">
            <v>55</v>
          </cell>
        </row>
        <row r="108">
          <cell r="A108">
            <v>57</v>
          </cell>
        </row>
        <row r="113">
          <cell r="A113">
            <v>62</v>
          </cell>
        </row>
        <row r="114">
          <cell r="A114">
            <v>63</v>
          </cell>
        </row>
        <row r="118">
          <cell r="A118">
            <v>67</v>
          </cell>
        </row>
        <row r="119">
          <cell r="A119">
            <v>68</v>
          </cell>
        </row>
        <row r="120">
          <cell r="A120">
            <v>69</v>
          </cell>
        </row>
        <row r="216">
          <cell r="A216">
            <v>165</v>
          </cell>
        </row>
        <row r="237">
          <cell r="A237">
            <v>186</v>
          </cell>
        </row>
        <row r="238">
          <cell r="A238">
            <v>187</v>
          </cell>
        </row>
        <row r="241">
          <cell r="A241">
            <v>190</v>
          </cell>
        </row>
      </sheetData>
      <sheetData sheetId="2">
        <row r="1">
          <cell r="B1">
            <v>1</v>
          </cell>
        </row>
        <row r="2">
          <cell r="B2">
            <v>1</v>
          </cell>
        </row>
      </sheetData>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VI-8"/>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hape Codes"/>
      <sheetName val="Database"/>
      <sheetName val="Help"/>
      <sheetName val="Setup"/>
      <sheetName val="page"/>
      <sheetName val="Info"/>
      <sheetName val="check"/>
      <sheetName val="Shape_Codes"/>
    </sheetNames>
    <sheetDataSet>
      <sheetData sheetId="0"/>
      <sheetData sheetId="1"/>
      <sheetData sheetId="2"/>
      <sheetData sheetId="3"/>
      <sheetData sheetId="4"/>
      <sheetData sheetId="5"/>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work mb"/>
      <sheetName val="restaurant"/>
      <sheetName val="MOSQUE"/>
      <sheetName val="ABLUTION BLOCK"/>
      <sheetName val="GATE HOUSE"/>
      <sheetName val="EXTERNAL WORKS"/>
      <sheetName val="Summary"/>
      <sheetName val="Materials on site"/>
      <sheetName val="builder_work_mb"/>
      <sheetName val="ABLUTION_BLOCK"/>
      <sheetName val="GATE_HOUSE"/>
      <sheetName val="EXTERNAL_WORKS"/>
      <sheetName val="Materials_on_site"/>
      <sheetName val="builder_work_mb1"/>
      <sheetName val="ABLUTION_BLOCK1"/>
      <sheetName val="GATE_HOUSE1"/>
      <sheetName val="EXTERNAL_WORKS1"/>
      <sheetName val="Materials_on_site2"/>
      <sheetName val="Materials_on_site1"/>
      <sheetName val="builder_work_mb2"/>
      <sheetName val="ABLUTION_BLOCK2"/>
      <sheetName val="GATE_HOUSE2"/>
      <sheetName val="EXTERNAL_WORKS2"/>
      <sheetName val="Materials_on_site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AIN BUILDING"/>
      <sheetName val="BILL 06 EXTERNAL WRK"/>
      <sheetName val="SUMMARY"/>
      <sheetName val="REV"/>
      <sheetName val="Rates"/>
      <sheetName val="breakdown"/>
      <sheetName val="BUILD UP  05 10 2015"/>
      <sheetName val="Sheet2"/>
      <sheetName val="Elec "/>
      <sheetName val="plumbing"/>
      <sheetName val="Sheet3"/>
      <sheetName val="AC"/>
      <sheetName val="ELALN"/>
      <sheetName val="formworl"/>
      <sheetName val="MST"/>
      <sheetName val="MST orig"/>
      <sheetName val="lintel"/>
      <sheetName val="Prices"/>
      <sheetName val="Simulation"/>
    </sheetNames>
    <sheetDataSet>
      <sheetData sheetId="0"/>
      <sheetData sheetId="1"/>
      <sheetData sheetId="2"/>
      <sheetData sheetId="3"/>
      <sheetData sheetId="4"/>
      <sheetData sheetId="5">
        <row r="52">
          <cell r="A52">
            <v>1</v>
          </cell>
        </row>
        <row r="62">
          <cell r="A62">
            <v>11</v>
          </cell>
        </row>
        <row r="78">
          <cell r="A78">
            <v>27</v>
          </cell>
        </row>
        <row r="102">
          <cell r="A102">
            <v>51</v>
          </cell>
        </row>
        <row r="200">
          <cell r="A200">
            <v>149</v>
          </cell>
        </row>
        <row r="202">
          <cell r="A202">
            <v>151</v>
          </cell>
        </row>
        <row r="209">
          <cell r="A209">
            <v>158</v>
          </cell>
        </row>
        <row r="210">
          <cell r="A210">
            <v>159</v>
          </cell>
        </row>
        <row r="217">
          <cell r="A217">
            <v>166</v>
          </cell>
        </row>
        <row r="227">
          <cell r="A227">
            <v>176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15">
          <cell r="B15">
            <v>3244.8</v>
          </cell>
        </row>
      </sheetData>
      <sheetData sheetId="19">
        <row r="1">
          <cell r="B1">
            <v>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 Details"/>
      <sheetName val="Front Sheet"/>
      <sheetName val="Movement Sheet"/>
      <sheetName val="Valuation Form"/>
      <sheetName val="Safe Rec"/>
      <sheetName val="Val Summary"/>
      <sheetName val="Val Over Under Msd"/>
      <sheetName val="Val Over Under Var,etc"/>
      <sheetName val="Val Over Under Misc"/>
      <sheetName val="SC Ext Val"/>
      <sheetName val="Sub Contractors"/>
      <sheetName val="P&amp;G Allowables"/>
      <sheetName val="P&amp;G Detail"/>
      <sheetName val="P&amp;G Ext App"/>
      <sheetName val="Claims Analysis"/>
      <sheetName val="R.V.s"/>
      <sheetName val="Costs Adustments"/>
      <sheetName val="Over cost"/>
      <sheetName val="Site Clear"/>
      <sheetName val="Defect Liab"/>
      <sheetName val="Free Issues"/>
      <sheetName val="Further Res"/>
      <sheetName val="Payment Schedule"/>
      <sheetName val="Mat Wastage Report"/>
      <sheetName val="Output"/>
      <sheetName val="Purchased Vs delivered"/>
      <sheetName val="Recomended vs Purchased"/>
      <sheetName val="Macro Prepurchase"/>
      <sheetName val="MOS"/>
      <sheetName val="P&amp;G Recovery"/>
      <sheetName val="Net applied vs Certified"/>
      <sheetName val="Declared vs Certfied"/>
      <sheetName val="Applied vs Certfied"/>
      <sheetName val="Schedule of loss 1"/>
      <sheetName val="Lobour strength"/>
      <sheetName val="Commercial issues"/>
      <sheetName val="Assert Reg"/>
      <sheetName val="Schedule of loss"/>
      <sheetName val="Plant over cost"/>
      <sheetName val="Interest on late"/>
      <sheetName val="Plant Recovery"/>
      <sheetName val="Sheet1"/>
      <sheetName val="Module1"/>
    </sheetNames>
    <sheetDataSet>
      <sheetData sheetId="0" refreshError="1">
        <row r="50">
          <cell r="C50" t="str">
            <v xml:space="preserve">B310 </v>
          </cell>
        </row>
        <row r="51">
          <cell r="C51" t="str">
            <v>Masvingo State University</v>
          </cell>
        </row>
        <row r="52">
          <cell r="C52" t="str">
            <v>M. Malisa</v>
          </cell>
        </row>
        <row r="53">
          <cell r="C53">
            <v>39263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1">
          <cell r="J21">
            <v>64542500.470810004</v>
          </cell>
          <cell r="N21">
            <v>8401579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nu-Ptshp Splits"/>
      <sheetName val="Monthly"/>
      <sheetName val=" Draw Schedule"/>
      <sheetName val=" Budget"/>
      <sheetName val="Operating"/>
      <sheetName val="Annual Operating"/>
      <sheetName val="sources.uses"/>
      <sheetName val="NMTC Analysis"/>
      <sheetName val="PROGRAM "/>
      <sheetName val="Rent&amp;Exp Drivers"/>
      <sheetName val="dnu-Taxes"/>
      <sheetName val="dnu-LIBOR"/>
      <sheetName val="dnu-Cons Annual CF"/>
      <sheetName val="dnu - Cons Monthly"/>
      <sheetName val="dnu-Cons Budget"/>
      <sheetName val="dnu-Budget Drivers"/>
      <sheetName val="dnu-Residential Proforma"/>
      <sheetName val="dnu-Debt Service"/>
    </sheetNames>
    <sheetDataSet>
      <sheetData sheetId="0">
        <row r="9">
          <cell r="C9">
            <v>1</v>
          </cell>
        </row>
        <row r="15">
          <cell r="B15" t="str">
            <v>(not used)</v>
          </cell>
        </row>
        <row r="17">
          <cell r="B17" t="str">
            <v xml:space="preserve">The Strand </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tion"/>
      <sheetName val="Bud.Summ P n L"/>
      <sheetName val="Budgeted Profit and Loss"/>
      <sheetName val="Dep Sch"/>
      <sheetName val="Bud V Actual Funding"/>
      <sheetName val="Idale Const Budget Tracker"/>
      <sheetName val="Idale Cashflow"/>
      <sheetName val="Sheet5"/>
      <sheetName val="Variablecosts"/>
      <sheetName val="FixedCosts"/>
      <sheetName val="BEP"/>
      <sheetName val="Sheet1"/>
      <sheetName val="Break even analysis 2 as at 26t"/>
      <sheetName val="Break%20even%20analysis%202%20a"/>
    </sheetNames>
    <sheetDataSet>
      <sheetData sheetId="0"/>
      <sheetData sheetId="1">
        <row r="30">
          <cell r="U30">
            <v>229484730.66999999</v>
          </cell>
        </row>
      </sheetData>
      <sheetData sheetId="2"/>
      <sheetData sheetId="3"/>
      <sheetData sheetId="4"/>
      <sheetData sheetId="5"/>
      <sheetData sheetId="6"/>
      <sheetData sheetId="7"/>
      <sheetData sheetId="8"/>
      <sheetData sheetId="9"/>
      <sheetData sheetId="10">
        <row r="4">
          <cell r="C4">
            <v>9000000</v>
          </cell>
        </row>
        <row r="5">
          <cell r="C5">
            <v>2000</v>
          </cell>
        </row>
        <row r="7">
          <cell r="C7">
            <v>12401371676.029423</v>
          </cell>
        </row>
        <row r="8">
          <cell r="C8">
            <v>1505634518.6668048</v>
          </cell>
        </row>
        <row r="10">
          <cell r="C10">
            <v>2799314.1619852884</v>
          </cell>
        </row>
        <row r="11">
          <cell r="C11">
            <v>5598628323.9705763</v>
          </cell>
        </row>
      </sheetData>
      <sheetData sheetId="11"/>
      <sheetData sheetId="12"/>
      <sheetData sheetId="1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99 "/>
      <sheetName val="Oct-99"/>
      <sheetName val="Nov-99"/>
      <sheetName val="DECEMBER-99"/>
      <sheetName val="JAN-2000"/>
      <sheetName val="FEB-2000"/>
      <sheetName val="MARCH-2000"/>
      <sheetName val="APRIL-2000"/>
      <sheetName val="MAY-2000 "/>
      <sheetName val="JUNE-2000"/>
      <sheetName val="JULY-2000 "/>
      <sheetName val="AUG,-2000 "/>
      <sheetName val="SEPT-2000 "/>
      <sheetName val="OCT-2000 "/>
      <sheetName val="Nov-2000 "/>
      <sheetName val="DEC-2000"/>
      <sheetName val="JAN-2001"/>
      <sheetName val="FEB-2001"/>
      <sheetName val="MARCH-200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EPT-99_"/>
      <sheetName val="MAY-2000_"/>
      <sheetName val="JULY-2000_"/>
      <sheetName val="AUG,-2000_"/>
      <sheetName val="SEPT-2000_"/>
      <sheetName val="OCT-2000_"/>
      <sheetName val="Nov-2000_"/>
      <sheetName val="SEPT-99_1"/>
      <sheetName val="MAY-2000_1"/>
      <sheetName val="JULY-2000_1"/>
      <sheetName val="AUG,-2000_1"/>
      <sheetName val="SEPT-2000_1"/>
      <sheetName val="OCT-2000_1"/>
      <sheetName val="Nov-2000_1"/>
      <sheetName val="SEPT-99_3"/>
      <sheetName val="MAY-2000_3"/>
      <sheetName val="JULY-2000_3"/>
      <sheetName val="AUG,-2000_3"/>
      <sheetName val="SEPT-2000_3"/>
      <sheetName val="OCT-2000_3"/>
      <sheetName val="Nov-2000_3"/>
      <sheetName val="SEPT-99_2"/>
      <sheetName val="MAY-2000_2"/>
      <sheetName val="JULY-2000_2"/>
      <sheetName val="AUG,-2000_2"/>
      <sheetName val="SEPT-2000_2"/>
      <sheetName val="OCT-2000_2"/>
      <sheetName val="Nov-2000_2"/>
      <sheetName val="SEPT-99_4"/>
      <sheetName val="MAY-2000_4"/>
      <sheetName val="JULY-2000_4"/>
      <sheetName val="AUG,-2000_4"/>
      <sheetName val="SEPT-2000_4"/>
      <sheetName val="OCT-2000_4"/>
      <sheetName val="Nov-2000_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Total Summary"/>
      <sheetName val="1-Total Summary"/>
      <sheetName val="2-BTS Site Models"/>
      <sheetName val="3-BTS swap Model"/>
      <sheetName val="4-BSC Models"/>
      <sheetName val="5-BTS Unit Prices"/>
      <sheetName val="6-Other BSS &amp; GPRS Equip"/>
      <sheetName val="7-Aerials Unit Price"/>
      <sheetName val="8-MW&amp;SDH&amp;HDSL"/>
      <sheetName val="9-Spares"/>
      <sheetName val="10-SW Options"/>
      <sheetName val="11-Additional_Services "/>
      <sheetName val="12-Op. Additional Items"/>
      <sheetName val="     "/>
      <sheetName val="BOQ"/>
      <sheetName val="3-BTS Site Models Swap"/>
      <sheetName val="Sites Models Unit P"/>
      <sheetName val="Inputs"/>
      <sheetName val="Comparis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
          <cell r="C6">
            <v>0.225806451612903</v>
          </cell>
        </row>
      </sheetData>
      <sheetData sheetId="1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EXPORT from accounts"/>
      <sheetName val="EXPORT"/>
      <sheetName val="P&amp;G"/>
      <sheetName val="Allow Workings"/>
      <sheetName val="Cost Analysis (1)"/>
      <sheetName val="ICC's CERTIFIED"/>
      <sheetName val="sorted"/>
      <sheetName val="EXPORT 08"/>
      <sheetName val="Sheet3"/>
      <sheetName val="Value Remaining"/>
      <sheetName val="Re-Allocations"/>
      <sheetName val="Est. Allow vrs Cost"/>
      <sheetName val="Man costs"/>
      <sheetName val="Cost Report"/>
      <sheetName val="Labour Analysis"/>
      <sheetName val="Sub Analysis"/>
      <sheetName val="P &amp; G Spread"/>
    </sheetNames>
    <sheetDataSet>
      <sheetData sheetId="0"/>
      <sheetData sheetId="1"/>
      <sheetData sheetId="2"/>
      <sheetData sheetId="3"/>
      <sheetData sheetId="4"/>
      <sheetData sheetId="5"/>
      <sheetData sheetId="6"/>
      <sheetData sheetId="7"/>
      <sheetData sheetId="8"/>
      <sheetData sheetId="9"/>
      <sheetData sheetId="10">
        <row r="102">
          <cell r="D102">
            <v>177650747.26999998</v>
          </cell>
        </row>
        <row r="106">
          <cell r="C106">
            <v>826618993.43339002</v>
          </cell>
        </row>
      </sheetData>
      <sheetData sheetId="11"/>
      <sheetData sheetId="12"/>
      <sheetData sheetId="13"/>
      <sheetData sheetId="14"/>
      <sheetData sheetId="15"/>
      <sheetData sheetId="16"/>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Rate"/>
      <sheetName val="MPDU-14.8%"/>
      <sheetName val="Total"/>
      <sheetName val="Model"/>
    </sheetNames>
    <sheetDataSet>
      <sheetData sheetId="0" refreshError="1"/>
      <sheetData sheetId="1" refreshError="1"/>
      <sheetData sheetId="2" refreshError="1"/>
      <sheetData sheetId="3"/>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G PRODUCT MENU"/>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esel claim"/>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
      <sheetName val="Assumptions"/>
      <sheetName val="Unit Mix"/>
      <sheetName val="Project Budget"/>
      <sheetName val="Monthly CF"/>
      <sheetName val="Quarterly CF"/>
      <sheetName val="Yearly CF"/>
      <sheetName val="OS"/>
      <sheetName val="Construction Schedule"/>
      <sheetName val="Construction Matrix"/>
    </sheetNames>
    <sheetDataSet>
      <sheetData sheetId="0"/>
      <sheetData sheetId="1"/>
      <sheetData sheetId="2">
        <row r="26">
          <cell r="G26">
            <v>325</v>
          </cell>
          <cell r="K26">
            <v>304852</v>
          </cell>
        </row>
      </sheetData>
      <sheetData sheetId="3"/>
      <sheetData sheetId="4"/>
      <sheetData sheetId="5"/>
      <sheetData sheetId="6"/>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51-55 (2)"/>
      <sheetName val="TH51-55"/>
      <sheetName val="terrace"/>
      <sheetName val="Main building (material)"/>
    </sheetNames>
    <sheetDataSet>
      <sheetData sheetId="0"/>
      <sheetData sheetId="1"/>
      <sheetData sheetId="2">
        <row r="642">
          <cell r="F642">
            <v>8986900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FURN LECT HALLS"/>
      <sheetName val="FUR CHIEF LECT"/>
      <sheetName val="FUR 4 OFF"/>
      <sheetName val="GS"/>
      <sheetName val="GS  FOR TENDERS"/>
      <sheetName val="GS FOR TENDERS BLANK"/>
      <sheetName val="FURN"/>
      <sheetName val="MAIN_BLD_TAKE_OFF"/>
      <sheetName val="MAIN_BLD_BILLS"/>
      <sheetName val="FURN_LECT_HALLS"/>
      <sheetName val="FUR_CHIEF_LECT"/>
      <sheetName val="FUR_4_OFF"/>
      <sheetName val="GS__FOR_TENDERS"/>
      <sheetName val="GS_FOR_TENDERS_BLANK"/>
      <sheetName val="MAIN_BLD_TAKE_OFF1"/>
      <sheetName val="MAIN_BLD_BILLS1"/>
      <sheetName val="FURN_LECT_HALLS1"/>
      <sheetName val="FUR_CHIEF_LECT1"/>
      <sheetName val="FUR_4_OFF1"/>
      <sheetName val="GS__FOR_TENDERS1"/>
      <sheetName val="GS_FOR_TENDERS_BLANK1"/>
      <sheetName val="MAIN_BLD_TAKE_OFF3"/>
      <sheetName val="MAIN_BLD_BILLS3"/>
      <sheetName val="FURN_LECT_HALLS3"/>
      <sheetName val="FUR_CHIEF_LECT3"/>
      <sheetName val="FUR_4_OFF3"/>
      <sheetName val="GS__FOR_TENDERS3"/>
      <sheetName val="GS_FOR_TENDERS_BLANK3"/>
      <sheetName val="MAIN_BLD_TAKE_OFF2"/>
      <sheetName val="MAIN_BLD_BILLS2"/>
      <sheetName val="FURN_LECT_HALLS2"/>
      <sheetName val="FUR_CHIEF_LECT2"/>
      <sheetName val="FUR_4_OFF2"/>
      <sheetName val="GS__FOR_TENDERS2"/>
      <sheetName val="GS_FOR_TENDERS_BLANK2"/>
      <sheetName val="MAIN_BLD_TAKE_OFF4"/>
      <sheetName val="MAIN_BLD_BILLS4"/>
      <sheetName val="FURN_LECT_HALLS4"/>
      <sheetName val="FUR_CHIEF_LECT4"/>
      <sheetName val="FUR_4_OFF4"/>
      <sheetName val="GS__FOR_TENDERS4"/>
      <sheetName val="GS_FOR_TENDERS_BLANK4"/>
      <sheetName val="MAIN_BLD_TAKE_OFF5"/>
      <sheetName val="MAIN_BLD_BILLS5"/>
      <sheetName val="FURN_LECT_HALLS5"/>
      <sheetName val="FUR_CHIEF_LECT5"/>
      <sheetName val="FUR_4_OFF5"/>
      <sheetName val="GS__FOR_TENDERS5"/>
      <sheetName val="GS_FOR_TENDERS_BLANK5"/>
    </sheetNames>
    <sheetDataSet>
      <sheetData sheetId="0">
        <row r="18">
          <cell r="I18">
            <v>24</v>
          </cell>
        </row>
        <row r="34">
          <cell r="I34">
            <v>0.69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8">
          <cell r="I18">
            <v>24</v>
          </cell>
        </row>
      </sheetData>
      <sheetData sheetId="10"/>
      <sheetData sheetId="11"/>
      <sheetData sheetId="12"/>
      <sheetData sheetId="13"/>
      <sheetData sheetId="14"/>
      <sheetData sheetId="15"/>
      <sheetData sheetId="16">
        <row r="18">
          <cell r="I18">
            <v>24</v>
          </cell>
        </row>
      </sheetData>
      <sheetData sheetId="17"/>
      <sheetData sheetId="18"/>
      <sheetData sheetId="19"/>
      <sheetData sheetId="20"/>
      <sheetData sheetId="21"/>
      <sheetData sheetId="22"/>
      <sheetData sheetId="23">
        <row r="18">
          <cell r="I18">
            <v>24</v>
          </cell>
        </row>
      </sheetData>
      <sheetData sheetId="24"/>
      <sheetData sheetId="25"/>
      <sheetData sheetId="26"/>
      <sheetData sheetId="27"/>
      <sheetData sheetId="28"/>
      <sheetData sheetId="29"/>
      <sheetData sheetId="30">
        <row r="18">
          <cell r="I18">
            <v>24</v>
          </cell>
        </row>
      </sheetData>
      <sheetData sheetId="31"/>
      <sheetData sheetId="32"/>
      <sheetData sheetId="33"/>
      <sheetData sheetId="34"/>
      <sheetData sheetId="35"/>
      <sheetData sheetId="36"/>
      <sheetData sheetId="37">
        <row r="18">
          <cell r="I18">
            <v>24</v>
          </cell>
        </row>
      </sheetData>
      <sheetData sheetId="38"/>
      <sheetData sheetId="39"/>
      <sheetData sheetId="40"/>
      <sheetData sheetId="41"/>
      <sheetData sheetId="42"/>
      <sheetData sheetId="43"/>
      <sheetData sheetId="44">
        <row r="18">
          <cell r="I18">
            <v>24</v>
          </cell>
        </row>
      </sheetData>
      <sheetData sheetId="45"/>
      <sheetData sheetId="46"/>
      <sheetData sheetId="47"/>
      <sheetData sheetId="48"/>
      <sheetData sheetId="49"/>
      <sheetData sheetId="5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Take off"/>
    </sheetNames>
    <sheetDataSet>
      <sheetData sheetId="0"/>
      <sheetData sheetId="1">
        <row r="5">
          <cell r="L5">
            <v>44</v>
          </cell>
        </row>
        <row r="6">
          <cell r="H6">
            <v>18</v>
          </cell>
        </row>
        <row r="9">
          <cell r="P9">
            <v>121</v>
          </cell>
        </row>
        <row r="10">
          <cell r="D10">
            <v>121</v>
          </cell>
        </row>
        <row r="14">
          <cell r="D14">
            <v>66</v>
          </cell>
        </row>
        <row r="26">
          <cell r="L26">
            <v>106</v>
          </cell>
        </row>
        <row r="27">
          <cell r="H27">
            <v>12</v>
          </cell>
        </row>
        <row r="41">
          <cell r="K41">
            <v>8.1</v>
          </cell>
        </row>
        <row r="44">
          <cell r="K44">
            <v>12.96</v>
          </cell>
        </row>
        <row r="47">
          <cell r="K47">
            <v>10.26</v>
          </cell>
        </row>
        <row r="52">
          <cell r="D52">
            <v>72</v>
          </cell>
          <cell r="H52">
            <v>72</v>
          </cell>
        </row>
        <row r="71">
          <cell r="D71">
            <v>121</v>
          </cell>
        </row>
        <row r="75">
          <cell r="D75">
            <v>48</v>
          </cell>
        </row>
        <row r="77">
          <cell r="L77">
            <v>8</v>
          </cell>
        </row>
        <row r="78">
          <cell r="H78">
            <v>1</v>
          </cell>
          <cell r="P78">
            <v>188.08333333333334</v>
          </cell>
        </row>
        <row r="86">
          <cell r="L86">
            <v>194.67692307692309</v>
          </cell>
        </row>
        <row r="89">
          <cell r="D89">
            <v>191</v>
          </cell>
          <cell r="H89">
            <v>15.786666666666667</v>
          </cell>
        </row>
        <row r="113">
          <cell r="H113">
            <v>132</v>
          </cell>
        </row>
        <row r="114">
          <cell r="D114">
            <v>8</v>
          </cell>
        </row>
        <row r="127">
          <cell r="H127">
            <v>244</v>
          </cell>
        </row>
        <row r="128">
          <cell r="D128">
            <v>23</v>
          </cell>
        </row>
        <row r="136">
          <cell r="D136">
            <v>200.41666666666666</v>
          </cell>
        </row>
        <row r="142">
          <cell r="D142">
            <v>740</v>
          </cell>
        </row>
        <row r="149">
          <cell r="D149">
            <v>569.89866666666671</v>
          </cell>
        </row>
        <row r="161">
          <cell r="D161">
            <v>519.85</v>
          </cell>
        </row>
        <row r="173">
          <cell r="P173">
            <v>147</v>
          </cell>
        </row>
        <row r="174">
          <cell r="D174">
            <v>26</v>
          </cell>
          <cell r="H174">
            <v>116</v>
          </cell>
          <cell r="L174">
            <v>24</v>
          </cell>
        </row>
        <row r="178">
          <cell r="P178">
            <v>51</v>
          </cell>
        </row>
        <row r="179">
          <cell r="H179">
            <v>54</v>
          </cell>
        </row>
        <row r="244">
          <cell r="H244">
            <v>30</v>
          </cell>
        </row>
        <row r="248">
          <cell r="H248">
            <v>7</v>
          </cell>
        </row>
        <row r="252">
          <cell r="H252">
            <v>106</v>
          </cell>
        </row>
        <row r="256">
          <cell r="H256">
            <v>9</v>
          </cell>
        </row>
        <row r="258">
          <cell r="D258">
            <v>9</v>
          </cell>
        </row>
        <row r="260">
          <cell r="H260">
            <v>17</v>
          </cell>
        </row>
        <row r="264">
          <cell r="H264">
            <v>5</v>
          </cell>
        </row>
        <row r="305">
          <cell r="H305">
            <v>228</v>
          </cell>
        </row>
        <row r="306">
          <cell r="D306">
            <v>21</v>
          </cell>
        </row>
        <row r="315">
          <cell r="H315">
            <v>15</v>
          </cell>
        </row>
        <row r="316">
          <cell r="D316">
            <v>2</v>
          </cell>
        </row>
        <row r="474">
          <cell r="D474">
            <v>203.59499999999997</v>
          </cell>
          <cell r="L474">
            <v>38.122500000000002</v>
          </cell>
        </row>
        <row r="475">
          <cell r="H475">
            <v>2.9227250000000002</v>
          </cell>
        </row>
        <row r="704">
          <cell r="D704">
            <v>156.81</v>
          </cell>
          <cell r="L704">
            <v>10.0395</v>
          </cell>
        </row>
        <row r="705">
          <cell r="H705">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BD Duplex"/>
      <sheetName val="AJIWE COST ESTIMATE (Revised)"/>
      <sheetName val="ANALYSIS (REVISED)"/>
      <sheetName val="PLASTERING SUMMARY"/>
      <sheetName val="CONCRETE SUMMARY"/>
      <sheetName val="1and2 bdrm Apartment (12UNIT) "/>
      <sheetName val="4 bedroom 6unit "/>
      <sheetName val="4 bedroom 5unit "/>
      <sheetName val="2bd terrace 8unit"/>
      <sheetName val="2bd terrace 6Unit"/>
      <sheetName val="3 BEDROOM 7UNIT"/>
      <sheetName val="AJIWE STRIP MALL "/>
      <sheetName val="1BD APPARTMENT"/>
      <sheetName val="RATE BUILD UP (Projection)"/>
      <sheetName val="RATE BUILD UP (Projection) (2)"/>
      <sheetName val="5BD ELECT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6">
          <cell r="E46">
            <v>150</v>
          </cell>
        </row>
        <row r="49">
          <cell r="E49">
            <v>250</v>
          </cell>
        </row>
        <row r="54">
          <cell r="E54">
            <v>150</v>
          </cell>
        </row>
        <row r="117">
          <cell r="E117">
            <v>350</v>
          </cell>
        </row>
        <row r="708">
          <cell r="E708">
            <v>450</v>
          </cell>
        </row>
        <row r="712">
          <cell r="E712">
            <v>550</v>
          </cell>
        </row>
        <row r="729">
          <cell r="E729">
            <v>400</v>
          </cell>
        </row>
        <row r="730">
          <cell r="E730">
            <v>500</v>
          </cell>
        </row>
      </sheetData>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FURN LECT HALLS"/>
      <sheetName val="FUR CHIEF LECT"/>
      <sheetName val="FUR 4 OFF"/>
      <sheetName val="GS"/>
      <sheetName val="GS  FOR TENDERS"/>
      <sheetName val="GS FOR TENDERS BLANK"/>
      <sheetName val="FURN"/>
    </sheetNames>
    <sheetDataSet>
      <sheetData sheetId="0">
        <row r="18">
          <cell r="I18">
            <v>24</v>
          </cell>
        </row>
        <row r="34">
          <cell r="I34">
            <v>0.69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MAIN_BLD_TAKE_OFF"/>
      <sheetName val="MAIN_BLD_BILLS"/>
      <sheetName val="LIST_OF_REINF"/>
      <sheetName val="STORE_(2)"/>
      <sheetName val="MAIN_BLD_TAKE_OFF2"/>
      <sheetName val="MAIN_BLD_BILLS1"/>
      <sheetName val="LIST_OF_REINF1"/>
      <sheetName val="STORE_(2)1"/>
      <sheetName val="MAIN_BLD_TAKE_OFF1"/>
      <sheetName val="MAIN_BLD_TAKE_OFF3"/>
      <sheetName val="MAIN_BLD_BILLS2"/>
      <sheetName val="LIST_OF_REINF2"/>
      <sheetName val="STORE_(2)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1_allcaz"/>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s>
    <sheetDataSet>
      <sheetData sheetId="0"/>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MAIN_BLD_TAKE_OFF"/>
      <sheetName val="MAIN_BLD_BILLS"/>
      <sheetName val="LIST_OF_REINF"/>
      <sheetName val="STORE_(2)"/>
      <sheetName val="MAIN_BLD_TAKE_OFF1"/>
      <sheetName val="MAIN_BLD_BILLS1"/>
      <sheetName val="LIST_OF_REINF1"/>
      <sheetName val="STORE_(2)1"/>
      <sheetName val="MAIN_BLD_TAKE_OFF3"/>
      <sheetName val="MAIN_BLD_BILLS3"/>
      <sheetName val="LIST_OF_REINF3"/>
      <sheetName val="STORE_(2)3"/>
      <sheetName val="MAIN_BLD_TAKE_OFF2"/>
      <sheetName val="MAIN_BLD_BILLS2"/>
      <sheetName val="LIST_OF_REINF2"/>
      <sheetName val="STORE_(2)2"/>
      <sheetName val="MAIN_BLD_TAKE_OFF4"/>
      <sheetName val="MAIN_BLD_BILLS4"/>
      <sheetName val="LIST_OF_REINF4"/>
      <sheetName val="STORE_(2)4"/>
      <sheetName val="MAIN_BLD_TAKE_OFF5"/>
      <sheetName val="MAIN_BLD_BILLS5"/>
      <sheetName val="LIST_OF_REINF5"/>
      <sheetName val="STORE_(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work mb"/>
      <sheetName val="EXTERNAL WORKS"/>
      <sheetName val="Summary"/>
      <sheetName val="previus pay"/>
      <sheetName val="Materials on site"/>
      <sheetName val="builder_work_mb"/>
      <sheetName val="EXTERNAL_WORKS"/>
      <sheetName val="previus_pay"/>
      <sheetName val="Materials_on_site"/>
      <sheetName val="builder_work_mb1"/>
      <sheetName val="EXTERNAL_WORKS1"/>
      <sheetName val="previus_pay1"/>
      <sheetName val="Materials_on_site1"/>
      <sheetName val="builder_work_mb3"/>
      <sheetName val="EXTERNAL_WORKS3"/>
      <sheetName val="previus_pay3"/>
      <sheetName val="Materials_on_site3"/>
      <sheetName val="builder_work_mb2"/>
      <sheetName val="EXTERNAL_WORKS2"/>
      <sheetName val="previus_pay2"/>
      <sheetName val="Materials_on_site2"/>
      <sheetName val="builder_work_mb4"/>
      <sheetName val="EXTERNAL_WORKS4"/>
      <sheetName val="previus_pay4"/>
      <sheetName val="Materials_on_site4"/>
      <sheetName val="builder_work_mb5"/>
      <sheetName val="EXTERNAL_WORKS5"/>
      <sheetName val="previus_pay5"/>
      <sheetName val="Materials_on_site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59"/>
  <sheetViews>
    <sheetView view="pageBreakPreview" topLeftCell="A786" zoomScale="98" zoomScaleNormal="100" zoomScaleSheetLayoutView="98" workbookViewId="0">
      <selection activeCell="C829" sqref="C829"/>
    </sheetView>
  </sheetViews>
  <sheetFormatPr defaultColWidth="8.85546875" defaultRowHeight="12" x14ac:dyDescent="0.2"/>
  <cols>
    <col min="1" max="1" width="4.5703125" style="8" customWidth="1"/>
    <col min="2" max="2" width="43.85546875" style="6" customWidth="1"/>
    <col min="3" max="3" width="7.42578125" style="41" customWidth="1"/>
    <col min="4" max="4" width="5.7109375" style="8" customWidth="1"/>
    <col min="5" max="5" width="14.42578125" style="15" customWidth="1"/>
    <col min="6" max="6" width="18" style="15" customWidth="1"/>
    <col min="7" max="7" width="8.85546875" style="12"/>
    <col min="8" max="8" width="13.42578125" style="12" customWidth="1"/>
    <col min="9" max="9" width="9.42578125" style="12" bestFit="1" customWidth="1"/>
    <col min="10" max="256" width="8.85546875" style="12"/>
    <col min="257" max="257" width="4.5703125" style="12" customWidth="1"/>
    <col min="258" max="258" width="41.42578125" style="12" customWidth="1"/>
    <col min="259" max="259" width="7.42578125" style="12" customWidth="1"/>
    <col min="260" max="260" width="5.7109375" style="12" customWidth="1"/>
    <col min="261" max="261" width="12.5703125" style="12" customWidth="1"/>
    <col min="262" max="262" width="19" style="12" customWidth="1"/>
    <col min="263" max="263" width="8.85546875" style="12"/>
    <col min="264" max="264" width="12.140625" style="12" customWidth="1"/>
    <col min="265" max="512" width="8.85546875" style="12"/>
    <col min="513" max="513" width="4.5703125" style="12" customWidth="1"/>
    <col min="514" max="514" width="41.42578125" style="12" customWidth="1"/>
    <col min="515" max="515" width="7.42578125" style="12" customWidth="1"/>
    <col min="516" max="516" width="5.7109375" style="12" customWidth="1"/>
    <col min="517" max="517" width="12.5703125" style="12" customWidth="1"/>
    <col min="518" max="518" width="19" style="12" customWidth="1"/>
    <col min="519" max="519" width="8.85546875" style="12"/>
    <col min="520" max="520" width="12.140625" style="12" customWidth="1"/>
    <col min="521" max="768" width="8.85546875" style="12"/>
    <col min="769" max="769" width="4.5703125" style="12" customWidth="1"/>
    <col min="770" max="770" width="41.42578125" style="12" customWidth="1"/>
    <col min="771" max="771" width="7.42578125" style="12" customWidth="1"/>
    <col min="772" max="772" width="5.7109375" style="12" customWidth="1"/>
    <col min="773" max="773" width="12.5703125" style="12" customWidth="1"/>
    <col min="774" max="774" width="19" style="12" customWidth="1"/>
    <col min="775" max="775" width="8.85546875" style="12"/>
    <col min="776" max="776" width="12.140625" style="12" customWidth="1"/>
    <col min="777" max="1024" width="8.85546875" style="12"/>
    <col min="1025" max="1025" width="4.5703125" style="12" customWidth="1"/>
    <col min="1026" max="1026" width="41.42578125" style="12" customWidth="1"/>
    <col min="1027" max="1027" width="7.42578125" style="12" customWidth="1"/>
    <col min="1028" max="1028" width="5.7109375" style="12" customWidth="1"/>
    <col min="1029" max="1029" width="12.5703125" style="12" customWidth="1"/>
    <col min="1030" max="1030" width="19" style="12" customWidth="1"/>
    <col min="1031" max="1031" width="8.85546875" style="12"/>
    <col min="1032" max="1032" width="12.140625" style="12" customWidth="1"/>
    <col min="1033" max="1280" width="8.85546875" style="12"/>
    <col min="1281" max="1281" width="4.5703125" style="12" customWidth="1"/>
    <col min="1282" max="1282" width="41.42578125" style="12" customWidth="1"/>
    <col min="1283" max="1283" width="7.42578125" style="12" customWidth="1"/>
    <col min="1284" max="1284" width="5.7109375" style="12" customWidth="1"/>
    <col min="1285" max="1285" width="12.5703125" style="12" customWidth="1"/>
    <col min="1286" max="1286" width="19" style="12" customWidth="1"/>
    <col min="1287" max="1287" width="8.85546875" style="12"/>
    <col min="1288" max="1288" width="12.140625" style="12" customWidth="1"/>
    <col min="1289" max="1536" width="8.85546875" style="12"/>
    <col min="1537" max="1537" width="4.5703125" style="12" customWidth="1"/>
    <col min="1538" max="1538" width="41.42578125" style="12" customWidth="1"/>
    <col min="1539" max="1539" width="7.42578125" style="12" customWidth="1"/>
    <col min="1540" max="1540" width="5.7109375" style="12" customWidth="1"/>
    <col min="1541" max="1541" width="12.5703125" style="12" customWidth="1"/>
    <col min="1542" max="1542" width="19" style="12" customWidth="1"/>
    <col min="1543" max="1543" width="8.85546875" style="12"/>
    <col min="1544" max="1544" width="12.140625" style="12" customWidth="1"/>
    <col min="1545" max="1792" width="8.85546875" style="12"/>
    <col min="1793" max="1793" width="4.5703125" style="12" customWidth="1"/>
    <col min="1794" max="1794" width="41.42578125" style="12" customWidth="1"/>
    <col min="1795" max="1795" width="7.42578125" style="12" customWidth="1"/>
    <col min="1796" max="1796" width="5.7109375" style="12" customWidth="1"/>
    <col min="1797" max="1797" width="12.5703125" style="12" customWidth="1"/>
    <col min="1798" max="1798" width="19" style="12" customWidth="1"/>
    <col min="1799" max="1799" width="8.85546875" style="12"/>
    <col min="1800" max="1800" width="12.140625" style="12" customWidth="1"/>
    <col min="1801" max="2048" width="8.85546875" style="12"/>
    <col min="2049" max="2049" width="4.5703125" style="12" customWidth="1"/>
    <col min="2050" max="2050" width="41.42578125" style="12" customWidth="1"/>
    <col min="2051" max="2051" width="7.42578125" style="12" customWidth="1"/>
    <col min="2052" max="2052" width="5.7109375" style="12" customWidth="1"/>
    <col min="2053" max="2053" width="12.5703125" style="12" customWidth="1"/>
    <col min="2054" max="2054" width="19" style="12" customWidth="1"/>
    <col min="2055" max="2055" width="8.85546875" style="12"/>
    <col min="2056" max="2056" width="12.140625" style="12" customWidth="1"/>
    <col min="2057" max="2304" width="8.85546875" style="12"/>
    <col min="2305" max="2305" width="4.5703125" style="12" customWidth="1"/>
    <col min="2306" max="2306" width="41.42578125" style="12" customWidth="1"/>
    <col min="2307" max="2307" width="7.42578125" style="12" customWidth="1"/>
    <col min="2308" max="2308" width="5.7109375" style="12" customWidth="1"/>
    <col min="2309" max="2309" width="12.5703125" style="12" customWidth="1"/>
    <col min="2310" max="2310" width="19" style="12" customWidth="1"/>
    <col min="2311" max="2311" width="8.85546875" style="12"/>
    <col min="2312" max="2312" width="12.140625" style="12" customWidth="1"/>
    <col min="2313" max="2560" width="8.85546875" style="12"/>
    <col min="2561" max="2561" width="4.5703125" style="12" customWidth="1"/>
    <col min="2562" max="2562" width="41.42578125" style="12" customWidth="1"/>
    <col min="2563" max="2563" width="7.42578125" style="12" customWidth="1"/>
    <col min="2564" max="2564" width="5.7109375" style="12" customWidth="1"/>
    <col min="2565" max="2565" width="12.5703125" style="12" customWidth="1"/>
    <col min="2566" max="2566" width="19" style="12" customWidth="1"/>
    <col min="2567" max="2567" width="8.85546875" style="12"/>
    <col min="2568" max="2568" width="12.140625" style="12" customWidth="1"/>
    <col min="2569" max="2816" width="8.85546875" style="12"/>
    <col min="2817" max="2817" width="4.5703125" style="12" customWidth="1"/>
    <col min="2818" max="2818" width="41.42578125" style="12" customWidth="1"/>
    <col min="2819" max="2819" width="7.42578125" style="12" customWidth="1"/>
    <col min="2820" max="2820" width="5.7109375" style="12" customWidth="1"/>
    <col min="2821" max="2821" width="12.5703125" style="12" customWidth="1"/>
    <col min="2822" max="2822" width="19" style="12" customWidth="1"/>
    <col min="2823" max="2823" width="8.85546875" style="12"/>
    <col min="2824" max="2824" width="12.140625" style="12" customWidth="1"/>
    <col min="2825" max="3072" width="8.85546875" style="12"/>
    <col min="3073" max="3073" width="4.5703125" style="12" customWidth="1"/>
    <col min="3074" max="3074" width="41.42578125" style="12" customWidth="1"/>
    <col min="3075" max="3075" width="7.42578125" style="12" customWidth="1"/>
    <col min="3076" max="3076" width="5.7109375" style="12" customWidth="1"/>
    <col min="3077" max="3077" width="12.5703125" style="12" customWidth="1"/>
    <col min="3078" max="3078" width="19" style="12" customWidth="1"/>
    <col min="3079" max="3079" width="8.85546875" style="12"/>
    <col min="3080" max="3080" width="12.140625" style="12" customWidth="1"/>
    <col min="3081" max="3328" width="8.85546875" style="12"/>
    <col min="3329" max="3329" width="4.5703125" style="12" customWidth="1"/>
    <col min="3330" max="3330" width="41.42578125" style="12" customWidth="1"/>
    <col min="3331" max="3331" width="7.42578125" style="12" customWidth="1"/>
    <col min="3332" max="3332" width="5.7109375" style="12" customWidth="1"/>
    <col min="3333" max="3333" width="12.5703125" style="12" customWidth="1"/>
    <col min="3334" max="3334" width="19" style="12" customWidth="1"/>
    <col min="3335" max="3335" width="8.85546875" style="12"/>
    <col min="3336" max="3336" width="12.140625" style="12" customWidth="1"/>
    <col min="3337" max="3584" width="8.85546875" style="12"/>
    <col min="3585" max="3585" width="4.5703125" style="12" customWidth="1"/>
    <col min="3586" max="3586" width="41.42578125" style="12" customWidth="1"/>
    <col min="3587" max="3587" width="7.42578125" style="12" customWidth="1"/>
    <col min="3588" max="3588" width="5.7109375" style="12" customWidth="1"/>
    <col min="3589" max="3589" width="12.5703125" style="12" customWidth="1"/>
    <col min="3590" max="3590" width="19" style="12" customWidth="1"/>
    <col min="3591" max="3591" width="8.85546875" style="12"/>
    <col min="3592" max="3592" width="12.140625" style="12" customWidth="1"/>
    <col min="3593" max="3840" width="8.85546875" style="12"/>
    <col min="3841" max="3841" width="4.5703125" style="12" customWidth="1"/>
    <col min="3842" max="3842" width="41.42578125" style="12" customWidth="1"/>
    <col min="3843" max="3843" width="7.42578125" style="12" customWidth="1"/>
    <col min="3844" max="3844" width="5.7109375" style="12" customWidth="1"/>
    <col min="3845" max="3845" width="12.5703125" style="12" customWidth="1"/>
    <col min="3846" max="3846" width="19" style="12" customWidth="1"/>
    <col min="3847" max="3847" width="8.85546875" style="12"/>
    <col min="3848" max="3848" width="12.140625" style="12" customWidth="1"/>
    <col min="3849" max="4096" width="8.85546875" style="12"/>
    <col min="4097" max="4097" width="4.5703125" style="12" customWidth="1"/>
    <col min="4098" max="4098" width="41.42578125" style="12" customWidth="1"/>
    <col min="4099" max="4099" width="7.42578125" style="12" customWidth="1"/>
    <col min="4100" max="4100" width="5.7109375" style="12" customWidth="1"/>
    <col min="4101" max="4101" width="12.5703125" style="12" customWidth="1"/>
    <col min="4102" max="4102" width="19" style="12" customWidth="1"/>
    <col min="4103" max="4103" width="8.85546875" style="12"/>
    <col min="4104" max="4104" width="12.140625" style="12" customWidth="1"/>
    <col min="4105" max="4352" width="8.85546875" style="12"/>
    <col min="4353" max="4353" width="4.5703125" style="12" customWidth="1"/>
    <col min="4354" max="4354" width="41.42578125" style="12" customWidth="1"/>
    <col min="4355" max="4355" width="7.42578125" style="12" customWidth="1"/>
    <col min="4356" max="4356" width="5.7109375" style="12" customWidth="1"/>
    <col min="4357" max="4357" width="12.5703125" style="12" customWidth="1"/>
    <col min="4358" max="4358" width="19" style="12" customWidth="1"/>
    <col min="4359" max="4359" width="8.85546875" style="12"/>
    <col min="4360" max="4360" width="12.140625" style="12" customWidth="1"/>
    <col min="4361" max="4608" width="8.85546875" style="12"/>
    <col min="4609" max="4609" width="4.5703125" style="12" customWidth="1"/>
    <col min="4610" max="4610" width="41.42578125" style="12" customWidth="1"/>
    <col min="4611" max="4611" width="7.42578125" style="12" customWidth="1"/>
    <col min="4612" max="4612" width="5.7109375" style="12" customWidth="1"/>
    <col min="4613" max="4613" width="12.5703125" style="12" customWidth="1"/>
    <col min="4614" max="4614" width="19" style="12" customWidth="1"/>
    <col min="4615" max="4615" width="8.85546875" style="12"/>
    <col min="4616" max="4616" width="12.140625" style="12" customWidth="1"/>
    <col min="4617" max="4864" width="8.85546875" style="12"/>
    <col min="4865" max="4865" width="4.5703125" style="12" customWidth="1"/>
    <col min="4866" max="4866" width="41.42578125" style="12" customWidth="1"/>
    <col min="4867" max="4867" width="7.42578125" style="12" customWidth="1"/>
    <col min="4868" max="4868" width="5.7109375" style="12" customWidth="1"/>
    <col min="4869" max="4869" width="12.5703125" style="12" customWidth="1"/>
    <col min="4870" max="4870" width="19" style="12" customWidth="1"/>
    <col min="4871" max="4871" width="8.85546875" style="12"/>
    <col min="4872" max="4872" width="12.140625" style="12" customWidth="1"/>
    <col min="4873" max="5120" width="8.85546875" style="12"/>
    <col min="5121" max="5121" width="4.5703125" style="12" customWidth="1"/>
    <col min="5122" max="5122" width="41.42578125" style="12" customWidth="1"/>
    <col min="5123" max="5123" width="7.42578125" style="12" customWidth="1"/>
    <col min="5124" max="5124" width="5.7109375" style="12" customWidth="1"/>
    <col min="5125" max="5125" width="12.5703125" style="12" customWidth="1"/>
    <col min="5126" max="5126" width="19" style="12" customWidth="1"/>
    <col min="5127" max="5127" width="8.85546875" style="12"/>
    <col min="5128" max="5128" width="12.140625" style="12" customWidth="1"/>
    <col min="5129" max="5376" width="8.85546875" style="12"/>
    <col min="5377" max="5377" width="4.5703125" style="12" customWidth="1"/>
    <col min="5378" max="5378" width="41.42578125" style="12" customWidth="1"/>
    <col min="5379" max="5379" width="7.42578125" style="12" customWidth="1"/>
    <col min="5380" max="5380" width="5.7109375" style="12" customWidth="1"/>
    <col min="5381" max="5381" width="12.5703125" style="12" customWidth="1"/>
    <col min="5382" max="5382" width="19" style="12" customWidth="1"/>
    <col min="5383" max="5383" width="8.85546875" style="12"/>
    <col min="5384" max="5384" width="12.140625" style="12" customWidth="1"/>
    <col min="5385" max="5632" width="8.85546875" style="12"/>
    <col min="5633" max="5633" width="4.5703125" style="12" customWidth="1"/>
    <col min="5634" max="5634" width="41.42578125" style="12" customWidth="1"/>
    <col min="5635" max="5635" width="7.42578125" style="12" customWidth="1"/>
    <col min="5636" max="5636" width="5.7109375" style="12" customWidth="1"/>
    <col min="5637" max="5637" width="12.5703125" style="12" customWidth="1"/>
    <col min="5638" max="5638" width="19" style="12" customWidth="1"/>
    <col min="5639" max="5639" width="8.85546875" style="12"/>
    <col min="5640" max="5640" width="12.140625" style="12" customWidth="1"/>
    <col min="5641" max="5888" width="8.85546875" style="12"/>
    <col min="5889" max="5889" width="4.5703125" style="12" customWidth="1"/>
    <col min="5890" max="5890" width="41.42578125" style="12" customWidth="1"/>
    <col min="5891" max="5891" width="7.42578125" style="12" customWidth="1"/>
    <col min="5892" max="5892" width="5.7109375" style="12" customWidth="1"/>
    <col min="5893" max="5893" width="12.5703125" style="12" customWidth="1"/>
    <col min="5894" max="5894" width="19" style="12" customWidth="1"/>
    <col min="5895" max="5895" width="8.85546875" style="12"/>
    <col min="5896" max="5896" width="12.140625" style="12" customWidth="1"/>
    <col min="5897" max="6144" width="8.85546875" style="12"/>
    <col min="6145" max="6145" width="4.5703125" style="12" customWidth="1"/>
    <col min="6146" max="6146" width="41.42578125" style="12" customWidth="1"/>
    <col min="6147" max="6147" width="7.42578125" style="12" customWidth="1"/>
    <col min="6148" max="6148" width="5.7109375" style="12" customWidth="1"/>
    <col min="6149" max="6149" width="12.5703125" style="12" customWidth="1"/>
    <col min="6150" max="6150" width="19" style="12" customWidth="1"/>
    <col min="6151" max="6151" width="8.85546875" style="12"/>
    <col min="6152" max="6152" width="12.140625" style="12" customWidth="1"/>
    <col min="6153" max="6400" width="8.85546875" style="12"/>
    <col min="6401" max="6401" width="4.5703125" style="12" customWidth="1"/>
    <col min="6402" max="6402" width="41.42578125" style="12" customWidth="1"/>
    <col min="6403" max="6403" width="7.42578125" style="12" customWidth="1"/>
    <col min="6404" max="6404" width="5.7109375" style="12" customWidth="1"/>
    <col min="6405" max="6405" width="12.5703125" style="12" customWidth="1"/>
    <col min="6406" max="6406" width="19" style="12" customWidth="1"/>
    <col min="6407" max="6407" width="8.85546875" style="12"/>
    <col min="6408" max="6408" width="12.140625" style="12" customWidth="1"/>
    <col min="6409" max="6656" width="8.85546875" style="12"/>
    <col min="6657" max="6657" width="4.5703125" style="12" customWidth="1"/>
    <col min="6658" max="6658" width="41.42578125" style="12" customWidth="1"/>
    <col min="6659" max="6659" width="7.42578125" style="12" customWidth="1"/>
    <col min="6660" max="6660" width="5.7109375" style="12" customWidth="1"/>
    <col min="6661" max="6661" width="12.5703125" style="12" customWidth="1"/>
    <col min="6662" max="6662" width="19" style="12" customWidth="1"/>
    <col min="6663" max="6663" width="8.85546875" style="12"/>
    <col min="6664" max="6664" width="12.140625" style="12" customWidth="1"/>
    <col min="6665" max="6912" width="8.85546875" style="12"/>
    <col min="6913" max="6913" width="4.5703125" style="12" customWidth="1"/>
    <col min="6914" max="6914" width="41.42578125" style="12" customWidth="1"/>
    <col min="6915" max="6915" width="7.42578125" style="12" customWidth="1"/>
    <col min="6916" max="6916" width="5.7109375" style="12" customWidth="1"/>
    <col min="6917" max="6917" width="12.5703125" style="12" customWidth="1"/>
    <col min="6918" max="6918" width="19" style="12" customWidth="1"/>
    <col min="6919" max="6919" width="8.85546875" style="12"/>
    <col min="6920" max="6920" width="12.140625" style="12" customWidth="1"/>
    <col min="6921" max="7168" width="8.85546875" style="12"/>
    <col min="7169" max="7169" width="4.5703125" style="12" customWidth="1"/>
    <col min="7170" max="7170" width="41.42578125" style="12" customWidth="1"/>
    <col min="7171" max="7171" width="7.42578125" style="12" customWidth="1"/>
    <col min="7172" max="7172" width="5.7109375" style="12" customWidth="1"/>
    <col min="7173" max="7173" width="12.5703125" style="12" customWidth="1"/>
    <col min="7174" max="7174" width="19" style="12" customWidth="1"/>
    <col min="7175" max="7175" width="8.85546875" style="12"/>
    <col min="7176" max="7176" width="12.140625" style="12" customWidth="1"/>
    <col min="7177" max="7424" width="8.85546875" style="12"/>
    <col min="7425" max="7425" width="4.5703125" style="12" customWidth="1"/>
    <col min="7426" max="7426" width="41.42578125" style="12" customWidth="1"/>
    <col min="7427" max="7427" width="7.42578125" style="12" customWidth="1"/>
    <col min="7428" max="7428" width="5.7109375" style="12" customWidth="1"/>
    <col min="7429" max="7429" width="12.5703125" style="12" customWidth="1"/>
    <col min="7430" max="7430" width="19" style="12" customWidth="1"/>
    <col min="7431" max="7431" width="8.85546875" style="12"/>
    <col min="7432" max="7432" width="12.140625" style="12" customWidth="1"/>
    <col min="7433" max="7680" width="8.85546875" style="12"/>
    <col min="7681" max="7681" width="4.5703125" style="12" customWidth="1"/>
    <col min="7682" max="7682" width="41.42578125" style="12" customWidth="1"/>
    <col min="7683" max="7683" width="7.42578125" style="12" customWidth="1"/>
    <col min="7684" max="7684" width="5.7109375" style="12" customWidth="1"/>
    <col min="7685" max="7685" width="12.5703125" style="12" customWidth="1"/>
    <col min="7686" max="7686" width="19" style="12" customWidth="1"/>
    <col min="7687" max="7687" width="8.85546875" style="12"/>
    <col min="7688" max="7688" width="12.140625" style="12" customWidth="1"/>
    <col min="7689" max="7936" width="8.85546875" style="12"/>
    <col min="7937" max="7937" width="4.5703125" style="12" customWidth="1"/>
    <col min="7938" max="7938" width="41.42578125" style="12" customWidth="1"/>
    <col min="7939" max="7939" width="7.42578125" style="12" customWidth="1"/>
    <col min="7940" max="7940" width="5.7109375" style="12" customWidth="1"/>
    <col min="7941" max="7941" width="12.5703125" style="12" customWidth="1"/>
    <col min="7942" max="7942" width="19" style="12" customWidth="1"/>
    <col min="7943" max="7943" width="8.85546875" style="12"/>
    <col min="7944" max="7944" width="12.140625" style="12" customWidth="1"/>
    <col min="7945" max="8192" width="8.85546875" style="12"/>
    <col min="8193" max="8193" width="4.5703125" style="12" customWidth="1"/>
    <col min="8194" max="8194" width="41.42578125" style="12" customWidth="1"/>
    <col min="8195" max="8195" width="7.42578125" style="12" customWidth="1"/>
    <col min="8196" max="8196" width="5.7109375" style="12" customWidth="1"/>
    <col min="8197" max="8197" width="12.5703125" style="12" customWidth="1"/>
    <col min="8198" max="8198" width="19" style="12" customWidth="1"/>
    <col min="8199" max="8199" width="8.85546875" style="12"/>
    <col min="8200" max="8200" width="12.140625" style="12" customWidth="1"/>
    <col min="8201" max="8448" width="8.85546875" style="12"/>
    <col min="8449" max="8449" width="4.5703125" style="12" customWidth="1"/>
    <col min="8450" max="8450" width="41.42578125" style="12" customWidth="1"/>
    <col min="8451" max="8451" width="7.42578125" style="12" customWidth="1"/>
    <col min="8452" max="8452" width="5.7109375" style="12" customWidth="1"/>
    <col min="8453" max="8453" width="12.5703125" style="12" customWidth="1"/>
    <col min="8454" max="8454" width="19" style="12" customWidth="1"/>
    <col min="8455" max="8455" width="8.85546875" style="12"/>
    <col min="8456" max="8456" width="12.140625" style="12" customWidth="1"/>
    <col min="8457" max="8704" width="8.85546875" style="12"/>
    <col min="8705" max="8705" width="4.5703125" style="12" customWidth="1"/>
    <col min="8706" max="8706" width="41.42578125" style="12" customWidth="1"/>
    <col min="8707" max="8707" width="7.42578125" style="12" customWidth="1"/>
    <col min="8708" max="8708" width="5.7109375" style="12" customWidth="1"/>
    <col min="8709" max="8709" width="12.5703125" style="12" customWidth="1"/>
    <col min="8710" max="8710" width="19" style="12" customWidth="1"/>
    <col min="8711" max="8711" width="8.85546875" style="12"/>
    <col min="8712" max="8712" width="12.140625" style="12" customWidth="1"/>
    <col min="8713" max="8960" width="8.85546875" style="12"/>
    <col min="8961" max="8961" width="4.5703125" style="12" customWidth="1"/>
    <col min="8962" max="8962" width="41.42578125" style="12" customWidth="1"/>
    <col min="8963" max="8963" width="7.42578125" style="12" customWidth="1"/>
    <col min="8964" max="8964" width="5.7109375" style="12" customWidth="1"/>
    <col min="8965" max="8965" width="12.5703125" style="12" customWidth="1"/>
    <col min="8966" max="8966" width="19" style="12" customWidth="1"/>
    <col min="8967" max="8967" width="8.85546875" style="12"/>
    <col min="8968" max="8968" width="12.140625" style="12" customWidth="1"/>
    <col min="8969" max="9216" width="8.85546875" style="12"/>
    <col min="9217" max="9217" width="4.5703125" style="12" customWidth="1"/>
    <col min="9218" max="9218" width="41.42578125" style="12" customWidth="1"/>
    <col min="9219" max="9219" width="7.42578125" style="12" customWidth="1"/>
    <col min="9220" max="9220" width="5.7109375" style="12" customWidth="1"/>
    <col min="9221" max="9221" width="12.5703125" style="12" customWidth="1"/>
    <col min="9222" max="9222" width="19" style="12" customWidth="1"/>
    <col min="9223" max="9223" width="8.85546875" style="12"/>
    <col min="9224" max="9224" width="12.140625" style="12" customWidth="1"/>
    <col min="9225" max="9472" width="8.85546875" style="12"/>
    <col min="9473" max="9473" width="4.5703125" style="12" customWidth="1"/>
    <col min="9474" max="9474" width="41.42578125" style="12" customWidth="1"/>
    <col min="9475" max="9475" width="7.42578125" style="12" customWidth="1"/>
    <col min="9476" max="9476" width="5.7109375" style="12" customWidth="1"/>
    <col min="9477" max="9477" width="12.5703125" style="12" customWidth="1"/>
    <col min="9478" max="9478" width="19" style="12" customWidth="1"/>
    <col min="9479" max="9479" width="8.85546875" style="12"/>
    <col min="9480" max="9480" width="12.140625" style="12" customWidth="1"/>
    <col min="9481" max="9728" width="8.85546875" style="12"/>
    <col min="9729" max="9729" width="4.5703125" style="12" customWidth="1"/>
    <col min="9730" max="9730" width="41.42578125" style="12" customWidth="1"/>
    <col min="9731" max="9731" width="7.42578125" style="12" customWidth="1"/>
    <col min="9732" max="9732" width="5.7109375" style="12" customWidth="1"/>
    <col min="9733" max="9733" width="12.5703125" style="12" customWidth="1"/>
    <col min="9734" max="9734" width="19" style="12" customWidth="1"/>
    <col min="9735" max="9735" width="8.85546875" style="12"/>
    <col min="9736" max="9736" width="12.140625" style="12" customWidth="1"/>
    <col min="9737" max="9984" width="8.85546875" style="12"/>
    <col min="9985" max="9985" width="4.5703125" style="12" customWidth="1"/>
    <col min="9986" max="9986" width="41.42578125" style="12" customWidth="1"/>
    <col min="9987" max="9987" width="7.42578125" style="12" customWidth="1"/>
    <col min="9988" max="9988" width="5.7109375" style="12" customWidth="1"/>
    <col min="9989" max="9989" width="12.5703125" style="12" customWidth="1"/>
    <col min="9990" max="9990" width="19" style="12" customWidth="1"/>
    <col min="9991" max="9991" width="8.85546875" style="12"/>
    <col min="9992" max="9992" width="12.140625" style="12" customWidth="1"/>
    <col min="9993" max="10240" width="8.85546875" style="12"/>
    <col min="10241" max="10241" width="4.5703125" style="12" customWidth="1"/>
    <col min="10242" max="10242" width="41.42578125" style="12" customWidth="1"/>
    <col min="10243" max="10243" width="7.42578125" style="12" customWidth="1"/>
    <col min="10244" max="10244" width="5.7109375" style="12" customWidth="1"/>
    <col min="10245" max="10245" width="12.5703125" style="12" customWidth="1"/>
    <col min="10246" max="10246" width="19" style="12" customWidth="1"/>
    <col min="10247" max="10247" width="8.85546875" style="12"/>
    <col min="10248" max="10248" width="12.140625" style="12" customWidth="1"/>
    <col min="10249" max="10496" width="8.85546875" style="12"/>
    <col min="10497" max="10497" width="4.5703125" style="12" customWidth="1"/>
    <col min="10498" max="10498" width="41.42578125" style="12" customWidth="1"/>
    <col min="10499" max="10499" width="7.42578125" style="12" customWidth="1"/>
    <col min="10500" max="10500" width="5.7109375" style="12" customWidth="1"/>
    <col min="10501" max="10501" width="12.5703125" style="12" customWidth="1"/>
    <col min="10502" max="10502" width="19" style="12" customWidth="1"/>
    <col min="10503" max="10503" width="8.85546875" style="12"/>
    <col min="10504" max="10504" width="12.140625" style="12" customWidth="1"/>
    <col min="10505" max="10752" width="8.85546875" style="12"/>
    <col min="10753" max="10753" width="4.5703125" style="12" customWidth="1"/>
    <col min="10754" max="10754" width="41.42578125" style="12" customWidth="1"/>
    <col min="10755" max="10755" width="7.42578125" style="12" customWidth="1"/>
    <col min="10756" max="10756" width="5.7109375" style="12" customWidth="1"/>
    <col min="10757" max="10757" width="12.5703125" style="12" customWidth="1"/>
    <col min="10758" max="10758" width="19" style="12" customWidth="1"/>
    <col min="10759" max="10759" width="8.85546875" style="12"/>
    <col min="10760" max="10760" width="12.140625" style="12" customWidth="1"/>
    <col min="10761" max="11008" width="8.85546875" style="12"/>
    <col min="11009" max="11009" width="4.5703125" style="12" customWidth="1"/>
    <col min="11010" max="11010" width="41.42578125" style="12" customWidth="1"/>
    <col min="11011" max="11011" width="7.42578125" style="12" customWidth="1"/>
    <col min="11012" max="11012" width="5.7109375" style="12" customWidth="1"/>
    <col min="11013" max="11013" width="12.5703125" style="12" customWidth="1"/>
    <col min="11014" max="11014" width="19" style="12" customWidth="1"/>
    <col min="11015" max="11015" width="8.85546875" style="12"/>
    <col min="11016" max="11016" width="12.140625" style="12" customWidth="1"/>
    <col min="11017" max="11264" width="8.85546875" style="12"/>
    <col min="11265" max="11265" width="4.5703125" style="12" customWidth="1"/>
    <col min="11266" max="11266" width="41.42578125" style="12" customWidth="1"/>
    <col min="11267" max="11267" width="7.42578125" style="12" customWidth="1"/>
    <col min="11268" max="11268" width="5.7109375" style="12" customWidth="1"/>
    <col min="11269" max="11269" width="12.5703125" style="12" customWidth="1"/>
    <col min="11270" max="11270" width="19" style="12" customWidth="1"/>
    <col min="11271" max="11271" width="8.85546875" style="12"/>
    <col min="11272" max="11272" width="12.140625" style="12" customWidth="1"/>
    <col min="11273" max="11520" width="8.85546875" style="12"/>
    <col min="11521" max="11521" width="4.5703125" style="12" customWidth="1"/>
    <col min="11522" max="11522" width="41.42578125" style="12" customWidth="1"/>
    <col min="11523" max="11523" width="7.42578125" style="12" customWidth="1"/>
    <col min="11524" max="11524" width="5.7109375" style="12" customWidth="1"/>
    <col min="11525" max="11525" width="12.5703125" style="12" customWidth="1"/>
    <col min="11526" max="11526" width="19" style="12" customWidth="1"/>
    <col min="11527" max="11527" width="8.85546875" style="12"/>
    <col min="11528" max="11528" width="12.140625" style="12" customWidth="1"/>
    <col min="11529" max="11776" width="8.85546875" style="12"/>
    <col min="11777" max="11777" width="4.5703125" style="12" customWidth="1"/>
    <col min="11778" max="11778" width="41.42578125" style="12" customWidth="1"/>
    <col min="11779" max="11779" width="7.42578125" style="12" customWidth="1"/>
    <col min="11780" max="11780" width="5.7109375" style="12" customWidth="1"/>
    <col min="11781" max="11781" width="12.5703125" style="12" customWidth="1"/>
    <col min="11782" max="11782" width="19" style="12" customWidth="1"/>
    <col min="11783" max="11783" width="8.85546875" style="12"/>
    <col min="11784" max="11784" width="12.140625" style="12" customWidth="1"/>
    <col min="11785" max="12032" width="8.85546875" style="12"/>
    <col min="12033" max="12033" width="4.5703125" style="12" customWidth="1"/>
    <col min="12034" max="12034" width="41.42578125" style="12" customWidth="1"/>
    <col min="12035" max="12035" width="7.42578125" style="12" customWidth="1"/>
    <col min="12036" max="12036" width="5.7109375" style="12" customWidth="1"/>
    <col min="12037" max="12037" width="12.5703125" style="12" customWidth="1"/>
    <col min="12038" max="12038" width="19" style="12" customWidth="1"/>
    <col min="12039" max="12039" width="8.85546875" style="12"/>
    <col min="12040" max="12040" width="12.140625" style="12" customWidth="1"/>
    <col min="12041" max="12288" width="8.85546875" style="12"/>
    <col min="12289" max="12289" width="4.5703125" style="12" customWidth="1"/>
    <col min="12290" max="12290" width="41.42578125" style="12" customWidth="1"/>
    <col min="12291" max="12291" width="7.42578125" style="12" customWidth="1"/>
    <col min="12292" max="12292" width="5.7109375" style="12" customWidth="1"/>
    <col min="12293" max="12293" width="12.5703125" style="12" customWidth="1"/>
    <col min="12294" max="12294" width="19" style="12" customWidth="1"/>
    <col min="12295" max="12295" width="8.85546875" style="12"/>
    <col min="12296" max="12296" width="12.140625" style="12" customWidth="1"/>
    <col min="12297" max="12544" width="8.85546875" style="12"/>
    <col min="12545" max="12545" width="4.5703125" style="12" customWidth="1"/>
    <col min="12546" max="12546" width="41.42578125" style="12" customWidth="1"/>
    <col min="12547" max="12547" width="7.42578125" style="12" customWidth="1"/>
    <col min="12548" max="12548" width="5.7109375" style="12" customWidth="1"/>
    <col min="12549" max="12549" width="12.5703125" style="12" customWidth="1"/>
    <col min="12550" max="12550" width="19" style="12" customWidth="1"/>
    <col min="12551" max="12551" width="8.85546875" style="12"/>
    <col min="12552" max="12552" width="12.140625" style="12" customWidth="1"/>
    <col min="12553" max="12800" width="8.85546875" style="12"/>
    <col min="12801" max="12801" width="4.5703125" style="12" customWidth="1"/>
    <col min="12802" max="12802" width="41.42578125" style="12" customWidth="1"/>
    <col min="12803" max="12803" width="7.42578125" style="12" customWidth="1"/>
    <col min="12804" max="12804" width="5.7109375" style="12" customWidth="1"/>
    <col min="12805" max="12805" width="12.5703125" style="12" customWidth="1"/>
    <col min="12806" max="12806" width="19" style="12" customWidth="1"/>
    <col min="12807" max="12807" width="8.85546875" style="12"/>
    <col min="12808" max="12808" width="12.140625" style="12" customWidth="1"/>
    <col min="12809" max="13056" width="8.85546875" style="12"/>
    <col min="13057" max="13057" width="4.5703125" style="12" customWidth="1"/>
    <col min="13058" max="13058" width="41.42578125" style="12" customWidth="1"/>
    <col min="13059" max="13059" width="7.42578125" style="12" customWidth="1"/>
    <col min="13060" max="13060" width="5.7109375" style="12" customWidth="1"/>
    <col min="13061" max="13061" width="12.5703125" style="12" customWidth="1"/>
    <col min="13062" max="13062" width="19" style="12" customWidth="1"/>
    <col min="13063" max="13063" width="8.85546875" style="12"/>
    <col min="13064" max="13064" width="12.140625" style="12" customWidth="1"/>
    <col min="13065" max="13312" width="8.85546875" style="12"/>
    <col min="13313" max="13313" width="4.5703125" style="12" customWidth="1"/>
    <col min="13314" max="13314" width="41.42578125" style="12" customWidth="1"/>
    <col min="13315" max="13315" width="7.42578125" style="12" customWidth="1"/>
    <col min="13316" max="13316" width="5.7109375" style="12" customWidth="1"/>
    <col min="13317" max="13317" width="12.5703125" style="12" customWidth="1"/>
    <col min="13318" max="13318" width="19" style="12" customWidth="1"/>
    <col min="13319" max="13319" width="8.85546875" style="12"/>
    <col min="13320" max="13320" width="12.140625" style="12" customWidth="1"/>
    <col min="13321" max="13568" width="8.85546875" style="12"/>
    <col min="13569" max="13569" width="4.5703125" style="12" customWidth="1"/>
    <col min="13570" max="13570" width="41.42578125" style="12" customWidth="1"/>
    <col min="13571" max="13571" width="7.42578125" style="12" customWidth="1"/>
    <col min="13572" max="13572" width="5.7109375" style="12" customWidth="1"/>
    <col min="13573" max="13573" width="12.5703125" style="12" customWidth="1"/>
    <col min="13574" max="13574" width="19" style="12" customWidth="1"/>
    <col min="13575" max="13575" width="8.85546875" style="12"/>
    <col min="13576" max="13576" width="12.140625" style="12" customWidth="1"/>
    <col min="13577" max="13824" width="8.85546875" style="12"/>
    <col min="13825" max="13825" width="4.5703125" style="12" customWidth="1"/>
    <col min="13826" max="13826" width="41.42578125" style="12" customWidth="1"/>
    <col min="13827" max="13827" width="7.42578125" style="12" customWidth="1"/>
    <col min="13828" max="13828" width="5.7109375" style="12" customWidth="1"/>
    <col min="13829" max="13829" width="12.5703125" style="12" customWidth="1"/>
    <col min="13830" max="13830" width="19" style="12" customWidth="1"/>
    <col min="13831" max="13831" width="8.85546875" style="12"/>
    <col min="13832" max="13832" width="12.140625" style="12" customWidth="1"/>
    <col min="13833" max="14080" width="8.85546875" style="12"/>
    <col min="14081" max="14081" width="4.5703125" style="12" customWidth="1"/>
    <col min="14082" max="14082" width="41.42578125" style="12" customWidth="1"/>
    <col min="14083" max="14083" width="7.42578125" style="12" customWidth="1"/>
    <col min="14084" max="14084" width="5.7109375" style="12" customWidth="1"/>
    <col min="14085" max="14085" width="12.5703125" style="12" customWidth="1"/>
    <col min="14086" max="14086" width="19" style="12" customWidth="1"/>
    <col min="14087" max="14087" width="8.85546875" style="12"/>
    <col min="14088" max="14088" width="12.140625" style="12" customWidth="1"/>
    <col min="14089" max="14336" width="8.85546875" style="12"/>
    <col min="14337" max="14337" width="4.5703125" style="12" customWidth="1"/>
    <col min="14338" max="14338" width="41.42578125" style="12" customWidth="1"/>
    <col min="14339" max="14339" width="7.42578125" style="12" customWidth="1"/>
    <col min="14340" max="14340" width="5.7109375" style="12" customWidth="1"/>
    <col min="14341" max="14341" width="12.5703125" style="12" customWidth="1"/>
    <col min="14342" max="14342" width="19" style="12" customWidth="1"/>
    <col min="14343" max="14343" width="8.85546875" style="12"/>
    <col min="14344" max="14344" width="12.140625" style="12" customWidth="1"/>
    <col min="14345" max="14592" width="8.85546875" style="12"/>
    <col min="14593" max="14593" width="4.5703125" style="12" customWidth="1"/>
    <col min="14594" max="14594" width="41.42578125" style="12" customWidth="1"/>
    <col min="14595" max="14595" width="7.42578125" style="12" customWidth="1"/>
    <col min="14596" max="14596" width="5.7109375" style="12" customWidth="1"/>
    <col min="14597" max="14597" width="12.5703125" style="12" customWidth="1"/>
    <col min="14598" max="14598" width="19" style="12" customWidth="1"/>
    <col min="14599" max="14599" width="8.85546875" style="12"/>
    <col min="14600" max="14600" width="12.140625" style="12" customWidth="1"/>
    <col min="14601" max="14848" width="8.85546875" style="12"/>
    <col min="14849" max="14849" width="4.5703125" style="12" customWidth="1"/>
    <col min="14850" max="14850" width="41.42578125" style="12" customWidth="1"/>
    <col min="14851" max="14851" width="7.42578125" style="12" customWidth="1"/>
    <col min="14852" max="14852" width="5.7109375" style="12" customWidth="1"/>
    <col min="14853" max="14853" width="12.5703125" style="12" customWidth="1"/>
    <col min="14854" max="14854" width="19" style="12" customWidth="1"/>
    <col min="14855" max="14855" width="8.85546875" style="12"/>
    <col min="14856" max="14856" width="12.140625" style="12" customWidth="1"/>
    <col min="14857" max="15104" width="8.85546875" style="12"/>
    <col min="15105" max="15105" width="4.5703125" style="12" customWidth="1"/>
    <col min="15106" max="15106" width="41.42578125" style="12" customWidth="1"/>
    <col min="15107" max="15107" width="7.42578125" style="12" customWidth="1"/>
    <col min="15108" max="15108" width="5.7109375" style="12" customWidth="1"/>
    <col min="15109" max="15109" width="12.5703125" style="12" customWidth="1"/>
    <col min="15110" max="15110" width="19" style="12" customWidth="1"/>
    <col min="15111" max="15111" width="8.85546875" style="12"/>
    <col min="15112" max="15112" width="12.140625" style="12" customWidth="1"/>
    <col min="15113" max="15360" width="8.85546875" style="12"/>
    <col min="15361" max="15361" width="4.5703125" style="12" customWidth="1"/>
    <col min="15362" max="15362" width="41.42578125" style="12" customWidth="1"/>
    <col min="15363" max="15363" width="7.42578125" style="12" customWidth="1"/>
    <col min="15364" max="15364" width="5.7109375" style="12" customWidth="1"/>
    <col min="15365" max="15365" width="12.5703125" style="12" customWidth="1"/>
    <col min="15366" max="15366" width="19" style="12" customWidth="1"/>
    <col min="15367" max="15367" width="8.85546875" style="12"/>
    <col min="15368" max="15368" width="12.140625" style="12" customWidth="1"/>
    <col min="15369" max="15616" width="8.85546875" style="12"/>
    <col min="15617" max="15617" width="4.5703125" style="12" customWidth="1"/>
    <col min="15618" max="15618" width="41.42578125" style="12" customWidth="1"/>
    <col min="15619" max="15619" width="7.42578125" style="12" customWidth="1"/>
    <col min="15620" max="15620" width="5.7109375" style="12" customWidth="1"/>
    <col min="15621" max="15621" width="12.5703125" style="12" customWidth="1"/>
    <col min="15622" max="15622" width="19" style="12" customWidth="1"/>
    <col min="15623" max="15623" width="8.85546875" style="12"/>
    <col min="15624" max="15624" width="12.140625" style="12" customWidth="1"/>
    <col min="15625" max="15872" width="8.85546875" style="12"/>
    <col min="15873" max="15873" width="4.5703125" style="12" customWidth="1"/>
    <col min="15874" max="15874" width="41.42578125" style="12" customWidth="1"/>
    <col min="15875" max="15875" width="7.42578125" style="12" customWidth="1"/>
    <col min="15876" max="15876" width="5.7109375" style="12" customWidth="1"/>
    <col min="15877" max="15877" width="12.5703125" style="12" customWidth="1"/>
    <col min="15878" max="15878" width="19" style="12" customWidth="1"/>
    <col min="15879" max="15879" width="8.85546875" style="12"/>
    <col min="15880" max="15880" width="12.140625" style="12" customWidth="1"/>
    <col min="15881" max="16128" width="8.85546875" style="12"/>
    <col min="16129" max="16129" width="4.5703125" style="12" customWidth="1"/>
    <col min="16130" max="16130" width="41.42578125" style="12" customWidth="1"/>
    <col min="16131" max="16131" width="7.42578125" style="12" customWidth="1"/>
    <col min="16132" max="16132" width="5.7109375" style="12" customWidth="1"/>
    <col min="16133" max="16133" width="12.5703125" style="12" customWidth="1"/>
    <col min="16134" max="16134" width="19" style="12" customWidth="1"/>
    <col min="16135" max="16135" width="8.85546875" style="12"/>
    <col min="16136" max="16136" width="12.140625" style="12" customWidth="1"/>
    <col min="16137" max="16384" width="8.85546875" style="12"/>
  </cols>
  <sheetData>
    <row r="1" spans="1:6" s="20" customFormat="1" ht="15.75" customHeight="1" x14ac:dyDescent="0.2">
      <c r="A1" s="670" t="s">
        <v>41</v>
      </c>
      <c r="B1" s="670"/>
      <c r="C1" s="670"/>
      <c r="D1" s="670"/>
      <c r="E1" s="670"/>
      <c r="F1" s="670"/>
    </row>
    <row r="2" spans="1:6" x14ac:dyDescent="0.2">
      <c r="B2" s="9" t="s">
        <v>42</v>
      </c>
      <c r="C2" s="51"/>
    </row>
    <row r="3" spans="1:6" ht="12.6" customHeight="1" x14ac:dyDescent="0.2"/>
    <row r="4" spans="1:6" x14ac:dyDescent="0.2">
      <c r="B4" s="9" t="s">
        <v>43</v>
      </c>
      <c r="C4" s="51"/>
    </row>
    <row r="5" spans="1:6" ht="12.6" customHeight="1" x14ac:dyDescent="0.2"/>
    <row r="6" spans="1:6" x14ac:dyDescent="0.2">
      <c r="B6" s="9" t="s">
        <v>44</v>
      </c>
    </row>
    <row r="7" spans="1:6" ht="12.6" customHeight="1" x14ac:dyDescent="0.2">
      <c r="B7" s="9"/>
    </row>
    <row r="8" spans="1:6" ht="24" x14ac:dyDescent="0.2">
      <c r="A8" s="39" t="s">
        <v>2</v>
      </c>
      <c r="B8" s="40" t="s">
        <v>45</v>
      </c>
      <c r="C8" s="170" t="e">
        <f>#REF!</f>
        <v>#REF!</v>
      </c>
      <c r="D8" s="39" t="s">
        <v>35</v>
      </c>
      <c r="E8" s="19">
        <v>150</v>
      </c>
      <c r="F8" s="19" t="e">
        <f>C8*E8</f>
        <v>#REF!</v>
      </c>
    </row>
    <row r="9" spans="1:6" ht="12.6" customHeight="1" x14ac:dyDescent="0.3">
      <c r="C9" s="171"/>
    </row>
    <row r="10" spans="1:6" ht="14.25" x14ac:dyDescent="0.2">
      <c r="A10" s="8" t="s">
        <v>4</v>
      </c>
      <c r="B10" s="6" t="s">
        <v>46</v>
      </c>
      <c r="C10" s="170" t="e">
        <f>#REF!</f>
        <v>#REF!</v>
      </c>
      <c r="D10" s="8" t="s">
        <v>47</v>
      </c>
      <c r="E10" s="15">
        <v>1200</v>
      </c>
      <c r="F10" s="15" t="e">
        <f>C10*E10</f>
        <v>#REF!</v>
      </c>
    </row>
    <row r="11" spans="1:6" ht="14.25" x14ac:dyDescent="0.3">
      <c r="B11" s="6" t="s">
        <v>48</v>
      </c>
      <c r="C11" s="171"/>
    </row>
    <row r="12" spans="1:6" ht="12.6" customHeight="1" x14ac:dyDescent="0.3">
      <c r="C12" s="171"/>
    </row>
    <row r="13" spans="1:6" ht="24" x14ac:dyDescent="0.2">
      <c r="A13" s="39" t="s">
        <v>5</v>
      </c>
      <c r="B13" s="40" t="s">
        <v>49</v>
      </c>
      <c r="C13" s="170" t="e">
        <f>#REF!</f>
        <v>#REF!</v>
      </c>
      <c r="D13" s="39" t="s">
        <v>47</v>
      </c>
      <c r="E13" s="42">
        <f>E10</f>
        <v>1200</v>
      </c>
      <c r="F13" s="43" t="e">
        <f>C13*E13</f>
        <v>#REF!</v>
      </c>
    </row>
    <row r="14" spans="1:6" ht="12.6" customHeight="1" x14ac:dyDescent="0.2">
      <c r="A14" s="39"/>
      <c r="B14" s="44"/>
      <c r="C14" s="170"/>
      <c r="D14" s="39"/>
      <c r="E14" s="43"/>
      <c r="F14" s="43"/>
    </row>
    <row r="15" spans="1:6" ht="14.25" x14ac:dyDescent="0.3">
      <c r="A15" s="8" t="s">
        <v>6</v>
      </c>
      <c r="B15" s="6" t="s">
        <v>50</v>
      </c>
      <c r="C15" s="171" t="e">
        <f>#REF!</f>
        <v>#REF!</v>
      </c>
      <c r="D15" s="8" t="s">
        <v>47</v>
      </c>
      <c r="E15" s="15">
        <v>400</v>
      </c>
      <c r="F15" s="15" t="e">
        <f>C15*E15</f>
        <v>#REF!</v>
      </c>
    </row>
    <row r="16" spans="1:6" ht="14.25" x14ac:dyDescent="0.3">
      <c r="B16" s="6" t="s">
        <v>51</v>
      </c>
      <c r="C16" s="171"/>
    </row>
    <row r="17" spans="1:6" ht="12.6" customHeight="1" x14ac:dyDescent="0.3">
      <c r="C17" s="171"/>
    </row>
    <row r="18" spans="1:6" ht="14.25" x14ac:dyDescent="0.3">
      <c r="A18" s="8" t="s">
        <v>7</v>
      </c>
      <c r="B18" s="6" t="s">
        <v>52</v>
      </c>
      <c r="C18" s="171" t="e">
        <f>#REF!</f>
        <v>#REF!</v>
      </c>
      <c r="D18" s="8" t="s">
        <v>47</v>
      </c>
      <c r="E18" s="15">
        <v>300</v>
      </c>
      <c r="F18" s="15" t="e">
        <f>C18*E18</f>
        <v>#REF!</v>
      </c>
    </row>
    <row r="19" spans="1:6" ht="14.25" x14ac:dyDescent="0.3">
      <c r="B19" s="6" t="s">
        <v>53</v>
      </c>
      <c r="C19" s="171"/>
    </row>
    <row r="20" spans="1:6" ht="12.6" customHeight="1" x14ac:dyDescent="0.3">
      <c r="C20" s="171"/>
    </row>
    <row r="21" spans="1:6" ht="14.25" x14ac:dyDescent="0.3">
      <c r="A21" s="8" t="s">
        <v>8</v>
      </c>
      <c r="B21" s="6" t="s">
        <v>54</v>
      </c>
      <c r="C21" s="171" t="e">
        <f>#REF!</f>
        <v>#REF!</v>
      </c>
      <c r="D21" s="8" t="s">
        <v>47</v>
      </c>
      <c r="E21" s="15">
        <v>1900</v>
      </c>
      <c r="F21" s="15" t="e">
        <f>C21*E21</f>
        <v>#REF!</v>
      </c>
    </row>
    <row r="22" spans="1:6" x14ac:dyDescent="0.2">
      <c r="B22" s="6" t="s">
        <v>55</v>
      </c>
      <c r="C22" s="172"/>
      <c r="D22" s="12"/>
      <c r="E22" s="12"/>
      <c r="F22" s="12"/>
    </row>
    <row r="23" spans="1:6" ht="12.6" customHeight="1" x14ac:dyDescent="0.3">
      <c r="C23" s="171"/>
    </row>
    <row r="24" spans="1:6" ht="24" x14ac:dyDescent="0.3">
      <c r="A24" s="8" t="s">
        <v>9</v>
      </c>
      <c r="B24" s="45" t="s">
        <v>56</v>
      </c>
      <c r="C24" s="171" t="e">
        <f>#REF!</f>
        <v>#REF!</v>
      </c>
      <c r="D24" s="8" t="s">
        <v>35</v>
      </c>
      <c r="E24" s="15">
        <v>1100</v>
      </c>
      <c r="F24" s="15" t="e">
        <f>C24*E24</f>
        <v>#REF!</v>
      </c>
    </row>
    <row r="25" spans="1:6" ht="12.6" customHeight="1" x14ac:dyDescent="0.3">
      <c r="C25" s="171"/>
    </row>
    <row r="26" spans="1:6" ht="14.25" x14ac:dyDescent="0.3">
      <c r="A26" s="8" t="s">
        <v>10</v>
      </c>
      <c r="B26" s="6" t="s">
        <v>57</v>
      </c>
      <c r="C26" s="171" t="e">
        <f>#REF!</f>
        <v>#REF!</v>
      </c>
      <c r="D26" s="8" t="s">
        <v>35</v>
      </c>
      <c r="E26" s="15">
        <v>150</v>
      </c>
      <c r="F26" s="15" t="e">
        <f>C26*E26</f>
        <v>#REF!</v>
      </c>
    </row>
    <row r="27" spans="1:6" ht="14.25" x14ac:dyDescent="0.3">
      <c r="C27" s="171"/>
    </row>
    <row r="28" spans="1:6" ht="24" x14ac:dyDescent="0.2">
      <c r="A28" s="39" t="s">
        <v>11</v>
      </c>
      <c r="B28" s="46" t="s">
        <v>58</v>
      </c>
      <c r="C28" s="170"/>
      <c r="D28" s="39" t="s">
        <v>35</v>
      </c>
      <c r="E28" s="19">
        <v>95</v>
      </c>
      <c r="F28" s="19">
        <f>C28*E28</f>
        <v>0</v>
      </c>
    </row>
    <row r="29" spans="1:6" ht="14.25" x14ac:dyDescent="0.2">
      <c r="A29" s="39"/>
      <c r="B29" s="12"/>
      <c r="C29" s="173"/>
      <c r="D29" s="39"/>
      <c r="E29" s="47"/>
      <c r="F29" s="44"/>
    </row>
    <row r="30" spans="1:6" ht="14.25" x14ac:dyDescent="0.3">
      <c r="B30" s="48" t="s">
        <v>59</v>
      </c>
      <c r="C30" s="171"/>
    </row>
    <row r="31" spans="1:6" ht="14.25" x14ac:dyDescent="0.3">
      <c r="C31" s="171"/>
    </row>
    <row r="32" spans="1:6" ht="14.25" x14ac:dyDescent="0.3">
      <c r="A32" s="8" t="s">
        <v>12</v>
      </c>
      <c r="B32" s="6" t="s">
        <v>60</v>
      </c>
      <c r="C32" s="171" t="e">
        <f>#REF!</f>
        <v>#REF!</v>
      </c>
      <c r="D32" s="8" t="s">
        <v>47</v>
      </c>
      <c r="E32" s="15">
        <v>22000</v>
      </c>
      <c r="F32" s="15" t="e">
        <f>C32*E32</f>
        <v>#REF!</v>
      </c>
    </row>
    <row r="33" spans="1:6" ht="14.25" x14ac:dyDescent="0.3">
      <c r="C33" s="171"/>
    </row>
    <row r="34" spans="1:6" ht="14.25" x14ac:dyDescent="0.3">
      <c r="A34" s="8" t="s">
        <v>13</v>
      </c>
      <c r="B34" s="6" t="s">
        <v>61</v>
      </c>
      <c r="C34" s="171" t="e">
        <f>#REF!</f>
        <v>#REF!</v>
      </c>
      <c r="D34" s="8" t="s">
        <v>47</v>
      </c>
      <c r="E34" s="15">
        <f>E32</f>
        <v>22000</v>
      </c>
      <c r="F34" s="15" t="e">
        <f>C34*E34</f>
        <v>#REF!</v>
      </c>
    </row>
    <row r="35" spans="1:6" ht="14.25" x14ac:dyDescent="0.3">
      <c r="C35" s="171"/>
    </row>
    <row r="36" spans="1:6" ht="14.25" x14ac:dyDescent="0.3">
      <c r="B36" s="48" t="s">
        <v>62</v>
      </c>
      <c r="C36" s="171"/>
    </row>
    <row r="37" spans="1:6" ht="14.25" x14ac:dyDescent="0.3">
      <c r="C37" s="171"/>
    </row>
    <row r="38" spans="1:6" ht="14.25" x14ac:dyDescent="0.3">
      <c r="A38" s="8" t="s">
        <v>14</v>
      </c>
      <c r="B38" s="6" t="s">
        <v>63</v>
      </c>
      <c r="C38" s="171" t="e">
        <f>#REF!</f>
        <v>#REF!</v>
      </c>
      <c r="D38" s="8" t="s">
        <v>47</v>
      </c>
      <c r="E38" s="15">
        <v>30000</v>
      </c>
      <c r="F38" s="15" t="e">
        <f>C38*E38</f>
        <v>#REF!</v>
      </c>
    </row>
    <row r="39" spans="1:6" ht="14.25" x14ac:dyDescent="0.3">
      <c r="C39" s="171"/>
    </row>
    <row r="40" spans="1:6" ht="14.25" x14ac:dyDescent="0.3">
      <c r="A40" s="8" t="s">
        <v>15</v>
      </c>
      <c r="B40" s="6" t="s">
        <v>64</v>
      </c>
      <c r="C40" s="171" t="e">
        <f>#REF!</f>
        <v>#REF!</v>
      </c>
      <c r="D40" s="8" t="s">
        <v>47</v>
      </c>
      <c r="E40" s="15">
        <f>E38</f>
        <v>30000</v>
      </c>
      <c r="F40" s="15" t="e">
        <f>C40*E40</f>
        <v>#REF!</v>
      </c>
    </row>
    <row r="41" spans="1:6" ht="14.25" x14ac:dyDescent="0.3">
      <c r="C41" s="171"/>
    </row>
    <row r="42" spans="1:6" ht="14.25" x14ac:dyDescent="0.3">
      <c r="A42" s="8" t="s">
        <v>16</v>
      </c>
      <c r="B42" s="6" t="s">
        <v>65</v>
      </c>
      <c r="C42" s="171" t="e">
        <f>#REF!</f>
        <v>#REF!</v>
      </c>
      <c r="D42" s="8" t="s">
        <v>47</v>
      </c>
      <c r="E42" s="15">
        <f>E38</f>
        <v>30000</v>
      </c>
      <c r="F42" s="15" t="e">
        <f>C42*E42</f>
        <v>#REF!</v>
      </c>
    </row>
    <row r="43" spans="1:6" ht="14.25" x14ac:dyDescent="0.3">
      <c r="C43" s="171"/>
    </row>
    <row r="44" spans="1:6" ht="14.25" x14ac:dyDescent="0.3">
      <c r="B44" s="6" t="s">
        <v>480</v>
      </c>
      <c r="C44" s="171"/>
    </row>
    <row r="46" spans="1:6" x14ac:dyDescent="0.2">
      <c r="B46" s="6" t="s">
        <v>481</v>
      </c>
    </row>
    <row r="49" spans="1:6" x14ac:dyDescent="0.2">
      <c r="B49" s="3" t="s">
        <v>66</v>
      </c>
      <c r="E49" s="10" t="s">
        <v>15</v>
      </c>
      <c r="F49" s="11" t="e">
        <f>SUM(F7:F43)</f>
        <v>#REF!</v>
      </c>
    </row>
    <row r="50" spans="1:6" x14ac:dyDescent="0.2">
      <c r="B50" s="9" t="s">
        <v>43</v>
      </c>
      <c r="C50" s="51"/>
    </row>
    <row r="52" spans="1:6" x14ac:dyDescent="0.2">
      <c r="B52" s="9" t="s">
        <v>67</v>
      </c>
    </row>
    <row r="53" spans="1:6" x14ac:dyDescent="0.2">
      <c r="B53" s="48" t="s">
        <v>68</v>
      </c>
    </row>
    <row r="55" spans="1:6" ht="14.25" x14ac:dyDescent="0.3">
      <c r="A55" s="8" t="s">
        <v>2</v>
      </c>
      <c r="B55" s="6" t="s">
        <v>69</v>
      </c>
      <c r="C55" s="171" t="e">
        <f>#REF!</f>
        <v>#REF!</v>
      </c>
      <c r="D55" s="8" t="s">
        <v>22</v>
      </c>
      <c r="E55" s="15">
        <f>E57*0.15</f>
        <v>375</v>
      </c>
      <c r="F55" s="15" t="e">
        <f>C55*E55</f>
        <v>#REF!</v>
      </c>
    </row>
    <row r="56" spans="1:6" ht="14.25" x14ac:dyDescent="0.3">
      <c r="C56" s="171"/>
    </row>
    <row r="57" spans="1:6" ht="14.25" x14ac:dyDescent="0.3">
      <c r="A57" s="8" t="s">
        <v>4</v>
      </c>
      <c r="B57" s="6" t="s">
        <v>70</v>
      </c>
      <c r="C57" s="171" t="e">
        <f>#REF!</f>
        <v>#REF!</v>
      </c>
      <c r="D57" s="8" t="s">
        <v>35</v>
      </c>
      <c r="E57" s="15">
        <v>2500</v>
      </c>
      <c r="F57" s="15" t="e">
        <f>C57*E57</f>
        <v>#REF!</v>
      </c>
    </row>
    <row r="58" spans="1:6" ht="14.25" x14ac:dyDescent="0.3">
      <c r="C58" s="171"/>
    </row>
    <row r="59" spans="1:6" ht="14.25" x14ac:dyDescent="0.3">
      <c r="A59" s="8" t="s">
        <v>5</v>
      </c>
      <c r="B59" s="6" t="s">
        <v>71</v>
      </c>
      <c r="C59" s="171" t="e">
        <f>#REF!</f>
        <v>#REF!</v>
      </c>
      <c r="D59" s="8" t="s">
        <v>35</v>
      </c>
      <c r="E59" s="15">
        <f>E57</f>
        <v>2500</v>
      </c>
      <c r="F59" s="15" t="e">
        <f>C59*E59</f>
        <v>#REF!</v>
      </c>
    </row>
    <row r="60" spans="1:6" ht="14.25" x14ac:dyDescent="0.3">
      <c r="C60" s="171"/>
    </row>
    <row r="61" spans="1:6" ht="14.25" x14ac:dyDescent="0.3">
      <c r="B61" s="174" t="s">
        <v>493</v>
      </c>
      <c r="C61" s="171" t="e">
        <f>#REF!</f>
        <v>#REF!</v>
      </c>
    </row>
    <row r="63" spans="1:6" ht="14.25" x14ac:dyDescent="0.3">
      <c r="B63" s="174" t="s">
        <v>492</v>
      </c>
    </row>
    <row r="64" spans="1:6" ht="14.25" x14ac:dyDescent="0.3">
      <c r="B64" s="174"/>
    </row>
    <row r="65" spans="1:6" x14ac:dyDescent="0.2">
      <c r="B65" s="6" t="s">
        <v>23</v>
      </c>
    </row>
    <row r="66" spans="1:6" x14ac:dyDescent="0.2">
      <c r="B66" s="9" t="s">
        <v>72</v>
      </c>
    </row>
    <row r="68" spans="1:6" x14ac:dyDescent="0.2">
      <c r="B68" s="48" t="s">
        <v>73</v>
      </c>
    </row>
    <row r="69" spans="1:6" ht="14.25" x14ac:dyDescent="0.3">
      <c r="A69" s="8" t="s">
        <v>6</v>
      </c>
      <c r="B69" s="6" t="s">
        <v>482</v>
      </c>
      <c r="C69" s="171">
        <v>0</v>
      </c>
      <c r="D69" s="8" t="s">
        <v>75</v>
      </c>
      <c r="E69" s="15">
        <v>368</v>
      </c>
      <c r="F69" s="15">
        <f>C69*E69</f>
        <v>0</v>
      </c>
    </row>
    <row r="70" spans="1:6" ht="14.25" x14ac:dyDescent="0.3">
      <c r="C70" s="171"/>
    </row>
    <row r="71" spans="1:6" ht="14.25" x14ac:dyDescent="0.3">
      <c r="A71" s="8" t="s">
        <v>6</v>
      </c>
      <c r="B71" s="6" t="s">
        <v>74</v>
      </c>
      <c r="C71" s="171" t="e">
        <f>#REF!</f>
        <v>#REF!</v>
      </c>
      <c r="D71" s="8" t="s">
        <v>75</v>
      </c>
      <c r="E71" s="15">
        <v>368</v>
      </c>
      <c r="F71" s="15" t="e">
        <f>C71*E71</f>
        <v>#REF!</v>
      </c>
    </row>
    <row r="72" spans="1:6" ht="14.25" x14ac:dyDescent="0.3">
      <c r="C72" s="171"/>
    </row>
    <row r="73" spans="1:6" ht="14.25" x14ac:dyDescent="0.3">
      <c r="A73" s="8" t="s">
        <v>7</v>
      </c>
      <c r="B73" s="6" t="s">
        <v>76</v>
      </c>
      <c r="C73" s="171" t="e">
        <f>#REF!</f>
        <v>#REF!</v>
      </c>
      <c r="D73" s="8" t="s">
        <v>75</v>
      </c>
      <c r="E73" s="15">
        <f>E71</f>
        <v>368</v>
      </c>
      <c r="F73" s="15" t="e">
        <f>C73*E73</f>
        <v>#REF!</v>
      </c>
    </row>
    <row r="74" spans="1:6" ht="14.25" x14ac:dyDescent="0.3">
      <c r="C74" s="171"/>
    </row>
    <row r="75" spans="1:6" ht="14.25" x14ac:dyDescent="0.3">
      <c r="A75" s="8" t="s">
        <v>8</v>
      </c>
      <c r="B75" s="6" t="s">
        <v>77</v>
      </c>
      <c r="C75" s="171">
        <v>0</v>
      </c>
      <c r="D75" s="8" t="s">
        <v>75</v>
      </c>
      <c r="E75" s="15">
        <f>E71</f>
        <v>368</v>
      </c>
      <c r="F75" s="15">
        <f>C75*E75</f>
        <v>0</v>
      </c>
    </row>
    <row r="76" spans="1:6" ht="14.25" x14ac:dyDescent="0.3">
      <c r="C76" s="171"/>
    </row>
    <row r="77" spans="1:6" ht="14.25" x14ac:dyDescent="0.3">
      <c r="A77" s="8" t="s">
        <v>9</v>
      </c>
      <c r="B77" s="6" t="s">
        <v>78</v>
      </c>
      <c r="C77" s="171" t="e">
        <f>#REF!</f>
        <v>#REF!</v>
      </c>
      <c r="D77" s="8" t="s">
        <v>75</v>
      </c>
      <c r="E77" s="15">
        <f>E71</f>
        <v>368</v>
      </c>
      <c r="F77" s="15" t="e">
        <f>C77*E77</f>
        <v>#REF!</v>
      </c>
    </row>
    <row r="79" spans="1:6" x14ac:dyDescent="0.2">
      <c r="B79" s="9" t="s">
        <v>79</v>
      </c>
    </row>
    <row r="81" spans="1:6" x14ac:dyDescent="0.2">
      <c r="B81" s="48" t="s">
        <v>80</v>
      </c>
    </row>
    <row r="82" spans="1:6" x14ac:dyDescent="0.2">
      <c r="B82" s="48" t="s">
        <v>81</v>
      </c>
    </row>
    <row r="83" spans="1:6" x14ac:dyDescent="0.2">
      <c r="B83" s="48" t="s">
        <v>82</v>
      </c>
    </row>
    <row r="85" spans="1:6" ht="14.25" x14ac:dyDescent="0.3">
      <c r="A85" s="8" t="s">
        <v>10</v>
      </c>
      <c r="B85" s="6" t="s">
        <v>83</v>
      </c>
      <c r="C85" s="171" t="e">
        <f>#REF!</f>
        <v>#REF!</v>
      </c>
      <c r="D85" s="8" t="s">
        <v>35</v>
      </c>
      <c r="E85" s="15">
        <v>1000</v>
      </c>
      <c r="F85" s="15" t="e">
        <f>C85*E85</f>
        <v>#REF!</v>
      </c>
    </row>
    <row r="86" spans="1:6" ht="14.25" x14ac:dyDescent="0.3">
      <c r="C86" s="171"/>
    </row>
    <row r="87" spans="1:6" ht="14.25" x14ac:dyDescent="0.3">
      <c r="B87" s="9" t="s">
        <v>84</v>
      </c>
      <c r="C87" s="171"/>
    </row>
    <row r="88" spans="1:6" ht="14.25" x14ac:dyDescent="0.3">
      <c r="C88" s="171"/>
    </row>
    <row r="89" spans="1:6" ht="14.25" x14ac:dyDescent="0.3">
      <c r="B89" s="48" t="s">
        <v>85</v>
      </c>
      <c r="C89" s="171"/>
    </row>
    <row r="90" spans="1:6" ht="14.25" x14ac:dyDescent="0.3">
      <c r="B90" s="48" t="s">
        <v>86</v>
      </c>
      <c r="C90" s="171"/>
    </row>
    <row r="91" spans="1:6" ht="14.25" x14ac:dyDescent="0.3">
      <c r="B91" s="48" t="s">
        <v>87</v>
      </c>
      <c r="C91" s="171"/>
    </row>
    <row r="92" spans="1:6" ht="14.25" x14ac:dyDescent="0.3">
      <c r="C92" s="171"/>
    </row>
    <row r="93" spans="1:6" ht="14.25" x14ac:dyDescent="0.3">
      <c r="A93" s="8" t="s">
        <v>11</v>
      </c>
      <c r="B93" s="6" t="s">
        <v>88</v>
      </c>
      <c r="C93" s="171" t="e">
        <f>#REF!</f>
        <v>#REF!</v>
      </c>
      <c r="D93" s="8" t="s">
        <v>35</v>
      </c>
      <c r="E93" s="15">
        <v>4000</v>
      </c>
      <c r="F93" s="15" t="e">
        <f>C93*E93</f>
        <v>#REF!</v>
      </c>
    </row>
    <row r="95" spans="1:6" x14ac:dyDescent="0.2">
      <c r="B95" s="48" t="s">
        <v>89</v>
      </c>
    </row>
    <row r="97" spans="1:6" x14ac:dyDescent="0.2">
      <c r="A97" s="8" t="s">
        <v>12</v>
      </c>
      <c r="B97" s="6" t="s">
        <v>90</v>
      </c>
    </row>
    <row r="98" spans="1:6" x14ac:dyDescent="0.2">
      <c r="B98" s="6" t="s">
        <v>91</v>
      </c>
      <c r="C98" s="41" t="e">
        <f>#REF!</f>
        <v>#REF!</v>
      </c>
      <c r="D98" s="8" t="s">
        <v>35</v>
      </c>
      <c r="E98" s="15">
        <v>180</v>
      </c>
      <c r="F98" s="15" t="e">
        <f>C98*E98</f>
        <v>#REF!</v>
      </c>
    </row>
    <row r="100" spans="1:6" x14ac:dyDescent="0.2">
      <c r="A100" s="49"/>
      <c r="B100" s="50" t="s">
        <v>66</v>
      </c>
      <c r="C100" s="51"/>
      <c r="E100" s="10" t="s">
        <v>15</v>
      </c>
      <c r="F100" s="11" t="e">
        <f>SUM(F54:F99)</f>
        <v>#REF!</v>
      </c>
    </row>
    <row r="102" spans="1:6" x14ac:dyDescent="0.2">
      <c r="B102" s="9" t="s">
        <v>92</v>
      </c>
    </row>
    <row r="103" spans="1:6" x14ac:dyDescent="0.2">
      <c r="B103" s="52" t="s">
        <v>93</v>
      </c>
      <c r="E103" s="15" t="e">
        <f>F49</f>
        <v>#REF!</v>
      </c>
    </row>
    <row r="104" spans="1:6" x14ac:dyDescent="0.2">
      <c r="B104" s="52"/>
    </row>
    <row r="105" spans="1:6" x14ac:dyDescent="0.2">
      <c r="B105" s="52" t="s">
        <v>94</v>
      </c>
      <c r="E105" s="15" t="e">
        <f>F100</f>
        <v>#REF!</v>
      </c>
    </row>
    <row r="111" spans="1:6" x14ac:dyDescent="0.2">
      <c r="B111" s="9" t="s">
        <v>43</v>
      </c>
      <c r="E111" s="10"/>
      <c r="F111" s="11"/>
    </row>
    <row r="112" spans="1:6" x14ac:dyDescent="0.2">
      <c r="B112" s="3" t="s">
        <v>95</v>
      </c>
      <c r="E112" s="10" t="s">
        <v>15</v>
      </c>
      <c r="F112" s="11" t="e">
        <f>SUM(E103:E106)</f>
        <v>#REF!</v>
      </c>
    </row>
    <row r="113" spans="1:6" x14ac:dyDescent="0.2">
      <c r="B113" s="9" t="s">
        <v>96</v>
      </c>
    </row>
    <row r="115" spans="1:6" x14ac:dyDescent="0.2">
      <c r="B115" s="9" t="s">
        <v>97</v>
      </c>
    </row>
    <row r="117" spans="1:6" x14ac:dyDescent="0.2">
      <c r="B117" s="9" t="s">
        <v>98</v>
      </c>
    </row>
    <row r="118" spans="1:6" x14ac:dyDescent="0.2">
      <c r="B118" s="9"/>
    </row>
    <row r="119" spans="1:6" ht="14.25" x14ac:dyDescent="0.3">
      <c r="A119" s="8" t="s">
        <v>2</v>
      </c>
      <c r="B119" s="6" t="s">
        <v>65</v>
      </c>
      <c r="C119" s="171" t="e">
        <f>#REF!</f>
        <v>#REF!</v>
      </c>
      <c r="D119" s="8" t="s">
        <v>47</v>
      </c>
      <c r="E119" s="15">
        <f>E42</f>
        <v>30000</v>
      </c>
      <c r="F119" s="15" t="e">
        <f>C119*E119</f>
        <v>#REF!</v>
      </c>
    </row>
    <row r="120" spans="1:6" ht="14.25" x14ac:dyDescent="0.3">
      <c r="B120" s="9"/>
      <c r="C120" s="171"/>
    </row>
    <row r="121" spans="1:6" ht="14.25" x14ac:dyDescent="0.3">
      <c r="A121" s="8" t="s">
        <v>4</v>
      </c>
      <c r="B121" s="6" t="s">
        <v>99</v>
      </c>
      <c r="C121" s="171" t="e">
        <f>#REF!</f>
        <v>#REF!</v>
      </c>
      <c r="D121" s="8" t="s">
        <v>47</v>
      </c>
      <c r="E121" s="15">
        <f>E119</f>
        <v>30000</v>
      </c>
      <c r="F121" s="15" t="e">
        <f>C121*E121</f>
        <v>#REF!</v>
      </c>
    </row>
    <row r="122" spans="1:6" ht="14.25" x14ac:dyDescent="0.3">
      <c r="C122" s="171"/>
    </row>
    <row r="123" spans="1:6" ht="14.25" x14ac:dyDescent="0.3">
      <c r="B123" s="9" t="s">
        <v>67</v>
      </c>
      <c r="C123" s="171"/>
    </row>
    <row r="124" spans="1:6" ht="14.25" x14ac:dyDescent="0.3">
      <c r="B124" s="9"/>
      <c r="C124" s="171"/>
    </row>
    <row r="125" spans="1:6" ht="14.25" x14ac:dyDescent="0.3">
      <c r="B125" s="48" t="s">
        <v>68</v>
      </c>
      <c r="C125" s="171"/>
    </row>
    <row r="126" spans="1:6" ht="14.25" x14ac:dyDescent="0.3">
      <c r="C126" s="171"/>
    </row>
    <row r="127" spans="1:6" ht="14.25" x14ac:dyDescent="0.3">
      <c r="A127" s="8" t="s">
        <v>5</v>
      </c>
      <c r="B127" s="6" t="s">
        <v>100</v>
      </c>
      <c r="C127" s="171" t="e">
        <f>#REF!</f>
        <v>#REF!</v>
      </c>
      <c r="D127" s="8" t="s">
        <v>35</v>
      </c>
      <c r="E127" s="15">
        <f>E57</f>
        <v>2500</v>
      </c>
      <c r="F127" s="15" t="e">
        <f>C127*E127</f>
        <v>#REF!</v>
      </c>
    </row>
    <row r="128" spans="1:6" ht="14.25" x14ac:dyDescent="0.3">
      <c r="C128" s="171"/>
    </row>
    <row r="129" spans="1:6" ht="14.25" x14ac:dyDescent="0.3">
      <c r="A129" s="8" t="s">
        <v>6</v>
      </c>
      <c r="B129" s="6" t="s">
        <v>101</v>
      </c>
      <c r="C129" s="171" t="e">
        <f>#REF!</f>
        <v>#REF!</v>
      </c>
      <c r="D129" s="8" t="s">
        <v>35</v>
      </c>
      <c r="E129" s="15">
        <f>E127</f>
        <v>2500</v>
      </c>
      <c r="F129" s="15" t="e">
        <f>C129*E129</f>
        <v>#REF!</v>
      </c>
    </row>
    <row r="130" spans="1:6" ht="14.25" x14ac:dyDescent="0.3">
      <c r="C130" s="171"/>
    </row>
    <row r="131" spans="1:6" x14ac:dyDescent="0.2">
      <c r="B131" s="9" t="s">
        <v>102</v>
      </c>
    </row>
    <row r="133" spans="1:6" x14ac:dyDescent="0.2">
      <c r="B133" s="48" t="s">
        <v>103</v>
      </c>
    </row>
    <row r="134" spans="1:6" x14ac:dyDescent="0.2">
      <c r="A134" s="8" t="s">
        <v>7</v>
      </c>
      <c r="B134" s="6" t="s">
        <v>483</v>
      </c>
      <c r="D134" s="8" t="s">
        <v>75</v>
      </c>
      <c r="E134" s="15">
        <f>E71</f>
        <v>368</v>
      </c>
      <c r="F134" s="15">
        <f>C134*E134</f>
        <v>0</v>
      </c>
    </row>
    <row r="136" spans="1:6" ht="14.25" x14ac:dyDescent="0.3">
      <c r="A136" s="8" t="s">
        <v>7</v>
      </c>
      <c r="B136" s="6" t="s">
        <v>104</v>
      </c>
      <c r="C136" s="171" t="e">
        <f>#REF!</f>
        <v>#REF!</v>
      </c>
      <c r="D136" s="8" t="s">
        <v>75</v>
      </c>
      <c r="E136" s="15">
        <f>E134</f>
        <v>368</v>
      </c>
      <c r="F136" s="15" t="e">
        <f>C136*E136</f>
        <v>#REF!</v>
      </c>
    </row>
    <row r="137" spans="1:6" ht="14.25" x14ac:dyDescent="0.3">
      <c r="C137" s="171"/>
    </row>
    <row r="138" spans="1:6" ht="14.25" x14ac:dyDescent="0.3">
      <c r="A138" s="8" t="s">
        <v>8</v>
      </c>
      <c r="B138" s="6" t="s">
        <v>105</v>
      </c>
      <c r="C138" s="171" t="e">
        <f>#REF!</f>
        <v>#REF!</v>
      </c>
      <c r="D138" s="8" t="s">
        <v>75</v>
      </c>
      <c r="E138" s="15">
        <f>E136</f>
        <v>368</v>
      </c>
      <c r="F138" s="15" t="e">
        <f>C138*E138</f>
        <v>#REF!</v>
      </c>
    </row>
    <row r="139" spans="1:6" ht="14.25" x14ac:dyDescent="0.3">
      <c r="C139" s="171"/>
    </row>
    <row r="140" spans="1:6" ht="14.25" x14ac:dyDescent="0.3">
      <c r="A140" s="8" t="s">
        <v>9</v>
      </c>
      <c r="B140" s="6" t="s">
        <v>106</v>
      </c>
      <c r="C140" s="171"/>
      <c r="D140" s="8" t="s">
        <v>75</v>
      </c>
      <c r="E140" s="15">
        <f>E138</f>
        <v>368</v>
      </c>
      <c r="F140" s="15">
        <f>C140*E140</f>
        <v>0</v>
      </c>
    </row>
    <row r="141" spans="1:6" ht="14.25" x14ac:dyDescent="0.3">
      <c r="C141" s="171"/>
    </row>
    <row r="142" spans="1:6" ht="14.25" x14ac:dyDescent="0.3">
      <c r="A142" s="8" t="s">
        <v>10</v>
      </c>
      <c r="B142" s="6" t="s">
        <v>107</v>
      </c>
      <c r="C142" s="171" t="e">
        <f>#REF!</f>
        <v>#REF!</v>
      </c>
      <c r="D142" s="8" t="s">
        <v>75</v>
      </c>
      <c r="E142" s="15">
        <f>E140</f>
        <v>368</v>
      </c>
      <c r="F142" s="15" t="e">
        <f>C142*E142</f>
        <v>#REF!</v>
      </c>
    </row>
    <row r="143" spans="1:6" ht="14.25" x14ac:dyDescent="0.3">
      <c r="C143" s="171"/>
    </row>
    <row r="165" spans="1:9" x14ac:dyDescent="0.2">
      <c r="B165" s="9" t="s">
        <v>108</v>
      </c>
    </row>
    <row r="166" spans="1:9" x14ac:dyDescent="0.2">
      <c r="B166" s="3" t="s">
        <v>95</v>
      </c>
      <c r="E166" s="10" t="s">
        <v>15</v>
      </c>
      <c r="F166" s="11" t="e">
        <f>SUM(F116:F165)</f>
        <v>#REF!</v>
      </c>
    </row>
    <row r="167" spans="1:9" x14ac:dyDescent="0.2">
      <c r="B167" s="9" t="s">
        <v>109</v>
      </c>
    </row>
    <row r="169" spans="1:9" x14ac:dyDescent="0.2">
      <c r="B169" s="9" t="s">
        <v>110</v>
      </c>
    </row>
    <row r="171" spans="1:9" s="4" customFormat="1" ht="84" x14ac:dyDescent="0.2">
      <c r="A171" s="53"/>
      <c r="B171" s="54" t="s">
        <v>111</v>
      </c>
      <c r="C171" s="53"/>
      <c r="D171" s="53"/>
      <c r="E171" s="55"/>
      <c r="F171" s="55"/>
    </row>
    <row r="172" spans="1:9" s="4" customFormat="1" x14ac:dyDescent="0.2">
      <c r="A172" s="53"/>
      <c r="B172" s="56"/>
      <c r="C172" s="53"/>
      <c r="D172" s="53"/>
      <c r="E172" s="55"/>
      <c r="F172" s="55"/>
    </row>
    <row r="173" spans="1:9" s="62" customFormat="1" ht="17.25" customHeight="1" x14ac:dyDescent="0.3">
      <c r="A173" s="57" t="s">
        <v>2</v>
      </c>
      <c r="B173" s="58" t="s">
        <v>112</v>
      </c>
      <c r="C173" s="177">
        <v>0</v>
      </c>
      <c r="D173" s="59" t="s">
        <v>35</v>
      </c>
      <c r="E173" s="60">
        <v>9500</v>
      </c>
      <c r="F173" s="61">
        <f>C173*E173</f>
        <v>0</v>
      </c>
      <c r="I173" s="63"/>
    </row>
    <row r="174" spans="1:9" s="4" customFormat="1" ht="17.25" customHeight="1" x14ac:dyDescent="0.2">
      <c r="A174" s="53"/>
      <c r="B174" s="56"/>
      <c r="C174" s="184"/>
      <c r="D174" s="53"/>
      <c r="E174" s="55"/>
      <c r="F174" s="55"/>
    </row>
    <row r="175" spans="1:9" s="4" customFormat="1" ht="17.25" customHeight="1" x14ac:dyDescent="0.2">
      <c r="A175" s="39"/>
      <c r="B175" s="64" t="s">
        <v>113</v>
      </c>
      <c r="C175" s="184"/>
      <c r="D175" s="39"/>
      <c r="E175" s="19"/>
      <c r="F175" s="19"/>
    </row>
    <row r="176" spans="1:9" s="4" customFormat="1" ht="17.25" customHeight="1" x14ac:dyDescent="0.2">
      <c r="A176" s="39"/>
      <c r="B176" s="64"/>
      <c r="C176" s="184"/>
      <c r="D176" s="39"/>
      <c r="E176" s="19"/>
      <c r="F176" s="19"/>
    </row>
    <row r="177" spans="1:9" s="4" customFormat="1" ht="17.25" customHeight="1" x14ac:dyDescent="0.2">
      <c r="A177" s="39"/>
      <c r="B177" s="64" t="s">
        <v>485</v>
      </c>
      <c r="C177" s="173" t="e">
        <f>#REF!</f>
        <v>#REF!</v>
      </c>
      <c r="D177" s="173" t="s">
        <v>47</v>
      </c>
      <c r="E177" s="178">
        <f>E119</f>
        <v>30000</v>
      </c>
      <c r="F177" s="178" t="e">
        <f>C177*E177</f>
        <v>#REF!</v>
      </c>
    </row>
    <row r="178" spans="1:9" s="4" customFormat="1" x14ac:dyDescent="0.2">
      <c r="A178" s="39"/>
      <c r="B178" s="12"/>
      <c r="C178" s="39"/>
      <c r="D178" s="39"/>
      <c r="E178" s="19"/>
      <c r="F178" s="19"/>
    </row>
    <row r="179" spans="1:9" s="4" customFormat="1" x14ac:dyDescent="0.2">
      <c r="A179" s="39"/>
      <c r="B179" s="65" t="s">
        <v>114</v>
      </c>
      <c r="C179" s="39"/>
      <c r="D179" s="39"/>
      <c r="E179" s="55"/>
      <c r="F179" s="55"/>
    </row>
    <row r="180" spans="1:9" s="4" customFormat="1" x14ac:dyDescent="0.2">
      <c r="A180" s="39"/>
      <c r="B180" s="12"/>
      <c r="C180" s="39"/>
      <c r="D180" s="39"/>
      <c r="E180" s="55"/>
      <c r="F180" s="55"/>
    </row>
    <row r="181" spans="1:9" s="4" customFormat="1" ht="14.25" x14ac:dyDescent="0.2">
      <c r="A181" s="39" t="s">
        <v>4</v>
      </c>
      <c r="B181" s="12" t="s">
        <v>115</v>
      </c>
      <c r="C181" s="173" t="e">
        <f>#REF!</f>
        <v>#REF!</v>
      </c>
      <c r="D181" s="39" t="s">
        <v>75</v>
      </c>
      <c r="E181" s="19">
        <f>E138</f>
        <v>368</v>
      </c>
      <c r="F181" s="178" t="e">
        <f>C181*E181</f>
        <v>#REF!</v>
      </c>
    </row>
    <row r="182" spans="1:9" s="4" customFormat="1" x14ac:dyDescent="0.2">
      <c r="A182" s="39"/>
      <c r="B182" s="12"/>
      <c r="C182" s="39"/>
      <c r="D182" s="39"/>
      <c r="E182" s="19"/>
      <c r="F182" s="19"/>
    </row>
    <row r="183" spans="1:9" x14ac:dyDescent="0.2">
      <c r="B183" s="9" t="s">
        <v>67</v>
      </c>
    </row>
    <row r="184" spans="1:9" x14ac:dyDescent="0.2">
      <c r="B184" s="9"/>
    </row>
    <row r="185" spans="1:9" x14ac:dyDescent="0.2">
      <c r="B185" s="48" t="s">
        <v>116</v>
      </c>
    </row>
    <row r="187" spans="1:9" x14ac:dyDescent="0.2">
      <c r="A187" s="8" t="s">
        <v>5</v>
      </c>
      <c r="B187" s="6" t="s">
        <v>117</v>
      </c>
      <c r="D187" s="8" t="s">
        <v>22</v>
      </c>
      <c r="E187" s="15">
        <f>E193*0.15</f>
        <v>450</v>
      </c>
      <c r="F187" s="15">
        <f>C187*E187</f>
        <v>0</v>
      </c>
    </row>
    <row r="189" spans="1:9" x14ac:dyDescent="0.2">
      <c r="B189" s="48" t="s">
        <v>118</v>
      </c>
    </row>
    <row r="190" spans="1:9" x14ac:dyDescent="0.2">
      <c r="B190" s="48" t="s">
        <v>119</v>
      </c>
    </row>
    <row r="192" spans="1:9" s="62" customFormat="1" ht="17.25" customHeight="1" x14ac:dyDescent="0.2">
      <c r="A192" s="57"/>
      <c r="B192" s="58" t="s">
        <v>120</v>
      </c>
      <c r="C192" s="59"/>
      <c r="D192" s="59"/>
      <c r="E192" s="60"/>
      <c r="F192" s="66"/>
      <c r="I192" s="63"/>
    </row>
    <row r="193" spans="1:9" s="62" customFormat="1" ht="17.25" customHeight="1" x14ac:dyDescent="0.3">
      <c r="A193" s="57" t="s">
        <v>6</v>
      </c>
      <c r="B193" s="58" t="s">
        <v>121</v>
      </c>
      <c r="C193" s="177" t="e">
        <f>#REF!</f>
        <v>#REF!</v>
      </c>
      <c r="D193" s="59" t="s">
        <v>35</v>
      </c>
      <c r="E193" s="60">
        <v>3000</v>
      </c>
      <c r="F193" s="61" t="e">
        <f>C193*E193</f>
        <v>#REF!</v>
      </c>
      <c r="I193" s="63"/>
    </row>
    <row r="194" spans="1:9" s="62" customFormat="1" ht="17.25" customHeight="1" x14ac:dyDescent="0.3">
      <c r="A194" s="57"/>
      <c r="B194" s="58"/>
      <c r="C194" s="177"/>
      <c r="D194" s="59"/>
      <c r="E194" s="60"/>
      <c r="F194" s="61"/>
      <c r="I194" s="63"/>
    </row>
    <row r="195" spans="1:9" s="62" customFormat="1" ht="17.25" customHeight="1" x14ac:dyDescent="0.3">
      <c r="A195" s="57" t="s">
        <v>7</v>
      </c>
      <c r="B195" s="58" t="s">
        <v>122</v>
      </c>
      <c r="C195" s="177" t="e">
        <f>#REF!</f>
        <v>#REF!</v>
      </c>
      <c r="D195" s="59" t="s">
        <v>22</v>
      </c>
      <c r="E195" s="60">
        <v>500</v>
      </c>
      <c r="F195" s="61" t="e">
        <f>C195*E195</f>
        <v>#REF!</v>
      </c>
      <c r="I195" s="63"/>
    </row>
    <row r="196" spans="1:9" x14ac:dyDescent="0.2">
      <c r="B196" s="3"/>
      <c r="F196" s="11"/>
    </row>
    <row r="197" spans="1:9" x14ac:dyDescent="0.2">
      <c r="B197" s="3"/>
      <c r="F197" s="11"/>
    </row>
    <row r="198" spans="1:9" x14ac:dyDescent="0.2">
      <c r="B198" s="3"/>
      <c r="F198" s="11"/>
    </row>
    <row r="199" spans="1:9" x14ac:dyDescent="0.2">
      <c r="B199" s="3"/>
      <c r="F199" s="11"/>
    </row>
    <row r="200" spans="1:9" x14ac:dyDescent="0.2">
      <c r="B200" s="3"/>
      <c r="F200" s="11"/>
    </row>
    <row r="201" spans="1:9" x14ac:dyDescent="0.2">
      <c r="B201" s="3"/>
      <c r="F201" s="11"/>
    </row>
    <row r="202" spans="1:9" x14ac:dyDescent="0.2">
      <c r="B202" s="3"/>
      <c r="F202" s="11"/>
    </row>
    <row r="203" spans="1:9" x14ac:dyDescent="0.2">
      <c r="B203" s="3"/>
      <c r="F203" s="11"/>
    </row>
    <row r="204" spans="1:9" x14ac:dyDescent="0.2">
      <c r="B204" s="3"/>
      <c r="F204" s="11"/>
    </row>
    <row r="205" spans="1:9" x14ac:dyDescent="0.2">
      <c r="B205" s="3"/>
      <c r="F205" s="11"/>
    </row>
    <row r="206" spans="1:9" x14ac:dyDescent="0.2">
      <c r="B206" s="3"/>
      <c r="F206" s="11"/>
    </row>
    <row r="207" spans="1:9" x14ac:dyDescent="0.2">
      <c r="B207" s="3"/>
      <c r="F207" s="11"/>
    </row>
    <row r="208" spans="1:9" x14ac:dyDescent="0.2">
      <c r="B208" s="3"/>
      <c r="F208" s="11"/>
    </row>
    <row r="209" spans="2:6" x14ac:dyDescent="0.2">
      <c r="B209" s="3"/>
      <c r="F209" s="11"/>
    </row>
    <row r="210" spans="2:6" x14ac:dyDescent="0.2">
      <c r="B210" s="3"/>
      <c r="F210" s="11"/>
    </row>
    <row r="211" spans="2:6" x14ac:dyDescent="0.2">
      <c r="B211" s="3"/>
      <c r="F211" s="11"/>
    </row>
    <row r="212" spans="2:6" x14ac:dyDescent="0.2">
      <c r="B212" s="3"/>
      <c r="F212" s="11"/>
    </row>
    <row r="213" spans="2:6" x14ac:dyDescent="0.2">
      <c r="B213" s="3"/>
      <c r="F213" s="11"/>
    </row>
    <row r="214" spans="2:6" x14ac:dyDescent="0.2">
      <c r="B214" s="3"/>
      <c r="F214" s="11"/>
    </row>
    <row r="215" spans="2:6" x14ac:dyDescent="0.2">
      <c r="B215" s="3"/>
      <c r="F215" s="11"/>
    </row>
    <row r="216" spans="2:6" x14ac:dyDescent="0.2">
      <c r="B216" s="3"/>
      <c r="F216" s="11"/>
    </row>
    <row r="217" spans="2:6" x14ac:dyDescent="0.2">
      <c r="B217" s="3"/>
      <c r="F217" s="11"/>
    </row>
    <row r="218" spans="2:6" x14ac:dyDescent="0.2">
      <c r="B218" s="9" t="s">
        <v>123</v>
      </c>
      <c r="F218" s="11"/>
    </row>
    <row r="219" spans="2:6" x14ac:dyDescent="0.2">
      <c r="B219" s="3" t="s">
        <v>95</v>
      </c>
      <c r="E219" s="10" t="s">
        <v>15</v>
      </c>
      <c r="F219" s="11" t="e">
        <f>SUM(F170:F217)</f>
        <v>#REF!</v>
      </c>
    </row>
    <row r="220" spans="2:6" x14ac:dyDescent="0.2">
      <c r="B220" s="9" t="s">
        <v>124</v>
      </c>
    </row>
    <row r="221" spans="2:6" ht="12.6" customHeight="1" x14ac:dyDescent="0.2"/>
    <row r="222" spans="2:6" x14ac:dyDescent="0.2">
      <c r="B222" s="9" t="s">
        <v>125</v>
      </c>
    </row>
    <row r="223" spans="2:6" ht="12.6" customHeight="1" x14ac:dyDescent="0.2"/>
    <row r="224" spans="2:6" x14ac:dyDescent="0.2">
      <c r="B224" s="9" t="s">
        <v>98</v>
      </c>
    </row>
    <row r="225" spans="1:6" ht="12.6" customHeight="1" x14ac:dyDescent="0.2">
      <c r="B225" s="9"/>
    </row>
    <row r="226" spans="1:6" x14ac:dyDescent="0.2">
      <c r="B226" s="48" t="s">
        <v>126</v>
      </c>
    </row>
    <row r="227" spans="1:6" ht="12.6" customHeight="1" x14ac:dyDescent="0.2">
      <c r="B227" s="9"/>
    </row>
    <row r="228" spans="1:6" ht="14.25" x14ac:dyDescent="0.3">
      <c r="A228" s="8" t="s">
        <v>2</v>
      </c>
      <c r="B228" s="6" t="s">
        <v>127</v>
      </c>
      <c r="C228" s="171" t="e">
        <f>#REF!</f>
        <v>#REF!</v>
      </c>
      <c r="D228" s="8" t="s">
        <v>47</v>
      </c>
      <c r="E228" s="15">
        <f>E119</f>
        <v>30000</v>
      </c>
      <c r="F228" s="15" t="e">
        <f>C228*E228</f>
        <v>#REF!</v>
      </c>
    </row>
    <row r="229" spans="1:6" ht="12.6" customHeight="1" x14ac:dyDescent="0.3">
      <c r="B229" s="9"/>
      <c r="C229" s="171"/>
    </row>
    <row r="230" spans="1:6" ht="14.25" x14ac:dyDescent="0.3">
      <c r="A230" s="8" t="s">
        <v>4</v>
      </c>
      <c r="B230" s="6" t="s">
        <v>128</v>
      </c>
      <c r="C230" s="171">
        <v>0</v>
      </c>
      <c r="D230" s="8" t="s">
        <v>47</v>
      </c>
      <c r="E230" s="15">
        <f>E228</f>
        <v>30000</v>
      </c>
      <c r="F230" s="15">
        <f>C230*E230</f>
        <v>0</v>
      </c>
    </row>
    <row r="231" spans="1:6" ht="12.6" customHeight="1" x14ac:dyDescent="0.3">
      <c r="B231" s="9"/>
      <c r="C231" s="171"/>
    </row>
    <row r="232" spans="1:6" ht="14.25" x14ac:dyDescent="0.3">
      <c r="B232" s="9" t="s">
        <v>67</v>
      </c>
      <c r="C232" s="171"/>
    </row>
    <row r="233" spans="1:6" ht="12.6" customHeight="1" x14ac:dyDescent="0.3">
      <c r="B233" s="9"/>
      <c r="C233" s="171"/>
    </row>
    <row r="234" spans="1:6" ht="14.25" x14ac:dyDescent="0.3">
      <c r="B234" s="48" t="s">
        <v>129</v>
      </c>
      <c r="C234" s="171"/>
    </row>
    <row r="235" spans="1:6" ht="12.6" customHeight="1" x14ac:dyDescent="0.3">
      <c r="C235" s="171"/>
    </row>
    <row r="236" spans="1:6" ht="14.25" x14ac:dyDescent="0.2">
      <c r="A236" s="39" t="s">
        <v>5</v>
      </c>
      <c r="B236" s="44" t="s">
        <v>130</v>
      </c>
      <c r="C236" s="175" t="e">
        <f>#REF!</f>
        <v>#REF!</v>
      </c>
      <c r="D236" s="8" t="s">
        <v>35</v>
      </c>
      <c r="E236" s="42">
        <f>E129</f>
        <v>2500</v>
      </c>
      <c r="F236" s="43" t="e">
        <f>C236*E236</f>
        <v>#REF!</v>
      </c>
    </row>
    <row r="237" spans="1:6" ht="12.6" customHeight="1" x14ac:dyDescent="0.2">
      <c r="A237" s="39"/>
      <c r="B237" s="44"/>
      <c r="C237" s="175"/>
      <c r="D237" s="39"/>
      <c r="E237" s="67"/>
      <c r="F237" s="68"/>
    </row>
    <row r="238" spans="1:6" ht="14.25" x14ac:dyDescent="0.2">
      <c r="A238" s="39" t="s">
        <v>6</v>
      </c>
      <c r="B238" s="44" t="s">
        <v>131</v>
      </c>
      <c r="C238" s="175" t="e">
        <f>#REF!+#REF!</f>
        <v>#REF!</v>
      </c>
      <c r="D238" s="8" t="s">
        <v>35</v>
      </c>
      <c r="E238" s="42">
        <f>E57</f>
        <v>2500</v>
      </c>
      <c r="F238" s="43" t="e">
        <f>C238*E238</f>
        <v>#REF!</v>
      </c>
    </row>
    <row r="239" spans="1:6" ht="12.6" customHeight="1" x14ac:dyDescent="0.2">
      <c r="A239" s="39"/>
      <c r="B239" s="44"/>
      <c r="C239" s="175"/>
      <c r="D239" s="39"/>
      <c r="E239" s="67"/>
      <c r="F239" s="68"/>
    </row>
    <row r="240" spans="1:6" ht="14.25" x14ac:dyDescent="0.2">
      <c r="A240" s="39" t="s">
        <v>7</v>
      </c>
      <c r="B240" s="40" t="s">
        <v>132</v>
      </c>
      <c r="C240" s="175" t="e">
        <f>#REF!</f>
        <v>#REF!</v>
      </c>
      <c r="D240" s="39" t="s">
        <v>35</v>
      </c>
      <c r="E240" s="42">
        <f>E57</f>
        <v>2500</v>
      </c>
      <c r="F240" s="43" t="e">
        <f>C240*E240</f>
        <v>#REF!</v>
      </c>
    </row>
    <row r="241" spans="1:6" ht="12.6" customHeight="1" x14ac:dyDescent="0.2">
      <c r="A241" s="39"/>
      <c r="B241" s="40"/>
      <c r="C241" s="175"/>
      <c r="D241" s="39"/>
      <c r="E241" s="68"/>
      <c r="F241" s="68"/>
    </row>
    <row r="242" spans="1:6" ht="14.25" x14ac:dyDescent="0.2">
      <c r="A242" s="39" t="s">
        <v>8</v>
      </c>
      <c r="B242" s="44" t="s">
        <v>133</v>
      </c>
      <c r="C242" s="175" t="e">
        <f>#REF!</f>
        <v>#REF!</v>
      </c>
      <c r="D242" s="39" t="s">
        <v>22</v>
      </c>
      <c r="E242" s="42">
        <f>E187</f>
        <v>450</v>
      </c>
      <c r="F242" s="43" t="e">
        <f>C242*E242</f>
        <v>#REF!</v>
      </c>
    </row>
    <row r="243" spans="1:6" ht="12.6" customHeight="1" x14ac:dyDescent="0.2">
      <c r="A243" s="39"/>
      <c r="B243" s="44"/>
      <c r="C243" s="175"/>
      <c r="D243" s="39"/>
      <c r="E243" s="42"/>
      <c r="F243" s="43"/>
    </row>
    <row r="244" spans="1:6" ht="14.25" x14ac:dyDescent="0.2">
      <c r="A244" s="39" t="s">
        <v>9</v>
      </c>
      <c r="B244" s="44" t="s">
        <v>507</v>
      </c>
      <c r="C244" s="175"/>
      <c r="D244" s="39" t="s">
        <v>22</v>
      </c>
      <c r="E244" s="42">
        <f>E242</f>
        <v>450</v>
      </c>
      <c r="F244" s="43">
        <f>C244*E244</f>
        <v>0</v>
      </c>
    </row>
    <row r="245" spans="1:6" ht="12.6" customHeight="1" x14ac:dyDescent="0.2">
      <c r="A245" s="39"/>
      <c r="B245" s="44"/>
      <c r="C245" s="26"/>
      <c r="D245" s="39"/>
      <c r="E245" s="42"/>
      <c r="F245" s="43"/>
    </row>
    <row r="246" spans="1:6" ht="14.25" x14ac:dyDescent="0.3">
      <c r="B246" s="9" t="s">
        <v>102</v>
      </c>
      <c r="C246" s="171"/>
    </row>
    <row r="247" spans="1:6" ht="14.25" x14ac:dyDescent="0.3">
      <c r="B247" s="48" t="s">
        <v>134</v>
      </c>
      <c r="C247" s="171"/>
    </row>
    <row r="248" spans="1:6" ht="12.6" customHeight="1" x14ac:dyDescent="0.3">
      <c r="C248" s="171"/>
    </row>
    <row r="249" spans="1:6" ht="14.25" x14ac:dyDescent="0.3">
      <c r="A249" s="8" t="s">
        <v>10</v>
      </c>
      <c r="B249" s="6" t="s">
        <v>135</v>
      </c>
      <c r="C249" s="171" t="e">
        <f>#REF!</f>
        <v>#REF!</v>
      </c>
      <c r="D249" s="8" t="s">
        <v>75</v>
      </c>
      <c r="E249" s="15">
        <f>E181</f>
        <v>368</v>
      </c>
      <c r="F249" s="15" t="e">
        <f>C249*E249</f>
        <v>#REF!</v>
      </c>
    </row>
    <row r="250" spans="1:6" ht="14.25" x14ac:dyDescent="0.3">
      <c r="C250" s="171"/>
    </row>
    <row r="251" spans="1:6" ht="14.25" x14ac:dyDescent="0.3">
      <c r="A251" s="8" t="s">
        <v>10</v>
      </c>
      <c r="B251" s="6" t="s">
        <v>106</v>
      </c>
      <c r="C251" s="171" t="e">
        <f>#REF!*0.6</f>
        <v>#REF!</v>
      </c>
      <c r="D251" s="8" t="s">
        <v>75</v>
      </c>
      <c r="E251" s="15">
        <f>E249</f>
        <v>368</v>
      </c>
      <c r="F251" s="15" t="e">
        <f>C251*E251</f>
        <v>#REF!</v>
      </c>
    </row>
    <row r="252" spans="1:6" ht="12.6" customHeight="1" x14ac:dyDescent="0.3">
      <c r="C252" s="171"/>
    </row>
    <row r="253" spans="1:6" ht="14.25" x14ac:dyDescent="0.3">
      <c r="A253" s="8" t="s">
        <v>11</v>
      </c>
      <c r="B253" s="6" t="s">
        <v>136</v>
      </c>
      <c r="C253" s="171" t="e">
        <f>#REF!*0.4</f>
        <v>#REF!</v>
      </c>
      <c r="D253" s="8" t="s">
        <v>75</v>
      </c>
      <c r="E253" s="15">
        <f>E251</f>
        <v>368</v>
      </c>
      <c r="F253" s="15" t="e">
        <f>C253*E253</f>
        <v>#REF!</v>
      </c>
    </row>
    <row r="254" spans="1:6" ht="12.6" customHeight="1" x14ac:dyDescent="0.3">
      <c r="C254" s="171"/>
    </row>
    <row r="255" spans="1:6" ht="14.25" x14ac:dyDescent="0.3">
      <c r="B255" s="9" t="s">
        <v>137</v>
      </c>
      <c r="C255" s="171"/>
    </row>
    <row r="256" spans="1:6" ht="14.25" x14ac:dyDescent="0.3">
      <c r="B256" s="69" t="s">
        <v>138</v>
      </c>
      <c r="C256" s="171"/>
    </row>
    <row r="257" spans="1:6" ht="12.6" customHeight="1" x14ac:dyDescent="0.3">
      <c r="C257" s="171"/>
    </row>
    <row r="258" spans="1:6" ht="14.25" x14ac:dyDescent="0.2">
      <c r="A258" s="39" t="s">
        <v>12</v>
      </c>
      <c r="B258" s="44" t="s">
        <v>131</v>
      </c>
      <c r="C258" s="181" t="e">
        <f>#REF!</f>
        <v>#REF!</v>
      </c>
      <c r="D258" s="39" t="s">
        <v>35</v>
      </c>
      <c r="E258" s="42">
        <v>35000</v>
      </c>
      <c r="F258" s="15" t="e">
        <f>C258*E258</f>
        <v>#REF!</v>
      </c>
    </row>
    <row r="259" spans="1:6" ht="12.6" customHeight="1" x14ac:dyDescent="0.2">
      <c r="A259" s="39"/>
      <c r="B259" s="44"/>
      <c r="C259" s="175"/>
      <c r="D259" s="39"/>
      <c r="E259" s="68"/>
      <c r="F259" s="68"/>
    </row>
    <row r="260" spans="1:6" ht="14.25" x14ac:dyDescent="0.2">
      <c r="A260" s="39" t="s">
        <v>13</v>
      </c>
      <c r="B260" s="44" t="s">
        <v>139</v>
      </c>
      <c r="C260" s="175" t="e">
        <f>#REF!</f>
        <v>#REF!</v>
      </c>
      <c r="D260" s="39" t="s">
        <v>35</v>
      </c>
      <c r="E260" s="42">
        <v>1050</v>
      </c>
      <c r="F260" s="15" t="e">
        <f>C260*E260</f>
        <v>#REF!</v>
      </c>
    </row>
    <row r="261" spans="1:6" ht="12.6" customHeight="1" x14ac:dyDescent="0.2">
      <c r="A261" s="39"/>
      <c r="B261" s="44"/>
      <c r="C261" s="175"/>
      <c r="D261" s="39"/>
      <c r="E261" s="12"/>
      <c r="F261" s="43"/>
    </row>
    <row r="262" spans="1:6" ht="14.25" x14ac:dyDescent="0.2">
      <c r="A262" s="39" t="s">
        <v>14</v>
      </c>
      <c r="B262" s="44" t="s">
        <v>140</v>
      </c>
      <c r="C262" s="175" t="e">
        <f>#REF!</f>
        <v>#REF!</v>
      </c>
      <c r="D262" s="39" t="s">
        <v>35</v>
      </c>
      <c r="E262" s="42">
        <v>525</v>
      </c>
      <c r="F262" s="15" t="e">
        <f>C262*E262</f>
        <v>#REF!</v>
      </c>
    </row>
    <row r="263" spans="1:6" ht="12.6" customHeight="1" x14ac:dyDescent="0.2">
      <c r="A263" s="39"/>
      <c r="B263" s="44"/>
      <c r="C263" s="175"/>
      <c r="D263" s="39"/>
      <c r="E263" s="68"/>
      <c r="F263" s="68"/>
    </row>
    <row r="264" spans="1:6" ht="14.25" x14ac:dyDescent="0.2">
      <c r="A264" s="39" t="s">
        <v>15</v>
      </c>
      <c r="B264" s="70" t="s">
        <v>141</v>
      </c>
      <c r="C264" s="175" t="e">
        <f>#REF!</f>
        <v>#REF!</v>
      </c>
      <c r="D264" s="39" t="s">
        <v>22</v>
      </c>
      <c r="E264" s="42">
        <v>300</v>
      </c>
      <c r="F264" s="15" t="e">
        <f>C264*E264</f>
        <v>#REF!</v>
      </c>
    </row>
    <row r="265" spans="1:6" ht="12.6" customHeight="1" x14ac:dyDescent="0.2">
      <c r="A265" s="39"/>
      <c r="B265" s="71"/>
      <c r="C265" s="187"/>
      <c r="D265" s="53"/>
      <c r="E265" s="72"/>
      <c r="F265" s="73"/>
    </row>
    <row r="266" spans="1:6" x14ac:dyDescent="0.2">
      <c r="B266" s="9" t="s">
        <v>142</v>
      </c>
    </row>
    <row r="267" spans="1:6" ht="12.6" customHeight="1" x14ac:dyDescent="0.2">
      <c r="B267" s="9"/>
    </row>
    <row r="268" spans="1:6" ht="14.25" x14ac:dyDescent="0.2">
      <c r="A268" s="8" t="s">
        <v>16</v>
      </c>
      <c r="B268" s="6" t="s">
        <v>143</v>
      </c>
      <c r="C268" s="181" t="e">
        <f>#REF!</f>
        <v>#REF!</v>
      </c>
      <c r="D268" s="8" t="s">
        <v>35</v>
      </c>
      <c r="E268" s="15">
        <v>1200</v>
      </c>
      <c r="F268" s="15" t="e">
        <f>C268*E268</f>
        <v>#REF!</v>
      </c>
    </row>
    <row r="269" spans="1:6" ht="12.6" customHeight="1" x14ac:dyDescent="0.2">
      <c r="C269" s="175"/>
    </row>
    <row r="270" spans="1:6" ht="14.25" x14ac:dyDescent="0.2">
      <c r="A270" s="8" t="s">
        <v>17</v>
      </c>
      <c r="B270" s="6" t="s">
        <v>144</v>
      </c>
      <c r="C270" s="175" t="e">
        <f>#REF!</f>
        <v>#REF!</v>
      </c>
      <c r="D270" s="8" t="s">
        <v>22</v>
      </c>
      <c r="E270" s="15">
        <f>E268</f>
        <v>1200</v>
      </c>
      <c r="F270" s="15" t="e">
        <f>C270*E270</f>
        <v>#REF!</v>
      </c>
    </row>
    <row r="271" spans="1:6" ht="12.6" customHeight="1" x14ac:dyDescent="0.2">
      <c r="C271" s="175"/>
    </row>
    <row r="272" spans="1:6" ht="14.25" x14ac:dyDescent="0.2">
      <c r="A272" s="8" t="s">
        <v>26</v>
      </c>
      <c r="B272" s="6" t="s">
        <v>145</v>
      </c>
      <c r="C272" s="175" t="e">
        <f>#REF!</f>
        <v>#REF!</v>
      </c>
      <c r="D272" s="8" t="s">
        <v>22</v>
      </c>
      <c r="E272" s="15">
        <f>E270</f>
        <v>1200</v>
      </c>
      <c r="F272" s="15" t="e">
        <f>C272*E272</f>
        <v>#REF!</v>
      </c>
    </row>
    <row r="273" spans="1:6" ht="12.6" customHeight="1" x14ac:dyDescent="0.2">
      <c r="C273" s="175"/>
    </row>
    <row r="274" spans="1:6" ht="14.25" x14ac:dyDescent="0.2">
      <c r="A274" s="8" t="s">
        <v>27</v>
      </c>
      <c r="B274" s="6" t="s">
        <v>146</v>
      </c>
      <c r="C274" s="175" t="e">
        <f>#REF!</f>
        <v>#REF!</v>
      </c>
      <c r="D274" s="8" t="s">
        <v>22</v>
      </c>
      <c r="E274" s="15">
        <f>E270</f>
        <v>1200</v>
      </c>
      <c r="F274" s="15" t="e">
        <f>C274*E274</f>
        <v>#REF!</v>
      </c>
    </row>
    <row r="275" spans="1:6" ht="14.25" x14ac:dyDescent="0.3">
      <c r="C275" s="171"/>
    </row>
    <row r="276" spans="1:6" ht="13.5" x14ac:dyDescent="0.25">
      <c r="B276" s="3" t="s">
        <v>66</v>
      </c>
      <c r="C276" s="185"/>
      <c r="E276" s="10" t="s">
        <v>15</v>
      </c>
      <c r="F276" s="11" t="e">
        <f>SUM(F224:F275)</f>
        <v>#REF!</v>
      </c>
    </row>
    <row r="277" spans="1:6" ht="14.25" x14ac:dyDescent="0.3">
      <c r="B277" s="9" t="s">
        <v>147</v>
      </c>
      <c r="C277" s="171"/>
    </row>
    <row r="278" spans="1:6" ht="14.25" x14ac:dyDescent="0.3">
      <c r="C278" s="171"/>
    </row>
    <row r="279" spans="1:6" ht="18" customHeight="1" x14ac:dyDescent="0.3">
      <c r="B279" s="48" t="s">
        <v>148</v>
      </c>
      <c r="C279" s="171"/>
    </row>
    <row r="280" spans="1:6" ht="14.25" x14ac:dyDescent="0.3">
      <c r="C280" s="171"/>
    </row>
    <row r="281" spans="1:6" ht="14.25" x14ac:dyDescent="0.3">
      <c r="A281" s="8" t="s">
        <v>2</v>
      </c>
      <c r="B281" s="74" t="s">
        <v>149</v>
      </c>
      <c r="C281" s="171" t="e">
        <f>#REF!</f>
        <v>#REF!</v>
      </c>
      <c r="D281" s="8" t="s">
        <v>35</v>
      </c>
      <c r="E281" s="15">
        <v>1000</v>
      </c>
      <c r="F281" s="15" t="e">
        <f>C281*E281</f>
        <v>#REF!</v>
      </c>
    </row>
    <row r="282" spans="1:6" ht="14.25" x14ac:dyDescent="0.3">
      <c r="B282" s="74"/>
      <c r="C282" s="171"/>
    </row>
    <row r="283" spans="1:6" ht="14.25" x14ac:dyDescent="0.3">
      <c r="A283" s="8" t="s">
        <v>4</v>
      </c>
      <c r="B283" s="44" t="s">
        <v>38</v>
      </c>
      <c r="C283" s="171" t="e">
        <f>#REF!</f>
        <v>#REF!</v>
      </c>
      <c r="D283" s="8" t="s">
        <v>35</v>
      </c>
      <c r="E283" s="15">
        <f>E281</f>
        <v>1000</v>
      </c>
      <c r="F283" s="15" t="e">
        <f>C283*E283</f>
        <v>#REF!</v>
      </c>
    </row>
    <row r="284" spans="1:6" ht="14.25" x14ac:dyDescent="0.3">
      <c r="B284" s="44"/>
      <c r="C284" s="171"/>
    </row>
    <row r="285" spans="1:6" ht="14.25" x14ac:dyDescent="0.3">
      <c r="A285" s="8" t="s">
        <v>5</v>
      </c>
      <c r="B285" s="44" t="s">
        <v>37</v>
      </c>
      <c r="C285" s="171" t="e">
        <f>#REF!</f>
        <v>#REF!</v>
      </c>
      <c r="D285" s="8" t="s">
        <v>22</v>
      </c>
      <c r="E285" s="15">
        <f>E283*0.3</f>
        <v>300</v>
      </c>
      <c r="F285" s="15" t="e">
        <f>C285*E285</f>
        <v>#REF!</v>
      </c>
    </row>
    <row r="287" spans="1:6" x14ac:dyDescent="0.2">
      <c r="A287" s="39"/>
      <c r="B287" s="69" t="s">
        <v>150</v>
      </c>
      <c r="C287" s="189"/>
      <c r="D287" s="39"/>
      <c r="E287" s="19"/>
      <c r="F287" s="19"/>
    </row>
    <row r="288" spans="1:6" x14ac:dyDescent="0.2">
      <c r="A288" s="39"/>
      <c r="B288" s="12"/>
      <c r="C288" s="189"/>
      <c r="D288" s="39"/>
      <c r="E288" s="19"/>
      <c r="F288" s="19"/>
    </row>
    <row r="289" spans="1:6" ht="24" x14ac:dyDescent="0.2">
      <c r="A289" s="39"/>
      <c r="B289" s="75" t="s">
        <v>151</v>
      </c>
      <c r="C289" s="189"/>
      <c r="D289" s="39"/>
      <c r="E289" s="19"/>
      <c r="F289" s="19"/>
    </row>
    <row r="290" spans="1:6" x14ac:dyDescent="0.2">
      <c r="A290" s="39"/>
      <c r="B290" s="12"/>
      <c r="C290" s="189"/>
      <c r="D290" s="39"/>
      <c r="E290" s="19"/>
      <c r="F290" s="19"/>
    </row>
    <row r="291" spans="1:6" x14ac:dyDescent="0.2">
      <c r="A291" s="8" t="s">
        <v>6</v>
      </c>
      <c r="B291" s="74" t="s">
        <v>149</v>
      </c>
      <c r="C291" s="41" t="e">
        <f>#REF!</f>
        <v>#REF!</v>
      </c>
      <c r="D291" s="8" t="s">
        <v>35</v>
      </c>
      <c r="E291" s="76">
        <v>500</v>
      </c>
      <c r="F291" s="15" t="e">
        <f>C291*E291</f>
        <v>#REF!</v>
      </c>
    </row>
    <row r="292" spans="1:6" x14ac:dyDescent="0.2">
      <c r="B292" s="74"/>
    </row>
    <row r="293" spans="1:6" x14ac:dyDescent="0.2">
      <c r="A293" s="8" t="s">
        <v>7</v>
      </c>
      <c r="B293" s="44" t="s">
        <v>38</v>
      </c>
      <c r="C293" s="41" t="e">
        <f>C283</f>
        <v>#REF!</v>
      </c>
      <c r="D293" s="8" t="s">
        <v>35</v>
      </c>
      <c r="E293" s="15">
        <f>E291</f>
        <v>500</v>
      </c>
      <c r="F293" s="15" t="e">
        <f>C293*E293</f>
        <v>#REF!</v>
      </c>
    </row>
    <row r="294" spans="1:6" x14ac:dyDescent="0.2">
      <c r="B294" s="44"/>
    </row>
    <row r="295" spans="1:6" x14ac:dyDescent="0.2">
      <c r="A295" s="8" t="s">
        <v>8</v>
      </c>
      <c r="B295" s="44" t="s">
        <v>37</v>
      </c>
      <c r="C295" s="41" t="e">
        <f>C285</f>
        <v>#REF!</v>
      </c>
      <c r="D295" s="8" t="s">
        <v>22</v>
      </c>
      <c r="E295" s="15">
        <f>E291*0.3</f>
        <v>150</v>
      </c>
      <c r="F295" s="15" t="e">
        <f>C295*E295</f>
        <v>#REF!</v>
      </c>
    </row>
    <row r="297" spans="1:6" x14ac:dyDescent="0.2">
      <c r="B297" s="9" t="s">
        <v>152</v>
      </c>
    </row>
    <row r="299" spans="1:6" x14ac:dyDescent="0.2">
      <c r="B299" s="48" t="s">
        <v>153</v>
      </c>
    </row>
    <row r="300" spans="1:6" x14ac:dyDescent="0.2">
      <c r="B300" s="48" t="s">
        <v>154</v>
      </c>
    </row>
    <row r="301" spans="1:6" x14ac:dyDescent="0.2">
      <c r="B301" s="48" t="s">
        <v>155</v>
      </c>
    </row>
    <row r="303" spans="1:6" x14ac:dyDescent="0.2">
      <c r="A303" s="8" t="s">
        <v>9</v>
      </c>
      <c r="B303" s="6" t="s">
        <v>156</v>
      </c>
      <c r="C303" s="41" t="e">
        <f>#REF!+#REF!+#REF!</f>
        <v>#REF!</v>
      </c>
      <c r="D303" s="8" t="s">
        <v>35</v>
      </c>
      <c r="E303" s="15">
        <v>750</v>
      </c>
      <c r="F303" s="15" t="e">
        <f>C303*E303</f>
        <v>#REF!</v>
      </c>
    </row>
    <row r="305" spans="1:6" x14ac:dyDescent="0.2">
      <c r="A305" s="8" t="s">
        <v>10</v>
      </c>
      <c r="B305" s="6" t="s">
        <v>157</v>
      </c>
      <c r="D305" s="8" t="s">
        <v>22</v>
      </c>
      <c r="E305" s="77">
        <f>E303*0.3</f>
        <v>225</v>
      </c>
      <c r="F305" s="15">
        <f>C305*E305</f>
        <v>0</v>
      </c>
    </row>
    <row r="307" spans="1:6" x14ac:dyDescent="0.2">
      <c r="B307" s="3" t="s">
        <v>158</v>
      </c>
      <c r="C307" s="51"/>
      <c r="E307" s="10" t="s">
        <v>15</v>
      </c>
      <c r="F307" s="11" t="e">
        <f>SUM(F280:F306)</f>
        <v>#REF!</v>
      </c>
    </row>
    <row r="309" spans="1:6" x14ac:dyDescent="0.2">
      <c r="B309" s="48" t="s">
        <v>92</v>
      </c>
    </row>
    <row r="311" spans="1:6" x14ac:dyDescent="0.2">
      <c r="B311" s="52" t="s">
        <v>159</v>
      </c>
      <c r="E311" s="15" t="e">
        <f>F276</f>
        <v>#REF!</v>
      </c>
    </row>
    <row r="312" spans="1:6" x14ac:dyDescent="0.2">
      <c r="B312" s="52"/>
    </row>
    <row r="313" spans="1:6" x14ac:dyDescent="0.2">
      <c r="B313" s="52" t="s">
        <v>160</v>
      </c>
      <c r="E313" s="15" t="e">
        <f>F307</f>
        <v>#REF!</v>
      </c>
      <c r="F313" s="78"/>
    </row>
    <row r="327" spans="1:6" x14ac:dyDescent="0.2">
      <c r="B327" s="9" t="s">
        <v>161</v>
      </c>
    </row>
    <row r="328" spans="1:6" x14ac:dyDescent="0.2">
      <c r="B328" s="3" t="s">
        <v>95</v>
      </c>
      <c r="E328" s="10" t="s">
        <v>15</v>
      </c>
      <c r="F328" s="11" t="e">
        <f>SUM(E310:E315)</f>
        <v>#REF!</v>
      </c>
    </row>
    <row r="329" spans="1:6" x14ac:dyDescent="0.2">
      <c r="B329" s="9" t="s">
        <v>162</v>
      </c>
    </row>
    <row r="330" spans="1:6" ht="12" customHeight="1" x14ac:dyDescent="0.2"/>
    <row r="331" spans="1:6" x14ac:dyDescent="0.2">
      <c r="B331" s="9" t="s">
        <v>163</v>
      </c>
    </row>
    <row r="332" spans="1:6" ht="12" customHeight="1" x14ac:dyDescent="0.2"/>
    <row r="333" spans="1:6" x14ac:dyDescent="0.2">
      <c r="B333" s="9" t="s">
        <v>164</v>
      </c>
    </row>
    <row r="334" spans="1:6" x14ac:dyDescent="0.2">
      <c r="B334" s="48" t="s">
        <v>165</v>
      </c>
    </row>
    <row r="335" spans="1:6" ht="12" customHeight="1" x14ac:dyDescent="0.2"/>
    <row r="336" spans="1:6" ht="14.25" x14ac:dyDescent="0.3">
      <c r="A336" s="8" t="s">
        <v>2</v>
      </c>
      <c r="B336" s="6" t="s">
        <v>166</v>
      </c>
      <c r="C336" s="171" t="e">
        <f>#REF!</f>
        <v>#REF!</v>
      </c>
      <c r="D336" s="8" t="s">
        <v>47</v>
      </c>
      <c r="E336" s="15">
        <f>E228</f>
        <v>30000</v>
      </c>
      <c r="F336" s="15" t="e">
        <f>C336*E336</f>
        <v>#REF!</v>
      </c>
    </row>
    <row r="338" spans="1:6" x14ac:dyDescent="0.2">
      <c r="A338" s="8" t="s">
        <v>4</v>
      </c>
      <c r="B338" s="6" t="s">
        <v>167</v>
      </c>
      <c r="C338" s="41">
        <v>0</v>
      </c>
      <c r="D338" s="8" t="s">
        <v>47</v>
      </c>
      <c r="E338" s="15">
        <f>E336</f>
        <v>30000</v>
      </c>
      <c r="F338" s="15">
        <f>C338*E338</f>
        <v>0</v>
      </c>
    </row>
    <row r="340" spans="1:6" x14ac:dyDescent="0.2">
      <c r="B340" s="6" t="s">
        <v>24</v>
      </c>
      <c r="C340" s="41">
        <v>0</v>
      </c>
      <c r="D340" s="8" t="s">
        <v>47</v>
      </c>
      <c r="E340" s="15">
        <f>E338</f>
        <v>30000</v>
      </c>
      <c r="F340" s="15">
        <f>C340*E340</f>
        <v>0</v>
      </c>
    </row>
    <row r="342" spans="1:6" x14ac:dyDescent="0.2">
      <c r="B342" s="6" t="s">
        <v>486</v>
      </c>
      <c r="C342" s="41">
        <v>0</v>
      </c>
      <c r="D342" s="8" t="s">
        <v>47</v>
      </c>
      <c r="E342" s="15">
        <f>E340</f>
        <v>30000</v>
      </c>
      <c r="F342" s="15">
        <f>C342*E342</f>
        <v>0</v>
      </c>
    </row>
    <row r="344" spans="1:6" x14ac:dyDescent="0.2">
      <c r="B344" s="9" t="s">
        <v>168</v>
      </c>
    </row>
    <row r="345" spans="1:6" x14ac:dyDescent="0.2">
      <c r="B345" s="56" t="s">
        <v>85</v>
      </c>
    </row>
    <row r="346" spans="1:6" x14ac:dyDescent="0.2">
      <c r="B346" s="56" t="s">
        <v>86</v>
      </c>
    </row>
    <row r="347" spans="1:6" ht="12" customHeight="1" x14ac:dyDescent="0.2">
      <c r="B347" s="12"/>
    </row>
    <row r="348" spans="1:6" x14ac:dyDescent="0.2">
      <c r="A348" s="8" t="s">
        <v>5</v>
      </c>
      <c r="B348" s="12" t="s">
        <v>169</v>
      </c>
      <c r="C348" s="41" t="e">
        <f>#REF!</f>
        <v>#REF!</v>
      </c>
      <c r="D348" s="8" t="s">
        <v>35</v>
      </c>
      <c r="E348" s="15">
        <v>3650</v>
      </c>
      <c r="F348" s="15" t="e">
        <f>C348*E348</f>
        <v>#REF!</v>
      </c>
    </row>
    <row r="349" spans="1:6" ht="12" customHeight="1" x14ac:dyDescent="0.2">
      <c r="B349" s="12"/>
    </row>
    <row r="350" spans="1:6" x14ac:dyDescent="0.2">
      <c r="B350" s="9" t="s">
        <v>67</v>
      </c>
    </row>
    <row r="351" spans="1:6" x14ac:dyDescent="0.2">
      <c r="B351" s="48" t="s">
        <v>116</v>
      </c>
    </row>
    <row r="352" spans="1:6" ht="12" customHeight="1" x14ac:dyDescent="0.2"/>
    <row r="353" spans="1:6" x14ac:dyDescent="0.2">
      <c r="A353" s="8" t="s">
        <v>6</v>
      </c>
      <c r="B353" s="6" t="s">
        <v>170</v>
      </c>
      <c r="D353" s="8" t="s">
        <v>35</v>
      </c>
      <c r="E353" s="15">
        <v>2900</v>
      </c>
      <c r="F353" s="15">
        <f>C353*E353</f>
        <v>0</v>
      </c>
    </row>
    <row r="354" spans="1:6" ht="12" customHeight="1" x14ac:dyDescent="0.2"/>
    <row r="355" spans="1:6" x14ac:dyDescent="0.2">
      <c r="A355" s="8" t="s">
        <v>7</v>
      </c>
      <c r="B355" s="6" t="s">
        <v>34</v>
      </c>
      <c r="C355" s="41" t="e">
        <f>#REF!</f>
        <v>#REF!</v>
      </c>
      <c r="D355" s="8" t="s">
        <v>35</v>
      </c>
      <c r="E355" s="15">
        <f>E240</f>
        <v>2500</v>
      </c>
      <c r="F355" s="15" t="e">
        <f>C355*E355</f>
        <v>#REF!</v>
      </c>
    </row>
    <row r="356" spans="1:6" ht="12" customHeight="1" x14ac:dyDescent="0.2"/>
    <row r="357" spans="1:6" x14ac:dyDescent="0.2">
      <c r="A357" s="8" t="s">
        <v>7</v>
      </c>
      <c r="B357" s="6" t="s">
        <v>24</v>
      </c>
      <c r="D357" s="8" t="s">
        <v>35</v>
      </c>
      <c r="E357" s="15">
        <f>E242</f>
        <v>450</v>
      </c>
      <c r="F357" s="15">
        <f>C357*E357</f>
        <v>0</v>
      </c>
    </row>
    <row r="358" spans="1:6" ht="12" customHeight="1" x14ac:dyDescent="0.2"/>
    <row r="359" spans="1:6" x14ac:dyDescent="0.2">
      <c r="A359" s="8" t="s">
        <v>8</v>
      </c>
      <c r="B359" s="6" t="s">
        <v>171</v>
      </c>
      <c r="D359" s="8" t="s">
        <v>22</v>
      </c>
      <c r="E359" s="15">
        <f>E353*0.15</f>
        <v>435</v>
      </c>
      <c r="F359" s="15">
        <f>C359*E359</f>
        <v>0</v>
      </c>
    </row>
    <row r="361" spans="1:6" x14ac:dyDescent="0.2">
      <c r="A361" s="8" t="s">
        <v>9</v>
      </c>
      <c r="B361" s="6" t="s">
        <v>172</v>
      </c>
      <c r="D361" s="8" t="s">
        <v>22</v>
      </c>
      <c r="E361" s="15">
        <f>E359</f>
        <v>435</v>
      </c>
      <c r="F361" s="15">
        <f>C361*E361</f>
        <v>0</v>
      </c>
    </row>
    <row r="362" spans="1:6" ht="12" customHeight="1" x14ac:dyDescent="0.2"/>
    <row r="363" spans="1:6" x14ac:dyDescent="0.2">
      <c r="B363" s="9" t="s">
        <v>102</v>
      </c>
    </row>
    <row r="364" spans="1:6" x14ac:dyDescent="0.2">
      <c r="B364" s="48" t="s">
        <v>103</v>
      </c>
    </row>
    <row r="365" spans="1:6" ht="12" customHeight="1" x14ac:dyDescent="0.2"/>
    <row r="366" spans="1:6" x14ac:dyDescent="0.2">
      <c r="A366" s="8" t="s">
        <v>10</v>
      </c>
      <c r="B366" s="6" t="s">
        <v>173</v>
      </c>
      <c r="C366" s="41" t="e">
        <f>#REF!</f>
        <v>#REF!</v>
      </c>
      <c r="D366" s="8" t="s">
        <v>75</v>
      </c>
      <c r="E366" s="15">
        <f>E253</f>
        <v>368</v>
      </c>
      <c r="F366" s="15" t="e">
        <f>C366*E366</f>
        <v>#REF!</v>
      </c>
    </row>
    <row r="368" spans="1:6" x14ac:dyDescent="0.2">
      <c r="A368" s="8" t="s">
        <v>11</v>
      </c>
      <c r="B368" s="6" t="s">
        <v>484</v>
      </c>
      <c r="C368" s="41" t="e">
        <f>#REF!</f>
        <v>#REF!</v>
      </c>
      <c r="D368" s="8" t="s">
        <v>75</v>
      </c>
      <c r="E368" s="15">
        <f>E251</f>
        <v>368</v>
      </c>
      <c r="F368" s="15" t="e">
        <f>C368*E368</f>
        <v>#REF!</v>
      </c>
    </row>
    <row r="370" spans="1:8" x14ac:dyDescent="0.2">
      <c r="A370" s="8" t="s">
        <v>11</v>
      </c>
      <c r="B370" s="6" t="s">
        <v>174</v>
      </c>
      <c r="C370" s="41" t="e">
        <f>#REF!</f>
        <v>#REF!</v>
      </c>
      <c r="D370" s="8" t="s">
        <v>75</v>
      </c>
      <c r="E370" s="15">
        <f>E253</f>
        <v>368</v>
      </c>
      <c r="F370" s="15" t="e">
        <f>C370*E370</f>
        <v>#REF!</v>
      </c>
    </row>
    <row r="372" spans="1:8" s="20" customFormat="1" x14ac:dyDescent="0.2">
      <c r="A372" s="23"/>
      <c r="B372" s="79" t="s">
        <v>175</v>
      </c>
      <c r="C372" s="671"/>
      <c r="D372" s="671"/>
      <c r="E372" s="671"/>
      <c r="F372" s="80"/>
      <c r="H372" s="81"/>
    </row>
    <row r="373" spans="1:8" s="20" customFormat="1" x14ac:dyDescent="0.2">
      <c r="A373" s="23"/>
      <c r="B373" s="82"/>
      <c r="C373" s="83"/>
      <c r="D373" s="83"/>
      <c r="E373" s="80"/>
      <c r="F373" s="80"/>
      <c r="H373" s="81"/>
    </row>
    <row r="374" spans="1:8" s="20" customFormat="1" ht="69.95" customHeight="1" x14ac:dyDescent="0.2">
      <c r="A374" s="23"/>
      <c r="B374" s="84" t="s">
        <v>176</v>
      </c>
      <c r="C374" s="83"/>
      <c r="D374" s="83"/>
      <c r="E374" s="80"/>
      <c r="F374" s="80"/>
      <c r="H374" s="81"/>
    </row>
    <row r="375" spans="1:8" s="20" customFormat="1" x14ac:dyDescent="0.2">
      <c r="A375" s="23"/>
      <c r="B375" s="82"/>
      <c r="C375" s="83"/>
      <c r="D375" s="83"/>
      <c r="E375" s="80"/>
      <c r="F375" s="80"/>
      <c r="H375" s="81"/>
    </row>
    <row r="376" spans="1:8" s="20" customFormat="1" ht="14.25" x14ac:dyDescent="0.2">
      <c r="A376" s="23" t="s">
        <v>12</v>
      </c>
      <c r="B376" s="85" t="s">
        <v>177</v>
      </c>
      <c r="C376" s="176" t="e">
        <f>#REF!</f>
        <v>#REF!</v>
      </c>
      <c r="D376" s="83" t="s">
        <v>35</v>
      </c>
      <c r="E376" s="86">
        <v>3950</v>
      </c>
      <c r="F376" s="86" t="e">
        <f>C376*E376</f>
        <v>#REF!</v>
      </c>
      <c r="H376" s="81"/>
    </row>
    <row r="377" spans="1:8" s="20" customFormat="1" ht="14.25" x14ac:dyDescent="0.2">
      <c r="A377" s="23"/>
      <c r="B377" s="87"/>
      <c r="C377" s="176"/>
      <c r="D377" s="83"/>
      <c r="E377" s="86"/>
      <c r="F377" s="86"/>
      <c r="H377" s="81"/>
    </row>
    <row r="378" spans="1:8" s="20" customFormat="1" ht="14.25" x14ac:dyDescent="0.2">
      <c r="A378" s="23" t="s">
        <v>13</v>
      </c>
      <c r="B378" s="87" t="s">
        <v>178</v>
      </c>
      <c r="C378" s="176" t="e">
        <f>#REF!</f>
        <v>#REF!</v>
      </c>
      <c r="D378" s="39" t="s">
        <v>22</v>
      </c>
      <c r="E378" s="86">
        <f>E376*0.1</f>
        <v>395</v>
      </c>
      <c r="F378" s="86" t="e">
        <f>C378*E378</f>
        <v>#REF!</v>
      </c>
      <c r="H378" s="81"/>
    </row>
    <row r="379" spans="1:8" s="20" customFormat="1" ht="14.25" x14ac:dyDescent="0.2">
      <c r="A379" s="23"/>
      <c r="B379" s="87"/>
      <c r="C379" s="176"/>
      <c r="D379" s="83"/>
      <c r="E379" s="86"/>
      <c r="F379" s="86"/>
      <c r="H379" s="81"/>
    </row>
    <row r="380" spans="1:8" s="20" customFormat="1" ht="14.25" x14ac:dyDescent="0.2">
      <c r="A380" s="23" t="s">
        <v>14</v>
      </c>
      <c r="B380" s="87" t="s">
        <v>179</v>
      </c>
      <c r="C380" s="176" t="e">
        <f>#REF!</f>
        <v>#REF!</v>
      </c>
      <c r="D380" s="83" t="s">
        <v>22</v>
      </c>
      <c r="E380" s="86">
        <f>E378</f>
        <v>395</v>
      </c>
      <c r="F380" s="86" t="e">
        <f>C380*E380</f>
        <v>#REF!</v>
      </c>
      <c r="H380" s="81"/>
    </row>
    <row r="381" spans="1:8" s="20" customFormat="1" x14ac:dyDescent="0.2">
      <c r="A381" s="23"/>
      <c r="B381" s="87"/>
      <c r="C381" s="83"/>
      <c r="D381" s="83"/>
      <c r="E381" s="80"/>
      <c r="F381" s="80"/>
      <c r="H381" s="81"/>
    </row>
    <row r="382" spans="1:8" x14ac:dyDescent="0.2">
      <c r="A382" s="39"/>
      <c r="B382" s="71" t="s">
        <v>180</v>
      </c>
      <c r="C382" s="189"/>
      <c r="D382" s="39"/>
      <c r="E382" s="88"/>
      <c r="F382" s="89"/>
    </row>
    <row r="383" spans="1:8" x14ac:dyDescent="0.2">
      <c r="A383" s="39"/>
      <c r="B383" s="90" t="s">
        <v>181</v>
      </c>
      <c r="C383" s="189"/>
      <c r="D383" s="39"/>
      <c r="E383" s="88"/>
      <c r="F383" s="89"/>
    </row>
    <row r="384" spans="1:8" x14ac:dyDescent="0.2">
      <c r="A384" s="39"/>
      <c r="B384" s="44"/>
      <c r="C384" s="189"/>
      <c r="D384" s="39"/>
      <c r="E384" s="88"/>
      <c r="F384" s="89"/>
    </row>
    <row r="385" spans="1:15" x14ac:dyDescent="0.2">
      <c r="A385" s="39" t="s">
        <v>15</v>
      </c>
      <c r="B385" s="44" t="s">
        <v>182</v>
      </c>
      <c r="D385" s="39" t="s">
        <v>35</v>
      </c>
      <c r="E385" s="88">
        <v>4000</v>
      </c>
      <c r="F385" s="15">
        <f>C385*E385</f>
        <v>0</v>
      </c>
    </row>
    <row r="386" spans="1:15" x14ac:dyDescent="0.2">
      <c r="A386" s="39"/>
      <c r="B386" s="44"/>
      <c r="D386" s="39"/>
      <c r="E386" s="88"/>
    </row>
    <row r="387" spans="1:15" x14ac:dyDescent="0.2">
      <c r="A387" s="39" t="s">
        <v>16</v>
      </c>
      <c r="B387" s="44" t="s">
        <v>183</v>
      </c>
      <c r="D387" s="39" t="s">
        <v>35</v>
      </c>
      <c r="E387" s="88">
        <f>E385</f>
        <v>4000</v>
      </c>
      <c r="F387" s="15">
        <f>C387*E387</f>
        <v>0</v>
      </c>
    </row>
    <row r="388" spans="1:15" x14ac:dyDescent="0.2">
      <c r="A388" s="39"/>
      <c r="B388" s="44"/>
      <c r="C388" s="189"/>
      <c r="D388" s="39"/>
      <c r="E388" s="88"/>
      <c r="F388" s="89"/>
    </row>
    <row r="389" spans="1:15" x14ac:dyDescent="0.2">
      <c r="A389" s="39" t="s">
        <v>17</v>
      </c>
      <c r="B389" s="44" t="s">
        <v>184</v>
      </c>
      <c r="D389" s="39" t="s">
        <v>185</v>
      </c>
      <c r="E389" s="88">
        <v>1500</v>
      </c>
      <c r="F389" s="15">
        <f>C389*E389</f>
        <v>0</v>
      </c>
    </row>
    <row r="390" spans="1:15" x14ac:dyDescent="0.2">
      <c r="A390" s="39"/>
      <c r="B390" s="44"/>
      <c r="C390" s="189"/>
      <c r="D390" s="39"/>
      <c r="E390" s="88"/>
      <c r="F390" s="89"/>
    </row>
    <row r="391" spans="1:15" x14ac:dyDescent="0.2">
      <c r="A391" s="39"/>
      <c r="B391" s="44"/>
      <c r="C391" s="189"/>
      <c r="D391" s="39"/>
      <c r="E391" s="88"/>
      <c r="F391" s="89"/>
    </row>
    <row r="392" spans="1:15" x14ac:dyDescent="0.2">
      <c r="A392" s="39"/>
      <c r="B392" s="44"/>
      <c r="C392" s="189"/>
      <c r="D392" s="39"/>
      <c r="E392" s="88"/>
      <c r="F392" s="89"/>
    </row>
    <row r="393" spans="1:15" x14ac:dyDescent="0.2">
      <c r="A393" s="39"/>
      <c r="B393" s="44"/>
      <c r="C393" s="189"/>
      <c r="D393" s="39"/>
      <c r="E393" s="88"/>
      <c r="F393" s="89"/>
    </row>
    <row r="394" spans="1:15" x14ac:dyDescent="0.2">
      <c r="A394" s="39"/>
      <c r="B394" s="44"/>
      <c r="C394" s="189"/>
      <c r="D394" s="39"/>
      <c r="E394" s="88"/>
      <c r="F394" s="89"/>
    </row>
    <row r="395" spans="1:15" x14ac:dyDescent="0.2">
      <c r="B395" s="3" t="s">
        <v>66</v>
      </c>
      <c r="C395" s="51"/>
      <c r="E395" s="10" t="s">
        <v>15</v>
      </c>
      <c r="F395" s="11" t="e">
        <f>SUM(F333:F390)</f>
        <v>#REF!</v>
      </c>
    </row>
    <row r="396" spans="1:15" x14ac:dyDescent="0.2">
      <c r="B396" s="9" t="s">
        <v>163</v>
      </c>
      <c r="H396" s="20"/>
      <c r="I396" s="20"/>
      <c r="J396" s="20"/>
      <c r="K396" s="20"/>
      <c r="L396" s="20"/>
      <c r="M396" s="20"/>
      <c r="N396" s="152"/>
      <c r="O396" s="20"/>
    </row>
    <row r="397" spans="1:15" ht="12" customHeight="1" x14ac:dyDescent="0.2">
      <c r="H397" s="20"/>
      <c r="I397" s="20"/>
      <c r="J397" s="20"/>
      <c r="K397" s="20"/>
      <c r="L397" s="20"/>
      <c r="M397" s="20"/>
      <c r="N397" s="152"/>
      <c r="O397" s="20"/>
    </row>
    <row r="398" spans="1:15" s="20" customFormat="1" x14ac:dyDescent="0.2">
      <c r="A398" s="16"/>
      <c r="B398" s="91" t="s">
        <v>186</v>
      </c>
      <c r="C398" s="16"/>
      <c r="D398" s="16"/>
      <c r="E398" s="92"/>
      <c r="F398" s="93"/>
      <c r="N398" s="152"/>
    </row>
    <row r="399" spans="1:15" s="20" customFormat="1" ht="12" customHeight="1" x14ac:dyDescent="0.2">
      <c r="A399" s="16"/>
      <c r="B399" s="21"/>
      <c r="C399" s="16"/>
      <c r="D399" s="16"/>
      <c r="E399" s="92"/>
      <c r="F399" s="93"/>
      <c r="N399" s="152"/>
    </row>
    <row r="400" spans="1:15" s="20" customFormat="1" ht="12.95" customHeight="1" x14ac:dyDescent="0.2">
      <c r="A400" s="16"/>
      <c r="B400" s="94" t="s">
        <v>187</v>
      </c>
      <c r="C400" s="16"/>
      <c r="D400" s="16"/>
      <c r="E400" s="92"/>
      <c r="F400" s="93"/>
      <c r="H400" s="95"/>
      <c r="N400" s="152"/>
    </row>
    <row r="401" spans="1:15" s="20" customFormat="1" x14ac:dyDescent="0.2">
      <c r="A401" s="16"/>
      <c r="B401" s="21"/>
      <c r="C401" s="16"/>
      <c r="D401" s="16"/>
      <c r="E401" s="92"/>
      <c r="F401" s="93"/>
      <c r="N401" s="152"/>
    </row>
    <row r="402" spans="1:15" s="20" customFormat="1" ht="14.25" x14ac:dyDescent="0.2">
      <c r="A402" s="16" t="s">
        <v>2</v>
      </c>
      <c r="B402" s="21" t="s">
        <v>188</v>
      </c>
      <c r="C402" s="7"/>
      <c r="D402" s="16" t="s">
        <v>22</v>
      </c>
      <c r="E402" s="96">
        <v>500</v>
      </c>
      <c r="F402" s="97">
        <f>C402*E402</f>
        <v>0</v>
      </c>
      <c r="G402" s="98"/>
      <c r="H402" s="95"/>
      <c r="N402" s="152"/>
    </row>
    <row r="403" spans="1:15" s="20" customFormat="1" ht="14.25" x14ac:dyDescent="0.2">
      <c r="A403" s="16"/>
      <c r="B403" s="21"/>
      <c r="C403" s="7"/>
      <c r="D403" s="16"/>
      <c r="E403" s="96"/>
      <c r="F403" s="97"/>
      <c r="N403" s="152"/>
    </row>
    <row r="404" spans="1:15" s="20" customFormat="1" ht="14.25" x14ac:dyDescent="0.2">
      <c r="A404" s="16" t="s">
        <v>4</v>
      </c>
      <c r="B404" s="21" t="s">
        <v>189</v>
      </c>
      <c r="C404" s="7"/>
      <c r="D404" s="16" t="s">
        <v>22</v>
      </c>
      <c r="E404" s="96">
        <f>E402</f>
        <v>500</v>
      </c>
      <c r="F404" s="97">
        <f>C409*E404</f>
        <v>0</v>
      </c>
      <c r="G404" s="98"/>
      <c r="H404" s="95"/>
      <c r="N404" s="152"/>
    </row>
    <row r="405" spans="1:15" s="20" customFormat="1" ht="14.25" x14ac:dyDescent="0.2">
      <c r="A405" s="16"/>
      <c r="B405" s="21"/>
      <c r="C405" s="7"/>
      <c r="D405" s="16"/>
      <c r="E405" s="96"/>
      <c r="F405" s="97"/>
      <c r="N405" s="152"/>
    </row>
    <row r="406" spans="1:15" s="20" customFormat="1" ht="14.25" x14ac:dyDescent="0.2">
      <c r="A406" s="16" t="s">
        <v>5</v>
      </c>
      <c r="B406" s="21" t="s">
        <v>190</v>
      </c>
      <c r="C406" s="7"/>
      <c r="D406" s="16" t="s">
        <v>22</v>
      </c>
      <c r="E406" s="96">
        <f>E402</f>
        <v>500</v>
      </c>
      <c r="F406" s="97">
        <f>C406*E406</f>
        <v>0</v>
      </c>
      <c r="G406" s="98"/>
      <c r="H406" s="95"/>
      <c r="N406" s="152"/>
    </row>
    <row r="407" spans="1:15" s="20" customFormat="1" ht="12" customHeight="1" x14ac:dyDescent="0.2">
      <c r="A407" s="16"/>
      <c r="B407" s="21"/>
      <c r="C407" s="7"/>
      <c r="D407" s="16"/>
      <c r="E407" s="96"/>
      <c r="F407" s="97"/>
      <c r="N407" s="152"/>
    </row>
    <row r="408" spans="1:15" s="20" customFormat="1" ht="14.25" x14ac:dyDescent="0.2">
      <c r="A408" s="16" t="s">
        <v>6</v>
      </c>
      <c r="B408" s="1" t="s">
        <v>662</v>
      </c>
      <c r="C408" s="7"/>
      <c r="D408" s="16" t="s">
        <v>22</v>
      </c>
      <c r="E408" s="96">
        <f>E402</f>
        <v>500</v>
      </c>
      <c r="F408" s="97">
        <v>6317500</v>
      </c>
      <c r="G408" s="98"/>
      <c r="H408" s="12"/>
      <c r="K408" s="12"/>
      <c r="L408" s="12"/>
      <c r="M408" s="12"/>
      <c r="N408" s="12"/>
      <c r="O408" s="12"/>
    </row>
    <row r="409" spans="1:15" s="20" customFormat="1" ht="12" customHeight="1" thickBot="1" x14ac:dyDescent="0.25">
      <c r="A409" s="16"/>
      <c r="B409" s="21"/>
      <c r="C409" s="99">
        <f>SUM(C402:C408)</f>
        <v>0</v>
      </c>
      <c r="D409" s="16"/>
      <c r="E409" s="96"/>
      <c r="F409" s="97"/>
      <c r="H409" s="12"/>
      <c r="K409" s="12"/>
      <c r="L409" s="12"/>
      <c r="M409" s="12"/>
      <c r="N409" s="12"/>
      <c r="O409" s="12"/>
    </row>
    <row r="410" spans="1:15" x14ac:dyDescent="0.2">
      <c r="B410" s="3" t="s">
        <v>158</v>
      </c>
      <c r="C410" s="51"/>
      <c r="E410" s="10" t="s">
        <v>15</v>
      </c>
      <c r="F410" s="11">
        <f>SUM(F399:F409)</f>
        <v>6317500</v>
      </c>
      <c r="I410" s="20"/>
      <c r="J410" s="20"/>
    </row>
    <row r="411" spans="1:15" x14ac:dyDescent="0.2">
      <c r="I411" s="20"/>
      <c r="J411" s="20"/>
    </row>
    <row r="412" spans="1:15" x14ac:dyDescent="0.2">
      <c r="B412" s="48" t="s">
        <v>92</v>
      </c>
      <c r="I412" s="20"/>
      <c r="J412" s="20"/>
    </row>
    <row r="413" spans="1:15" x14ac:dyDescent="0.2">
      <c r="I413" s="20"/>
      <c r="J413" s="20"/>
    </row>
    <row r="414" spans="1:15" x14ac:dyDescent="0.2">
      <c r="B414" s="52" t="s">
        <v>192</v>
      </c>
      <c r="E414" s="15" t="e">
        <f>F395</f>
        <v>#REF!</v>
      </c>
      <c r="I414" s="20"/>
      <c r="J414" s="20"/>
    </row>
    <row r="415" spans="1:15" x14ac:dyDescent="0.2">
      <c r="B415" s="52"/>
      <c r="I415" s="20"/>
      <c r="J415" s="20"/>
    </row>
    <row r="416" spans="1:15" x14ac:dyDescent="0.2">
      <c r="B416" s="52" t="s">
        <v>193</v>
      </c>
      <c r="E416" s="15">
        <f>F410</f>
        <v>6317500</v>
      </c>
      <c r="F416" s="78"/>
      <c r="I416" s="20"/>
      <c r="J416" s="20"/>
    </row>
    <row r="421" spans="1:6" x14ac:dyDescent="0.2">
      <c r="B421" s="9" t="s">
        <v>163</v>
      </c>
    </row>
    <row r="422" spans="1:6" x14ac:dyDescent="0.2">
      <c r="B422" s="3" t="s">
        <v>95</v>
      </c>
      <c r="E422" s="10" t="s">
        <v>15</v>
      </c>
      <c r="F422" s="11" t="e">
        <f>SUM(E412:E419)</f>
        <v>#REF!</v>
      </c>
    </row>
    <row r="423" spans="1:6" x14ac:dyDescent="0.2">
      <c r="B423" s="9" t="s">
        <v>194</v>
      </c>
    </row>
    <row r="425" spans="1:6" x14ac:dyDescent="0.2">
      <c r="B425" s="9" t="s">
        <v>195</v>
      </c>
    </row>
    <row r="427" spans="1:6" x14ac:dyDescent="0.2">
      <c r="B427" s="9" t="s">
        <v>84</v>
      </c>
    </row>
    <row r="429" spans="1:6" x14ac:dyDescent="0.2">
      <c r="B429" s="56" t="s">
        <v>85</v>
      </c>
    </row>
    <row r="430" spans="1:6" x14ac:dyDescent="0.2">
      <c r="B430" s="56" t="s">
        <v>86</v>
      </c>
    </row>
    <row r="431" spans="1:6" x14ac:dyDescent="0.2">
      <c r="B431" s="12"/>
    </row>
    <row r="432" spans="1:6" ht="14.25" x14ac:dyDescent="0.3">
      <c r="A432" s="8" t="s">
        <v>2</v>
      </c>
      <c r="B432" s="12" t="s">
        <v>196</v>
      </c>
      <c r="C432" s="171" t="e">
        <f>#REF!</f>
        <v>#REF!</v>
      </c>
      <c r="D432" s="8" t="s">
        <v>35</v>
      </c>
      <c r="E432" s="15">
        <v>3650</v>
      </c>
      <c r="F432" s="15" t="e">
        <f>C432*E432</f>
        <v>#REF!</v>
      </c>
    </row>
    <row r="433" spans="1:6" x14ac:dyDescent="0.2">
      <c r="B433" s="12"/>
    </row>
    <row r="434" spans="1:6" x14ac:dyDescent="0.2">
      <c r="A434" s="8" t="s">
        <v>4</v>
      </c>
      <c r="B434" s="12" t="s">
        <v>197</v>
      </c>
      <c r="D434" s="8" t="s">
        <v>35</v>
      </c>
      <c r="E434" s="76">
        <v>3650</v>
      </c>
      <c r="F434" s="15">
        <f>C434*E434</f>
        <v>0</v>
      </c>
    </row>
    <row r="474" spans="2:6" x14ac:dyDescent="0.2">
      <c r="B474" s="9" t="s">
        <v>198</v>
      </c>
    </row>
    <row r="475" spans="2:6" x14ac:dyDescent="0.2">
      <c r="B475" s="3" t="s">
        <v>95</v>
      </c>
      <c r="E475" s="10" t="s">
        <v>15</v>
      </c>
      <c r="F475" s="11" t="e">
        <f>SUM(F429:F474)</f>
        <v>#REF!</v>
      </c>
    </row>
    <row r="476" spans="2:6" ht="12.95" customHeight="1" x14ac:dyDescent="0.2">
      <c r="B476" s="9" t="s">
        <v>199</v>
      </c>
    </row>
    <row r="477" spans="2:6" ht="12" customHeight="1" x14ac:dyDescent="0.2"/>
    <row r="478" spans="2:6" x14ac:dyDescent="0.2">
      <c r="B478" s="9" t="s">
        <v>200</v>
      </c>
    </row>
    <row r="479" spans="2:6" ht="12" customHeight="1" x14ac:dyDescent="0.2">
      <c r="B479" s="9"/>
    </row>
    <row r="480" spans="2:6" x14ac:dyDescent="0.2">
      <c r="B480" s="9" t="s">
        <v>98</v>
      </c>
    </row>
    <row r="481" spans="1:6" x14ac:dyDescent="0.2">
      <c r="B481" s="48" t="s">
        <v>201</v>
      </c>
    </row>
    <row r="482" spans="1:6" ht="12" customHeight="1" x14ac:dyDescent="0.2"/>
    <row r="483" spans="1:6" ht="14.25" x14ac:dyDescent="0.3">
      <c r="A483" s="8" t="s">
        <v>2</v>
      </c>
      <c r="B483" s="6" t="s">
        <v>25</v>
      </c>
      <c r="C483" s="171" t="e">
        <f>#REF!</f>
        <v>#REF!</v>
      </c>
      <c r="D483" s="8" t="s">
        <v>47</v>
      </c>
      <c r="E483" s="15">
        <f>E336</f>
        <v>30000</v>
      </c>
      <c r="F483" s="15" t="e">
        <f>C483*E483</f>
        <v>#REF!</v>
      </c>
    </row>
    <row r="484" spans="1:6" ht="12" customHeight="1" x14ac:dyDescent="0.3">
      <c r="C484" s="171"/>
    </row>
    <row r="485" spans="1:6" ht="14.25" x14ac:dyDescent="0.3">
      <c r="B485" s="9" t="s">
        <v>67</v>
      </c>
      <c r="C485" s="171"/>
    </row>
    <row r="486" spans="1:6" ht="12" customHeight="1" x14ac:dyDescent="0.3">
      <c r="C486" s="171"/>
    </row>
    <row r="487" spans="1:6" ht="14.25" x14ac:dyDescent="0.3">
      <c r="B487" s="48" t="s">
        <v>68</v>
      </c>
      <c r="C487" s="171"/>
    </row>
    <row r="488" spans="1:6" ht="12" customHeight="1" x14ac:dyDescent="0.3">
      <c r="C488" s="171"/>
    </row>
    <row r="489" spans="1:6" ht="14.25" x14ac:dyDescent="0.3">
      <c r="A489" s="8" t="s">
        <v>4</v>
      </c>
      <c r="B489" s="44" t="s">
        <v>202</v>
      </c>
      <c r="C489" s="171" t="e">
        <f>#REF!</f>
        <v>#REF!</v>
      </c>
      <c r="D489" s="8" t="s">
        <v>35</v>
      </c>
      <c r="E489" s="15">
        <f>E355</f>
        <v>2500</v>
      </c>
      <c r="F489" s="15" t="e">
        <f>C489*E489</f>
        <v>#REF!</v>
      </c>
    </row>
    <row r="490" spans="1:6" ht="12" customHeight="1" x14ac:dyDescent="0.3">
      <c r="C490" s="171"/>
    </row>
    <row r="491" spans="1:6" ht="14.25" x14ac:dyDescent="0.3">
      <c r="B491" s="9" t="s">
        <v>102</v>
      </c>
      <c r="C491" s="171"/>
    </row>
    <row r="492" spans="1:6" ht="14.25" x14ac:dyDescent="0.3">
      <c r="B492" s="48" t="s">
        <v>103</v>
      </c>
      <c r="C492" s="171"/>
    </row>
    <row r="493" spans="1:6" ht="14.25" x14ac:dyDescent="0.3">
      <c r="C493" s="171"/>
    </row>
    <row r="494" spans="1:6" ht="14.25" x14ac:dyDescent="0.3">
      <c r="A494" s="8" t="s">
        <v>5</v>
      </c>
      <c r="B494" s="6" t="s">
        <v>106</v>
      </c>
      <c r="C494" s="171" t="e">
        <f>#REF!</f>
        <v>#REF!</v>
      </c>
      <c r="D494" s="8" t="s">
        <v>75</v>
      </c>
      <c r="E494" s="15">
        <f>E71</f>
        <v>368</v>
      </c>
      <c r="F494" s="15" t="e">
        <f>C494*E494</f>
        <v>#REF!</v>
      </c>
    </row>
    <row r="495" spans="1:6" ht="14.25" x14ac:dyDescent="0.3">
      <c r="C495" s="171"/>
    </row>
    <row r="496" spans="1:6" ht="14.25" x14ac:dyDescent="0.3">
      <c r="A496" s="8" t="s">
        <v>6</v>
      </c>
      <c r="B496" s="6" t="s">
        <v>136</v>
      </c>
      <c r="C496" s="171" t="e">
        <f>#REF!</f>
        <v>#REF!</v>
      </c>
      <c r="D496" s="8" t="s">
        <v>75</v>
      </c>
      <c r="E496" s="15">
        <f>E494</f>
        <v>368</v>
      </c>
      <c r="F496" s="15" t="e">
        <f>C496*E496</f>
        <v>#REF!</v>
      </c>
    </row>
    <row r="498" spans="1:8" x14ac:dyDescent="0.2">
      <c r="B498" s="9" t="s">
        <v>203</v>
      </c>
    </row>
    <row r="500" spans="1:8" x14ac:dyDescent="0.2">
      <c r="B500" s="9" t="s">
        <v>204</v>
      </c>
      <c r="D500" s="672"/>
      <c r="E500" s="672"/>
    </row>
    <row r="501" spans="1:8" x14ac:dyDescent="0.2">
      <c r="B501" s="9" t="s">
        <v>205</v>
      </c>
    </row>
    <row r="502" spans="1:8" x14ac:dyDescent="0.2">
      <c r="B502" s="9" t="s">
        <v>206</v>
      </c>
    </row>
    <row r="504" spans="1:8" ht="14.25" x14ac:dyDescent="0.3">
      <c r="A504" s="8" t="s">
        <v>7</v>
      </c>
      <c r="B504" s="6" t="s">
        <v>500</v>
      </c>
      <c r="C504" s="171"/>
      <c r="D504" s="8" t="s">
        <v>185</v>
      </c>
      <c r="E504" s="15">
        <v>243000.00000000003</v>
      </c>
      <c r="F504" s="15">
        <f>C504*E504</f>
        <v>0</v>
      </c>
      <c r="G504" s="103"/>
      <c r="H504" s="100">
        <f>3*1.8*45000</f>
        <v>243000.00000000003</v>
      </c>
    </row>
    <row r="505" spans="1:8" ht="14.25" x14ac:dyDescent="0.3">
      <c r="C505" s="171"/>
      <c r="G505" s="103"/>
      <c r="H505" s="100"/>
    </row>
    <row r="506" spans="1:8" ht="14.25" x14ac:dyDescent="0.3">
      <c r="A506" s="8" t="s">
        <v>8</v>
      </c>
      <c r="B506" s="6" t="s">
        <v>501</v>
      </c>
      <c r="C506" s="171"/>
      <c r="D506" s="8" t="s">
        <v>185</v>
      </c>
      <c r="E506" s="15">
        <v>121500.00000000001</v>
      </c>
      <c r="F506" s="15">
        <f>C506*E506</f>
        <v>0</v>
      </c>
      <c r="G506" s="103"/>
      <c r="H506" s="100">
        <f>1.5*1.8*45000</f>
        <v>121500.00000000001</v>
      </c>
    </row>
    <row r="507" spans="1:8" ht="14.25" x14ac:dyDescent="0.3">
      <c r="C507" s="171"/>
      <c r="G507" s="103"/>
      <c r="H507" s="100"/>
    </row>
    <row r="508" spans="1:8" ht="14.25" x14ac:dyDescent="0.3">
      <c r="A508" s="8" t="s">
        <v>9</v>
      </c>
      <c r="B508" s="6" t="s">
        <v>502</v>
      </c>
      <c r="C508" s="171"/>
      <c r="D508" s="8" t="s">
        <v>185</v>
      </c>
      <c r="E508" s="15">
        <v>64800</v>
      </c>
      <c r="F508" s="15">
        <f>C508*E508</f>
        <v>0</v>
      </c>
      <c r="G508" s="103"/>
      <c r="H508" s="100">
        <f>1.2*1.2*45000</f>
        <v>64800</v>
      </c>
    </row>
    <row r="509" spans="1:8" ht="14.25" x14ac:dyDescent="0.3">
      <c r="C509" s="171"/>
      <c r="G509" s="103"/>
      <c r="H509" s="100"/>
    </row>
    <row r="510" spans="1:8" ht="14.25" x14ac:dyDescent="0.3">
      <c r="A510" s="8" t="s">
        <v>10</v>
      </c>
      <c r="B510" s="6" t="s">
        <v>503</v>
      </c>
      <c r="C510" s="171"/>
      <c r="D510" s="8" t="s">
        <v>185</v>
      </c>
      <c r="E510" s="15">
        <v>20249.999999999996</v>
      </c>
      <c r="F510" s="15">
        <f>C510*E510</f>
        <v>0</v>
      </c>
      <c r="G510" s="103"/>
      <c r="H510" s="100">
        <f>0.6*0.75*45000</f>
        <v>20249.999999999996</v>
      </c>
    </row>
    <row r="511" spans="1:8" ht="14.25" x14ac:dyDescent="0.3">
      <c r="C511" s="171"/>
      <c r="G511" s="103"/>
      <c r="H511" s="100"/>
    </row>
    <row r="512" spans="1:8" ht="14.25" x14ac:dyDescent="0.3">
      <c r="A512" s="8" t="s">
        <v>11</v>
      </c>
      <c r="B512" s="6" t="s">
        <v>504</v>
      </c>
      <c r="C512" s="171"/>
      <c r="D512" s="8" t="s">
        <v>185</v>
      </c>
      <c r="E512" s="15">
        <v>182250</v>
      </c>
      <c r="F512" s="15">
        <f>C512*E512</f>
        <v>0</v>
      </c>
      <c r="G512" s="103"/>
      <c r="H512" s="100">
        <f>2.25*1.8*45000</f>
        <v>182250</v>
      </c>
    </row>
    <row r="513" spans="1:8" ht="14.25" x14ac:dyDescent="0.3">
      <c r="C513" s="171"/>
      <c r="G513" s="103"/>
      <c r="H513" s="100"/>
    </row>
    <row r="514" spans="1:8" ht="14.25" x14ac:dyDescent="0.3">
      <c r="A514" s="8" t="s">
        <v>12</v>
      </c>
      <c r="B514" s="6" t="s">
        <v>505</v>
      </c>
      <c r="C514" s="171"/>
      <c r="D514" s="8" t="s">
        <v>185</v>
      </c>
      <c r="E514" s="15">
        <v>97200</v>
      </c>
      <c r="F514" s="15">
        <f>C514*E514</f>
        <v>0</v>
      </c>
      <c r="G514" s="103"/>
      <c r="H514" s="100">
        <f>1.2*1.8*45000</f>
        <v>97200</v>
      </c>
    </row>
    <row r="515" spans="1:8" ht="14.25" x14ac:dyDescent="0.3">
      <c r="C515" s="171"/>
      <c r="G515" s="153"/>
      <c r="H515" s="100"/>
    </row>
    <row r="516" spans="1:8" ht="14.25" x14ac:dyDescent="0.3">
      <c r="A516" s="8" t="s">
        <v>13</v>
      </c>
      <c r="B516" s="6" t="s">
        <v>506</v>
      </c>
      <c r="C516" s="171"/>
      <c r="D516" s="8" t="s">
        <v>185</v>
      </c>
      <c r="E516" s="15">
        <v>30375.000000000004</v>
      </c>
      <c r="F516" s="15">
        <f>C516*E516</f>
        <v>0</v>
      </c>
      <c r="G516" s="103"/>
      <c r="H516" s="100">
        <f>0.9*0.75*45000</f>
        <v>30375.000000000004</v>
      </c>
    </row>
    <row r="517" spans="1:8" ht="14.25" x14ac:dyDescent="0.3">
      <c r="C517" s="171"/>
      <c r="G517" s="103"/>
      <c r="H517" s="100"/>
    </row>
    <row r="518" spans="1:8" ht="14.25" x14ac:dyDescent="0.3">
      <c r="A518" s="57" t="s">
        <v>14</v>
      </c>
      <c r="B518" s="58" t="s">
        <v>496</v>
      </c>
      <c r="C518" s="177"/>
      <c r="D518" s="59" t="s">
        <v>3</v>
      </c>
      <c r="E518" s="60">
        <v>194400</v>
      </c>
      <c r="F518" s="61">
        <f>C518*E518</f>
        <v>0</v>
      </c>
      <c r="H518" s="100">
        <f>2.4*1.8*45000</f>
        <v>194400</v>
      </c>
    </row>
    <row r="519" spans="1:8" ht="14.25" x14ac:dyDescent="0.3">
      <c r="A519" s="57"/>
      <c r="B519" s="58"/>
      <c r="C519" s="177"/>
      <c r="D519" s="59"/>
      <c r="E519" s="60"/>
      <c r="F519" s="61"/>
      <c r="H519" s="100"/>
    </row>
    <row r="520" spans="1:8" ht="14.25" x14ac:dyDescent="0.3">
      <c r="A520" s="57" t="s">
        <v>14</v>
      </c>
      <c r="B520" s="58" t="s">
        <v>497</v>
      </c>
      <c r="C520" s="177"/>
      <c r="D520" s="59" t="s">
        <v>3</v>
      </c>
      <c r="E520" s="60">
        <v>323999.99999999994</v>
      </c>
      <c r="F520" s="61">
        <f>C520*E520</f>
        <v>0</v>
      </c>
      <c r="H520" s="100">
        <f>3*2.4*45000</f>
        <v>323999.99999999994</v>
      </c>
    </row>
    <row r="521" spans="1:8" x14ac:dyDescent="0.2">
      <c r="B521" s="69" t="s">
        <v>207</v>
      </c>
    </row>
    <row r="522" spans="1:8" x14ac:dyDescent="0.2">
      <c r="B522" s="12"/>
    </row>
    <row r="523" spans="1:8" ht="29.45" customHeight="1" x14ac:dyDescent="0.2">
      <c r="B523" s="65" t="s">
        <v>208</v>
      </c>
    </row>
    <row r="524" spans="1:8" x14ac:dyDescent="0.2">
      <c r="B524" s="12"/>
    </row>
    <row r="525" spans="1:8" x14ac:dyDescent="0.2">
      <c r="A525" s="57" t="s">
        <v>16</v>
      </c>
      <c r="B525" s="58" t="s">
        <v>490</v>
      </c>
      <c r="C525" s="59"/>
      <c r="D525" s="59" t="s">
        <v>3</v>
      </c>
      <c r="E525" s="60">
        <v>200000</v>
      </c>
      <c r="F525" s="61">
        <f>C525*E525</f>
        <v>0</v>
      </c>
      <c r="G525" s="103"/>
      <c r="H525" s="100"/>
    </row>
    <row r="526" spans="1:8" x14ac:dyDescent="0.2">
      <c r="A526" s="57"/>
      <c r="B526" s="58"/>
      <c r="C526" s="59"/>
      <c r="D526" s="59"/>
      <c r="E526" s="60"/>
      <c r="F526" s="61"/>
    </row>
    <row r="527" spans="1:8" x14ac:dyDescent="0.2">
      <c r="A527" s="57" t="s">
        <v>15</v>
      </c>
      <c r="B527" s="58" t="s">
        <v>499</v>
      </c>
      <c r="C527" s="59" t="e">
        <f>#REF!</f>
        <v>#REF!</v>
      </c>
      <c r="D527" s="59" t="s">
        <v>3</v>
      </c>
      <c r="E527" s="60">
        <v>200000</v>
      </c>
      <c r="F527" s="61" t="e">
        <f>C527*E527</f>
        <v>#REF!</v>
      </c>
    </row>
    <row r="528" spans="1:8" x14ac:dyDescent="0.2">
      <c r="A528" s="57"/>
      <c r="B528" s="58"/>
      <c r="C528" s="59"/>
      <c r="D528" s="59"/>
      <c r="E528" s="60"/>
      <c r="F528" s="61"/>
    </row>
    <row r="529" spans="1:8" x14ac:dyDescent="0.2">
      <c r="A529" s="57" t="s">
        <v>16</v>
      </c>
      <c r="B529" s="58" t="s">
        <v>498</v>
      </c>
      <c r="C529" s="59" t="e">
        <f>#REF!</f>
        <v>#REF!</v>
      </c>
      <c r="D529" s="59" t="s">
        <v>3</v>
      </c>
      <c r="E529" s="60">
        <v>175000</v>
      </c>
      <c r="F529" s="61" t="e">
        <f>C529*E529</f>
        <v>#REF!</v>
      </c>
      <c r="G529" s="103"/>
      <c r="H529" s="100"/>
    </row>
    <row r="530" spans="1:8" x14ac:dyDescent="0.2">
      <c r="B530" s="48"/>
      <c r="G530" s="20"/>
      <c r="H530" s="20"/>
    </row>
    <row r="531" spans="1:8" x14ac:dyDescent="0.2">
      <c r="A531" s="57" t="s">
        <v>16</v>
      </c>
      <c r="B531" s="58" t="s">
        <v>491</v>
      </c>
      <c r="C531" s="59"/>
      <c r="D531" s="59" t="s">
        <v>3</v>
      </c>
      <c r="E531" s="60">
        <v>40000</v>
      </c>
      <c r="F531" s="61">
        <f>C531*E531</f>
        <v>0</v>
      </c>
      <c r="G531" s="103"/>
      <c r="H531" s="100"/>
    </row>
    <row r="540" spans="1:8" x14ac:dyDescent="0.2">
      <c r="B540" s="9" t="s">
        <v>200</v>
      </c>
    </row>
    <row r="541" spans="1:8" x14ac:dyDescent="0.2">
      <c r="B541" s="3" t="s">
        <v>95</v>
      </c>
      <c r="E541" s="10" t="s">
        <v>15</v>
      </c>
      <c r="F541" s="11" t="e">
        <f>SUM(F479:F539)</f>
        <v>#REF!</v>
      </c>
    </row>
    <row r="542" spans="1:8" x14ac:dyDescent="0.2">
      <c r="B542" s="9" t="s">
        <v>209</v>
      </c>
    </row>
    <row r="544" spans="1:8" x14ac:dyDescent="0.2">
      <c r="B544" s="9" t="s">
        <v>210</v>
      </c>
    </row>
    <row r="546" spans="1:6" x14ac:dyDescent="0.2">
      <c r="B546" s="9" t="s">
        <v>84</v>
      </c>
    </row>
    <row r="548" spans="1:6" x14ac:dyDescent="0.2">
      <c r="B548" s="56" t="s">
        <v>85</v>
      </c>
    </row>
    <row r="549" spans="1:6" x14ac:dyDescent="0.2">
      <c r="B549" s="56" t="s">
        <v>86</v>
      </c>
    </row>
    <row r="550" spans="1:6" x14ac:dyDescent="0.2">
      <c r="B550" s="12"/>
    </row>
    <row r="551" spans="1:6" ht="14.25" x14ac:dyDescent="0.3">
      <c r="A551" s="8" t="s">
        <v>2</v>
      </c>
      <c r="B551" s="12" t="s">
        <v>196</v>
      </c>
      <c r="C551" s="171" t="e">
        <f>#REF!</f>
        <v>#REF!</v>
      </c>
      <c r="D551" s="8" t="s">
        <v>35</v>
      </c>
      <c r="E551" s="15">
        <f>E432</f>
        <v>3650</v>
      </c>
      <c r="F551" s="15" t="e">
        <f>C551*E551</f>
        <v>#REF!</v>
      </c>
    </row>
    <row r="552" spans="1:6" ht="14.25" x14ac:dyDescent="0.3">
      <c r="B552" s="12"/>
      <c r="C552" s="171"/>
    </row>
    <row r="553" spans="1:6" ht="14.25" x14ac:dyDescent="0.3">
      <c r="A553" s="8" t="s">
        <v>4</v>
      </c>
      <c r="B553" s="12" t="s">
        <v>197</v>
      </c>
      <c r="C553" s="171" t="e">
        <f>#REF!</f>
        <v>#REF!</v>
      </c>
      <c r="D553" s="8" t="s">
        <v>35</v>
      </c>
      <c r="E553" s="15">
        <f>E434</f>
        <v>3650</v>
      </c>
      <c r="F553" s="15" t="e">
        <f>C553*E553</f>
        <v>#REF!</v>
      </c>
    </row>
    <row r="593" spans="1:6" x14ac:dyDescent="0.2">
      <c r="B593" s="9" t="s">
        <v>211</v>
      </c>
    </row>
    <row r="594" spans="1:6" x14ac:dyDescent="0.2">
      <c r="B594" s="3" t="s">
        <v>95</v>
      </c>
      <c r="E594" s="10" t="s">
        <v>15</v>
      </c>
      <c r="F594" s="11" t="e">
        <f>SUM(F548:F593)</f>
        <v>#REF!</v>
      </c>
    </row>
    <row r="595" spans="1:6" x14ac:dyDescent="0.2">
      <c r="B595" s="9" t="s">
        <v>212</v>
      </c>
    </row>
    <row r="597" spans="1:6" x14ac:dyDescent="0.2">
      <c r="B597" s="9" t="s">
        <v>213</v>
      </c>
    </row>
    <row r="599" spans="1:6" x14ac:dyDescent="0.2">
      <c r="B599" s="9" t="s">
        <v>98</v>
      </c>
    </row>
    <row r="600" spans="1:6" x14ac:dyDescent="0.2">
      <c r="B600" s="6" t="s">
        <v>201</v>
      </c>
    </row>
    <row r="602" spans="1:6" ht="14.25" x14ac:dyDescent="0.3">
      <c r="A602" s="8" t="s">
        <v>2</v>
      </c>
      <c r="B602" s="6" t="s">
        <v>214</v>
      </c>
      <c r="C602" s="171" t="e">
        <f>#REF!</f>
        <v>#REF!</v>
      </c>
      <c r="D602" s="8" t="s">
        <v>47</v>
      </c>
      <c r="E602" s="15">
        <f>E483</f>
        <v>30000</v>
      </c>
      <c r="F602" s="15" t="e">
        <f>C602*E602</f>
        <v>#REF!</v>
      </c>
    </row>
    <row r="603" spans="1:6" ht="14.25" x14ac:dyDescent="0.3">
      <c r="C603" s="171"/>
    </row>
    <row r="604" spans="1:6" ht="14.25" x14ac:dyDescent="0.3">
      <c r="B604" s="9" t="s">
        <v>67</v>
      </c>
      <c r="C604" s="171"/>
    </row>
    <row r="605" spans="1:6" ht="14.25" x14ac:dyDescent="0.3">
      <c r="C605" s="171"/>
    </row>
    <row r="606" spans="1:6" ht="14.25" x14ac:dyDescent="0.3">
      <c r="B606" s="48" t="s">
        <v>68</v>
      </c>
      <c r="C606" s="171"/>
    </row>
    <row r="607" spans="1:6" ht="14.25" x14ac:dyDescent="0.3">
      <c r="C607" s="171"/>
    </row>
    <row r="608" spans="1:6" ht="14.25" x14ac:dyDescent="0.3">
      <c r="A608" s="8" t="s">
        <v>4</v>
      </c>
      <c r="B608" s="44" t="s">
        <v>202</v>
      </c>
      <c r="C608" s="171" t="e">
        <f>#REF!</f>
        <v>#REF!</v>
      </c>
      <c r="D608" s="8" t="s">
        <v>35</v>
      </c>
      <c r="E608" s="15">
        <f>E489</f>
        <v>2500</v>
      </c>
      <c r="F608" s="15" t="e">
        <f>C608*E608</f>
        <v>#REF!</v>
      </c>
    </row>
    <row r="609" spans="1:6" ht="14.25" x14ac:dyDescent="0.3">
      <c r="C609" s="171"/>
    </row>
    <row r="610" spans="1:6" ht="14.25" x14ac:dyDescent="0.3">
      <c r="B610" s="9" t="s">
        <v>102</v>
      </c>
      <c r="C610" s="171"/>
    </row>
    <row r="611" spans="1:6" ht="14.25" x14ac:dyDescent="0.3">
      <c r="B611" s="6" t="s">
        <v>215</v>
      </c>
      <c r="C611" s="171"/>
    </row>
    <row r="612" spans="1:6" ht="14.25" x14ac:dyDescent="0.3">
      <c r="C612" s="171"/>
    </row>
    <row r="613" spans="1:6" ht="14.25" x14ac:dyDescent="0.3">
      <c r="A613" s="8" t="s">
        <v>5</v>
      </c>
      <c r="B613" s="6" t="s">
        <v>106</v>
      </c>
      <c r="C613" s="171" t="e">
        <f>#REF!</f>
        <v>#REF!</v>
      </c>
      <c r="D613" s="8" t="s">
        <v>75</v>
      </c>
      <c r="E613" s="15">
        <f>E494</f>
        <v>368</v>
      </c>
      <c r="F613" s="15" t="e">
        <f>C613*E613</f>
        <v>#REF!</v>
      </c>
    </row>
    <row r="614" spans="1:6" ht="14.25" x14ac:dyDescent="0.3">
      <c r="C614" s="171"/>
    </row>
    <row r="615" spans="1:6" ht="14.25" x14ac:dyDescent="0.3">
      <c r="A615" s="8" t="s">
        <v>6</v>
      </c>
      <c r="B615" s="6" t="s">
        <v>136</v>
      </c>
      <c r="C615" s="171" t="e">
        <f>#REF!</f>
        <v>#REF!</v>
      </c>
      <c r="D615" s="8" t="s">
        <v>75</v>
      </c>
      <c r="E615" s="15">
        <f>E613</f>
        <v>368</v>
      </c>
      <c r="F615" s="15" t="e">
        <f>C615*E615</f>
        <v>#REF!</v>
      </c>
    </row>
    <row r="617" spans="1:6" x14ac:dyDescent="0.2">
      <c r="B617" s="69" t="s">
        <v>207</v>
      </c>
    </row>
    <row r="618" spans="1:6" x14ac:dyDescent="0.2">
      <c r="B618" s="12"/>
    </row>
    <row r="619" spans="1:6" ht="29.45" customHeight="1" x14ac:dyDescent="0.2">
      <c r="B619" s="65" t="s">
        <v>208</v>
      </c>
    </row>
    <row r="620" spans="1:6" x14ac:dyDescent="0.2">
      <c r="B620" s="12"/>
    </row>
    <row r="621" spans="1:6" x14ac:dyDescent="0.2">
      <c r="A621" s="8" t="s">
        <v>7</v>
      </c>
      <c r="B621" s="12" t="s">
        <v>216</v>
      </c>
      <c r="C621" s="12" t="e">
        <f>#REF!</f>
        <v>#REF!</v>
      </c>
      <c r="D621" s="8" t="s">
        <v>185</v>
      </c>
      <c r="E621" s="15">
        <v>30000</v>
      </c>
      <c r="F621" s="15" t="e">
        <f>C621*E621</f>
        <v>#REF!</v>
      </c>
    </row>
    <row r="622" spans="1:6" x14ac:dyDescent="0.2">
      <c r="B622" s="12"/>
      <c r="C622" s="12"/>
    </row>
    <row r="623" spans="1:6" x14ac:dyDescent="0.2">
      <c r="A623" s="8" t="s">
        <v>7</v>
      </c>
      <c r="B623" s="12" t="s">
        <v>217</v>
      </c>
      <c r="C623" s="12" t="e">
        <f>#REF!</f>
        <v>#REF!</v>
      </c>
      <c r="D623" s="8" t="s">
        <v>185</v>
      </c>
      <c r="E623" s="15">
        <v>30000</v>
      </c>
      <c r="F623" s="15" t="e">
        <f>C623*E623</f>
        <v>#REF!</v>
      </c>
    </row>
    <row r="624" spans="1:6" x14ac:dyDescent="0.2">
      <c r="B624" s="12"/>
    </row>
    <row r="625" spans="1:6" x14ac:dyDescent="0.2">
      <c r="A625" s="8" t="s">
        <v>7</v>
      </c>
      <c r="B625" s="12" t="s">
        <v>218</v>
      </c>
      <c r="D625" s="8" t="s">
        <v>185</v>
      </c>
      <c r="E625" s="15">
        <v>60000</v>
      </c>
      <c r="F625" s="15">
        <f>C625*E625</f>
        <v>0</v>
      </c>
    </row>
    <row r="626" spans="1:6" x14ac:dyDescent="0.2">
      <c r="B626" s="12"/>
    </row>
    <row r="627" spans="1:6" ht="70.150000000000006" customHeight="1" x14ac:dyDescent="0.2">
      <c r="A627" s="39"/>
      <c r="B627" s="101" t="s">
        <v>219</v>
      </c>
      <c r="C627" s="39"/>
      <c r="D627" s="44"/>
      <c r="E627" s="81"/>
      <c r="F627" s="19"/>
    </row>
    <row r="628" spans="1:6" ht="10.15" customHeight="1" x14ac:dyDescent="0.2">
      <c r="A628" s="39"/>
      <c r="B628" s="12"/>
      <c r="C628" s="39"/>
      <c r="D628" s="44"/>
      <c r="E628" s="81"/>
      <c r="F628" s="19"/>
    </row>
    <row r="629" spans="1:6" x14ac:dyDescent="0.2">
      <c r="A629" s="39" t="s">
        <v>9</v>
      </c>
      <c r="B629" s="40" t="s">
        <v>220</v>
      </c>
      <c r="D629" s="8" t="s">
        <v>185</v>
      </c>
      <c r="E629" s="15">
        <v>110000</v>
      </c>
      <c r="F629" s="15">
        <f>C629*E629</f>
        <v>0</v>
      </c>
    </row>
    <row r="630" spans="1:6" ht="10.15" customHeight="1" x14ac:dyDescent="0.2">
      <c r="A630" s="39"/>
      <c r="B630" s="40"/>
      <c r="C630" s="39"/>
      <c r="D630" s="44"/>
      <c r="E630" s="81"/>
      <c r="F630" s="19"/>
    </row>
    <row r="631" spans="1:6" x14ac:dyDescent="0.2">
      <c r="A631" s="39"/>
      <c r="B631" s="56" t="s">
        <v>221</v>
      </c>
      <c r="C631" s="39"/>
      <c r="D631" s="44"/>
      <c r="E631" s="81"/>
      <c r="F631" s="19"/>
    </row>
    <row r="632" spans="1:6" x14ac:dyDescent="0.2">
      <c r="A632" s="39"/>
      <c r="B632" s="12"/>
      <c r="C632" s="39"/>
      <c r="D632" s="44"/>
      <c r="E632" s="81"/>
      <c r="F632" s="19"/>
    </row>
    <row r="633" spans="1:6" x14ac:dyDescent="0.2">
      <c r="B633" s="56" t="s">
        <v>222</v>
      </c>
    </row>
    <row r="634" spans="1:6" x14ac:dyDescent="0.2">
      <c r="B634" s="56" t="s">
        <v>223</v>
      </c>
    </row>
    <row r="635" spans="1:6" x14ac:dyDescent="0.2">
      <c r="B635" s="56"/>
    </row>
    <row r="636" spans="1:6" x14ac:dyDescent="0.2">
      <c r="B636" s="12" t="s">
        <v>218</v>
      </c>
      <c r="C636" s="172"/>
      <c r="D636" s="8" t="s">
        <v>185</v>
      </c>
      <c r="E636" s="15">
        <v>150000</v>
      </c>
      <c r="F636" s="15">
        <f>C636*E636</f>
        <v>0</v>
      </c>
    </row>
    <row r="637" spans="1:6" x14ac:dyDescent="0.2">
      <c r="B637" s="12"/>
      <c r="C637" s="172"/>
    </row>
    <row r="638" spans="1:6" ht="14.25" x14ac:dyDescent="0.3">
      <c r="A638" s="8" t="s">
        <v>11</v>
      </c>
      <c r="B638" s="12" t="s">
        <v>216</v>
      </c>
      <c r="C638" s="171"/>
      <c r="D638" s="8" t="s">
        <v>185</v>
      </c>
      <c r="E638" s="15">
        <v>125000</v>
      </c>
      <c r="F638" s="15">
        <f>C638*E638</f>
        <v>0</v>
      </c>
    </row>
    <row r="639" spans="1:6" ht="14.25" x14ac:dyDescent="0.3">
      <c r="B639" s="12"/>
      <c r="C639" s="171"/>
    </row>
    <row r="640" spans="1:6" ht="14.25" x14ac:dyDescent="0.3">
      <c r="A640" s="8" t="s">
        <v>11</v>
      </c>
      <c r="B640" s="12" t="s">
        <v>217</v>
      </c>
      <c r="C640" s="171"/>
      <c r="D640" s="8" t="s">
        <v>185</v>
      </c>
      <c r="E640" s="15">
        <f>E638</f>
        <v>125000</v>
      </c>
      <c r="F640" s="15">
        <f>C640*E640</f>
        <v>0</v>
      </c>
    </row>
    <row r="641" spans="1:6" x14ac:dyDescent="0.2">
      <c r="B641" s="12"/>
      <c r="C641" s="26"/>
    </row>
    <row r="642" spans="1:6" x14ac:dyDescent="0.2">
      <c r="A642" s="39"/>
      <c r="B642" s="69"/>
      <c r="C642" s="26"/>
      <c r="D642" s="39"/>
      <c r="E642" s="154"/>
      <c r="F642" s="155"/>
    </row>
    <row r="643" spans="1:6" x14ac:dyDescent="0.2">
      <c r="A643" s="39"/>
      <c r="B643" s="12"/>
      <c r="C643" s="26"/>
      <c r="D643" s="39"/>
      <c r="E643" s="154"/>
      <c r="F643" s="155"/>
    </row>
    <row r="644" spans="1:6" x14ac:dyDescent="0.2">
      <c r="A644" s="39"/>
      <c r="B644" s="40"/>
      <c r="C644" s="39"/>
      <c r="D644" s="44"/>
      <c r="E644" s="81"/>
      <c r="F644" s="19"/>
    </row>
    <row r="645" spans="1:6" x14ac:dyDescent="0.2">
      <c r="B645" s="9" t="s">
        <v>213</v>
      </c>
    </row>
    <row r="646" spans="1:6" x14ac:dyDescent="0.2">
      <c r="B646" s="3" t="s">
        <v>95</v>
      </c>
      <c r="E646" s="10" t="s">
        <v>15</v>
      </c>
      <c r="F646" s="11" t="e">
        <f>SUM(F598:F645)</f>
        <v>#REF!</v>
      </c>
    </row>
    <row r="647" spans="1:6" x14ac:dyDescent="0.2">
      <c r="B647" s="9" t="s">
        <v>224</v>
      </c>
    </row>
    <row r="649" spans="1:6" x14ac:dyDescent="0.2">
      <c r="B649" s="9" t="s">
        <v>225</v>
      </c>
    </row>
    <row r="651" spans="1:6" x14ac:dyDescent="0.2">
      <c r="B651" s="9" t="s">
        <v>226</v>
      </c>
    </row>
    <row r="653" spans="1:6" x14ac:dyDescent="0.2">
      <c r="B653" s="9" t="s">
        <v>227</v>
      </c>
    </row>
    <row r="655" spans="1:6" x14ac:dyDescent="0.2">
      <c r="B655" s="9" t="s">
        <v>228</v>
      </c>
    </row>
    <row r="656" spans="1:6" x14ac:dyDescent="0.2">
      <c r="B656" s="9"/>
    </row>
    <row r="657" spans="1:6" ht="15" customHeight="1" x14ac:dyDescent="0.2">
      <c r="B657" s="102" t="s">
        <v>229</v>
      </c>
    </row>
    <row r="658" spans="1:6" x14ac:dyDescent="0.2">
      <c r="B658" s="9"/>
    </row>
    <row r="659" spans="1:6" ht="14.25" x14ac:dyDescent="0.3">
      <c r="A659" s="8" t="s">
        <v>2</v>
      </c>
      <c r="B659" s="6" t="s">
        <v>230</v>
      </c>
      <c r="C659" s="171">
        <v>0</v>
      </c>
      <c r="D659" s="8" t="s">
        <v>22</v>
      </c>
      <c r="E659" s="15">
        <v>25000</v>
      </c>
      <c r="F659" s="15">
        <f>C659*E659</f>
        <v>0</v>
      </c>
    </row>
    <row r="660" spans="1:6" ht="14.25" x14ac:dyDescent="0.3">
      <c r="C660" s="171"/>
    </row>
    <row r="661" spans="1:6" s="106" customFormat="1" ht="14.25" x14ac:dyDescent="0.2">
      <c r="A661" s="16" t="s">
        <v>4</v>
      </c>
      <c r="B661" s="103" t="s">
        <v>231</v>
      </c>
      <c r="C661" s="179">
        <v>0</v>
      </c>
      <c r="D661" s="104" t="s">
        <v>22</v>
      </c>
      <c r="E661" s="105">
        <v>18500</v>
      </c>
      <c r="F661" s="15">
        <f>C661*E661</f>
        <v>0</v>
      </c>
    </row>
    <row r="662" spans="1:6" s="21" customFormat="1" ht="12.75" x14ac:dyDescent="0.2">
      <c r="A662" s="16"/>
      <c r="B662" s="103"/>
      <c r="C662" s="180"/>
      <c r="D662" s="16"/>
      <c r="E662" s="156"/>
      <c r="F662" s="157"/>
    </row>
    <row r="663" spans="1:6" ht="14.25" x14ac:dyDescent="0.3">
      <c r="B663" s="12"/>
      <c r="C663" s="171"/>
    </row>
    <row r="664" spans="1:6" ht="14.25" x14ac:dyDescent="0.3">
      <c r="B664" s="69" t="s">
        <v>232</v>
      </c>
      <c r="C664" s="171"/>
    </row>
    <row r="665" spans="1:6" ht="14.25" x14ac:dyDescent="0.3">
      <c r="B665" s="12"/>
      <c r="C665" s="171"/>
    </row>
    <row r="666" spans="1:6" ht="14.25" x14ac:dyDescent="0.3">
      <c r="A666" s="8" t="s">
        <v>5</v>
      </c>
      <c r="B666" s="12" t="s">
        <v>233</v>
      </c>
      <c r="C666" s="171">
        <v>6</v>
      </c>
      <c r="D666" s="8" t="s">
        <v>185</v>
      </c>
      <c r="E666" s="15">
        <v>350000</v>
      </c>
      <c r="F666" s="15">
        <f>C666*E666</f>
        <v>2100000</v>
      </c>
    </row>
    <row r="667" spans="1:6" ht="14.25" x14ac:dyDescent="0.3">
      <c r="B667" s="12"/>
      <c r="C667" s="171"/>
    </row>
    <row r="668" spans="1:6" x14ac:dyDescent="0.2">
      <c r="B668" s="12"/>
    </row>
    <row r="669" spans="1:6" x14ac:dyDescent="0.2">
      <c r="B669" s="12"/>
    </row>
    <row r="670" spans="1:6" x14ac:dyDescent="0.2">
      <c r="B670" s="12"/>
    </row>
    <row r="671" spans="1:6" x14ac:dyDescent="0.2">
      <c r="B671" s="12"/>
    </row>
    <row r="672" spans="1:6" x14ac:dyDescent="0.2">
      <c r="B672" s="12"/>
    </row>
    <row r="673" spans="2:2" x14ac:dyDescent="0.2">
      <c r="B673" s="12"/>
    </row>
    <row r="674" spans="2:2" x14ac:dyDescent="0.2">
      <c r="B674" s="12"/>
    </row>
    <row r="675" spans="2:2" x14ac:dyDescent="0.2">
      <c r="B675" s="12"/>
    </row>
    <row r="676" spans="2:2" x14ac:dyDescent="0.2">
      <c r="B676" s="12"/>
    </row>
    <row r="677" spans="2:2" x14ac:dyDescent="0.2">
      <c r="B677" s="12"/>
    </row>
    <row r="678" spans="2:2" x14ac:dyDescent="0.2">
      <c r="B678" s="12"/>
    </row>
    <row r="679" spans="2:2" x14ac:dyDescent="0.2">
      <c r="B679" s="12"/>
    </row>
    <row r="680" spans="2:2" x14ac:dyDescent="0.2">
      <c r="B680" s="12"/>
    </row>
    <row r="681" spans="2:2" x14ac:dyDescent="0.2">
      <c r="B681" s="12"/>
    </row>
    <row r="682" spans="2:2" x14ac:dyDescent="0.2">
      <c r="B682" s="12"/>
    </row>
    <row r="683" spans="2:2" x14ac:dyDescent="0.2">
      <c r="B683" s="12"/>
    </row>
    <row r="684" spans="2:2" x14ac:dyDescent="0.2">
      <c r="B684" s="12"/>
    </row>
    <row r="685" spans="2:2" x14ac:dyDescent="0.2">
      <c r="B685" s="12"/>
    </row>
    <row r="686" spans="2:2" x14ac:dyDescent="0.2">
      <c r="B686" s="12"/>
    </row>
    <row r="687" spans="2:2" x14ac:dyDescent="0.2">
      <c r="B687" s="12"/>
    </row>
    <row r="688" spans="2:2" x14ac:dyDescent="0.2">
      <c r="B688" s="9" t="s">
        <v>234</v>
      </c>
    </row>
    <row r="689" spans="1:6" x14ac:dyDescent="0.2">
      <c r="B689" s="3" t="s">
        <v>95</v>
      </c>
      <c r="E689" s="10" t="s">
        <v>15</v>
      </c>
      <c r="F689" s="11">
        <f>[29]terrace!$F$642</f>
        <v>8986900</v>
      </c>
    </row>
    <row r="690" spans="1:6" x14ac:dyDescent="0.2">
      <c r="B690" s="69" t="s">
        <v>235</v>
      </c>
    </row>
    <row r="691" spans="1:6" x14ac:dyDescent="0.2">
      <c r="B691" s="12"/>
    </row>
    <row r="692" spans="1:6" x14ac:dyDescent="0.2">
      <c r="B692" s="69" t="s">
        <v>236</v>
      </c>
    </row>
    <row r="693" spans="1:6" x14ac:dyDescent="0.2">
      <c r="B693" s="12"/>
    </row>
    <row r="694" spans="1:6" x14ac:dyDescent="0.2">
      <c r="B694" s="69" t="s">
        <v>237</v>
      </c>
    </row>
    <row r="695" spans="1:6" x14ac:dyDescent="0.2">
      <c r="B695" s="69"/>
    </row>
    <row r="696" spans="1:6" x14ac:dyDescent="0.2">
      <c r="B696" s="56" t="s">
        <v>238</v>
      </c>
    </row>
    <row r="697" spans="1:6" x14ac:dyDescent="0.2">
      <c r="B697" s="56" t="s">
        <v>239</v>
      </c>
    </row>
    <row r="698" spans="1:6" x14ac:dyDescent="0.2">
      <c r="B698" s="56" t="s">
        <v>240</v>
      </c>
    </row>
    <row r="699" spans="1:6" x14ac:dyDescent="0.2">
      <c r="B699" s="12"/>
    </row>
    <row r="700" spans="1:6" ht="14.25" x14ac:dyDescent="0.3">
      <c r="A700" s="8" t="s">
        <v>2</v>
      </c>
      <c r="B700" s="12" t="s">
        <v>241</v>
      </c>
      <c r="C700" s="171" t="e">
        <f>#REF!+#REF!</f>
        <v>#REF!</v>
      </c>
      <c r="D700" s="8" t="s">
        <v>35</v>
      </c>
      <c r="E700" s="15">
        <f>E283</f>
        <v>1000</v>
      </c>
      <c r="F700" s="15" t="e">
        <f>C700*E700</f>
        <v>#REF!</v>
      </c>
    </row>
    <row r="701" spans="1:6" ht="14.25" x14ac:dyDescent="0.3">
      <c r="B701" s="12"/>
      <c r="C701" s="171"/>
    </row>
    <row r="702" spans="1:6" ht="14.25" x14ac:dyDescent="0.3">
      <c r="A702" s="8" t="s">
        <v>4</v>
      </c>
      <c r="B702" s="12" t="s">
        <v>242</v>
      </c>
      <c r="C702" s="171" t="e">
        <f>#REF!</f>
        <v>#REF!</v>
      </c>
      <c r="D702" s="8" t="s">
        <v>35</v>
      </c>
      <c r="E702" s="15">
        <f>E700</f>
        <v>1000</v>
      </c>
      <c r="F702" s="15" t="e">
        <f>C702*E702</f>
        <v>#REF!</v>
      </c>
    </row>
    <row r="703" spans="1:6" ht="14.25" x14ac:dyDescent="0.3">
      <c r="B703" s="12"/>
      <c r="C703" s="171"/>
    </row>
    <row r="704" spans="1:6" ht="14.25" x14ac:dyDescent="0.3">
      <c r="A704" s="8" t="s">
        <v>5</v>
      </c>
      <c r="B704" s="12" t="s">
        <v>243</v>
      </c>
      <c r="C704" s="171" t="e">
        <f>#REF!</f>
        <v>#REF!</v>
      </c>
      <c r="D704" s="8" t="s">
        <v>22</v>
      </c>
      <c r="E704" s="15">
        <f>E702*0.3</f>
        <v>300</v>
      </c>
      <c r="F704" s="15" t="e">
        <f>C704*E704</f>
        <v>#REF!</v>
      </c>
    </row>
    <row r="705" spans="1:9" ht="14.25" x14ac:dyDescent="0.3">
      <c r="B705" s="12"/>
      <c r="C705" s="171"/>
    </row>
    <row r="706" spans="1:9" ht="14.25" x14ac:dyDescent="0.3">
      <c r="A706" s="8" t="s">
        <v>6</v>
      </c>
      <c r="B706" s="12" t="s">
        <v>244</v>
      </c>
      <c r="C706" s="171" t="e">
        <f>#REF!</f>
        <v>#REF!</v>
      </c>
      <c r="D706" s="8" t="s">
        <v>22</v>
      </c>
      <c r="E706" s="15">
        <f>E704</f>
        <v>300</v>
      </c>
      <c r="F706" s="15" t="e">
        <f>C706*E706</f>
        <v>#REF!</v>
      </c>
    </row>
    <row r="707" spans="1:9" ht="14.25" x14ac:dyDescent="0.3">
      <c r="B707" s="12"/>
      <c r="C707" s="171"/>
    </row>
    <row r="708" spans="1:9" ht="14.25" x14ac:dyDescent="0.3">
      <c r="A708" s="8" t="s">
        <v>7</v>
      </c>
      <c r="B708" s="12" t="s">
        <v>245</v>
      </c>
      <c r="C708" s="171">
        <v>0</v>
      </c>
      <c r="D708" s="8" t="s">
        <v>35</v>
      </c>
      <c r="E708" s="15">
        <f>E702</f>
        <v>1000</v>
      </c>
      <c r="F708" s="15">
        <f>C708*E708</f>
        <v>0</v>
      </c>
    </row>
    <row r="709" spans="1:9" ht="14.25" x14ac:dyDescent="0.3">
      <c r="B709" s="12"/>
      <c r="C709" s="171"/>
    </row>
    <row r="710" spans="1:9" s="62" customFormat="1" ht="20.25" customHeight="1" x14ac:dyDescent="0.3">
      <c r="A710" s="57" t="s">
        <v>246</v>
      </c>
      <c r="B710" s="107" t="s">
        <v>247</v>
      </c>
      <c r="C710" s="177">
        <v>0</v>
      </c>
      <c r="D710" s="59" t="s">
        <v>22</v>
      </c>
      <c r="E710" s="60">
        <v>750</v>
      </c>
      <c r="F710" s="61">
        <f>C710*E710</f>
        <v>0</v>
      </c>
      <c r="I710" s="63"/>
    </row>
    <row r="711" spans="1:9" s="62" customFormat="1" ht="20.25" customHeight="1" x14ac:dyDescent="0.3">
      <c r="A711" s="108"/>
      <c r="B711" s="107"/>
      <c r="C711" s="196"/>
      <c r="D711" s="108"/>
      <c r="E711" s="109"/>
      <c r="F711" s="110"/>
      <c r="I711" s="63"/>
    </row>
    <row r="712" spans="1:9" s="202" customFormat="1" ht="17.25" customHeight="1" x14ac:dyDescent="0.25">
      <c r="A712" s="197" t="s">
        <v>494</v>
      </c>
      <c r="B712" s="198" t="s">
        <v>495</v>
      </c>
      <c r="C712" s="199"/>
      <c r="D712" s="197" t="s">
        <v>22</v>
      </c>
      <c r="E712" s="200">
        <v>500</v>
      </c>
      <c r="F712" s="201">
        <f>E712*C712</f>
        <v>0</v>
      </c>
    </row>
    <row r="713" spans="1:9" s="62" customFormat="1" ht="20.25" customHeight="1" x14ac:dyDescent="0.3">
      <c r="A713" s="108"/>
      <c r="B713" s="107"/>
      <c r="C713" s="196"/>
      <c r="D713" s="108"/>
      <c r="E713" s="109"/>
      <c r="F713" s="110"/>
      <c r="I713" s="63"/>
    </row>
    <row r="714" spans="1:9" s="62" customFormat="1" ht="20.25" customHeight="1" x14ac:dyDescent="0.2">
      <c r="A714" s="108"/>
      <c r="B714" s="107"/>
      <c r="C714" s="108"/>
      <c r="D714" s="108"/>
      <c r="E714" s="109"/>
      <c r="F714" s="110"/>
      <c r="I714" s="63"/>
    </row>
    <row r="715" spans="1:9" x14ac:dyDescent="0.2">
      <c r="B715" s="5" t="s">
        <v>489</v>
      </c>
      <c r="D715" s="8" t="s">
        <v>35</v>
      </c>
      <c r="E715" s="15">
        <v>2500</v>
      </c>
      <c r="F715" s="61">
        <f>C715*E715</f>
        <v>0</v>
      </c>
    </row>
    <row r="716" spans="1:9" x14ac:dyDescent="0.2">
      <c r="B716" s="12"/>
    </row>
    <row r="717" spans="1:9" x14ac:dyDescent="0.2">
      <c r="B717" s="56" t="s">
        <v>248</v>
      </c>
    </row>
    <row r="718" spans="1:9" x14ac:dyDescent="0.2">
      <c r="B718" s="56" t="s">
        <v>249</v>
      </c>
    </row>
    <row r="719" spans="1:9" x14ac:dyDescent="0.2">
      <c r="B719" s="12"/>
      <c r="C719" s="195"/>
    </row>
    <row r="720" spans="1:9" ht="14.25" x14ac:dyDescent="0.3">
      <c r="A720" s="8" t="s">
        <v>8</v>
      </c>
      <c r="B720" s="12" t="s">
        <v>250</v>
      </c>
      <c r="C720" s="171" t="e">
        <f>#REF!</f>
        <v>#REF!</v>
      </c>
      <c r="D720" s="8" t="s">
        <v>35</v>
      </c>
      <c r="E720" s="15">
        <v>950</v>
      </c>
      <c r="F720" s="15" t="e">
        <f>C720*E720</f>
        <v>#REF!</v>
      </c>
    </row>
    <row r="721" spans="1:6" x14ac:dyDescent="0.2">
      <c r="B721" s="12"/>
      <c r="C721" s="195"/>
    </row>
    <row r="722" spans="1:6" x14ac:dyDescent="0.2">
      <c r="B722" s="69" t="s">
        <v>251</v>
      </c>
      <c r="C722" s="195"/>
    </row>
    <row r="723" spans="1:6" x14ac:dyDescent="0.2">
      <c r="B723" s="69"/>
      <c r="C723" s="195"/>
    </row>
    <row r="724" spans="1:6" x14ac:dyDescent="0.2">
      <c r="B724" s="56" t="s">
        <v>252</v>
      </c>
      <c r="C724" s="195"/>
    </row>
    <row r="725" spans="1:6" x14ac:dyDescent="0.2">
      <c r="B725" s="56" t="s">
        <v>253</v>
      </c>
      <c r="C725" s="195"/>
    </row>
    <row r="726" spans="1:6" x14ac:dyDescent="0.2">
      <c r="B726" s="12"/>
      <c r="C726" s="195"/>
    </row>
    <row r="727" spans="1:6" x14ac:dyDescent="0.2">
      <c r="A727" s="8" t="s">
        <v>9</v>
      </c>
      <c r="B727" s="12" t="s">
        <v>250</v>
      </c>
      <c r="C727" s="41" t="e">
        <f>C720</f>
        <v>#REF!</v>
      </c>
      <c r="D727" s="8" t="s">
        <v>35</v>
      </c>
      <c r="E727" s="15">
        <v>4500</v>
      </c>
      <c r="F727" s="15" t="e">
        <f>C727*E727</f>
        <v>#REF!</v>
      </c>
    </row>
    <row r="728" spans="1:6" x14ac:dyDescent="0.2">
      <c r="B728" s="12"/>
      <c r="C728" s="195"/>
    </row>
    <row r="729" spans="1:6" x14ac:dyDescent="0.2">
      <c r="A729" s="39"/>
      <c r="B729" s="69" t="s">
        <v>150</v>
      </c>
      <c r="C729" s="189"/>
      <c r="D729" s="39"/>
      <c r="E729" s="19"/>
      <c r="F729" s="19"/>
    </row>
    <row r="730" spans="1:6" x14ac:dyDescent="0.2">
      <c r="A730" s="39"/>
      <c r="B730" s="12"/>
      <c r="C730" s="189"/>
      <c r="D730" s="39"/>
      <c r="E730" s="19"/>
      <c r="F730" s="19"/>
    </row>
    <row r="731" spans="1:6" ht="24" x14ac:dyDescent="0.2">
      <c r="A731" s="39"/>
      <c r="B731" s="75" t="s">
        <v>254</v>
      </c>
      <c r="C731" s="189"/>
      <c r="D731" s="39"/>
      <c r="E731" s="19"/>
      <c r="F731" s="19"/>
    </row>
    <row r="732" spans="1:6" x14ac:dyDescent="0.2">
      <c r="A732" s="39"/>
      <c r="B732" s="12"/>
      <c r="C732" s="189"/>
      <c r="D732" s="39"/>
      <c r="E732" s="19"/>
      <c r="F732" s="19"/>
    </row>
    <row r="733" spans="1:6" ht="29.45" customHeight="1" x14ac:dyDescent="0.2">
      <c r="A733" s="8" t="s">
        <v>10</v>
      </c>
      <c r="B733" s="111" t="s">
        <v>255</v>
      </c>
      <c r="C733" s="41" t="e">
        <f>#REF!</f>
        <v>#REF!</v>
      </c>
      <c r="D733" s="8" t="s">
        <v>35</v>
      </c>
      <c r="E733" s="15">
        <f>E293</f>
        <v>500</v>
      </c>
      <c r="F733" s="15" t="e">
        <f>C733*E733</f>
        <v>#REF!</v>
      </c>
    </row>
    <row r="734" spans="1:6" x14ac:dyDescent="0.2">
      <c r="B734" s="12"/>
    </row>
    <row r="735" spans="1:6" x14ac:dyDescent="0.2">
      <c r="A735" s="8" t="s">
        <v>11</v>
      </c>
      <c r="B735" s="112" t="s">
        <v>256</v>
      </c>
      <c r="C735" s="41" t="e">
        <f>#REF!</f>
        <v>#REF!</v>
      </c>
      <c r="D735" s="8" t="s">
        <v>22</v>
      </c>
      <c r="E735" s="15">
        <f>E295</f>
        <v>150</v>
      </c>
      <c r="F735" s="15" t="e">
        <f>C735*E735</f>
        <v>#REF!</v>
      </c>
    </row>
    <row r="736" spans="1:6" x14ac:dyDescent="0.2">
      <c r="A736" s="39"/>
      <c r="B736" s="12"/>
      <c r="C736" s="189"/>
      <c r="D736" s="39"/>
      <c r="E736" s="19"/>
      <c r="F736" s="19"/>
    </row>
    <row r="737" spans="1:6" x14ac:dyDescent="0.2">
      <c r="B737" s="69" t="s">
        <v>257</v>
      </c>
    </row>
    <row r="738" spans="1:6" x14ac:dyDescent="0.2">
      <c r="B738" s="69"/>
    </row>
    <row r="739" spans="1:6" x14ac:dyDescent="0.2">
      <c r="B739" s="56" t="s">
        <v>153</v>
      </c>
    </row>
    <row r="740" spans="1:6" x14ac:dyDescent="0.2">
      <c r="B740" s="56" t="s">
        <v>258</v>
      </c>
    </row>
    <row r="741" spans="1:6" x14ac:dyDescent="0.2">
      <c r="B741" s="12"/>
    </row>
    <row r="742" spans="1:6" x14ac:dyDescent="0.2">
      <c r="A742" s="8" t="s">
        <v>12</v>
      </c>
      <c r="B742" s="12" t="s">
        <v>255</v>
      </c>
      <c r="C742" s="41" t="e">
        <f>#REF!</f>
        <v>#REF!</v>
      </c>
      <c r="D742" s="8" t="s">
        <v>35</v>
      </c>
      <c r="E742" s="15">
        <f>E303</f>
        <v>750</v>
      </c>
      <c r="F742" s="15" t="e">
        <f>C742*E742</f>
        <v>#REF!</v>
      </c>
    </row>
    <row r="743" spans="1:6" x14ac:dyDescent="0.2">
      <c r="B743" s="12"/>
    </row>
    <row r="744" spans="1:6" x14ac:dyDescent="0.2">
      <c r="A744" s="8" t="s">
        <v>13</v>
      </c>
      <c r="B744" s="112" t="s">
        <v>256</v>
      </c>
      <c r="C744" s="41" t="e">
        <f>#REF!</f>
        <v>#REF!</v>
      </c>
      <c r="D744" s="8" t="s">
        <v>22</v>
      </c>
      <c r="E744" s="15">
        <f>E305</f>
        <v>225</v>
      </c>
      <c r="F744" s="15" t="e">
        <f>C744*E744</f>
        <v>#REF!</v>
      </c>
    </row>
    <row r="745" spans="1:6" x14ac:dyDescent="0.2">
      <c r="B745" s="12"/>
    </row>
    <row r="746" spans="1:6" x14ac:dyDescent="0.2">
      <c r="A746" s="8" t="s">
        <v>246</v>
      </c>
      <c r="B746" s="12" t="s">
        <v>247</v>
      </c>
      <c r="C746" s="41">
        <f>C710</f>
        <v>0</v>
      </c>
      <c r="D746" s="8" t="s">
        <v>22</v>
      </c>
      <c r="E746" s="15">
        <f>E744</f>
        <v>225</v>
      </c>
      <c r="F746" s="15">
        <f>C746*E746</f>
        <v>0</v>
      </c>
    </row>
    <row r="747" spans="1:6" x14ac:dyDescent="0.2">
      <c r="B747" s="12"/>
    </row>
    <row r="748" spans="1:6" x14ac:dyDescent="0.2">
      <c r="A748" s="39"/>
      <c r="B748" s="3" t="s">
        <v>158</v>
      </c>
      <c r="C748" s="51"/>
      <c r="E748" s="10" t="s">
        <v>15</v>
      </c>
      <c r="F748" s="11" t="e">
        <f>SUM(F696:F745)</f>
        <v>#REF!</v>
      </c>
    </row>
    <row r="749" spans="1:6" x14ac:dyDescent="0.2">
      <c r="B749" s="69" t="s">
        <v>236</v>
      </c>
    </row>
    <row r="751" spans="1:6" s="70" customFormat="1" ht="24" x14ac:dyDescent="0.25">
      <c r="A751" s="113"/>
      <c r="B751" s="114" t="s">
        <v>259</v>
      </c>
      <c r="C751" s="190"/>
      <c r="D751" s="113"/>
      <c r="E751" s="115"/>
      <c r="F751" s="115"/>
    </row>
    <row r="752" spans="1:6" x14ac:dyDescent="0.2">
      <c r="B752" s="12"/>
    </row>
    <row r="753" spans="1:6" x14ac:dyDescent="0.2">
      <c r="A753" s="8" t="s">
        <v>2</v>
      </c>
      <c r="B753" s="12" t="s">
        <v>260</v>
      </c>
      <c r="C753" s="41" t="e">
        <f>#REF!</f>
        <v>#REF!</v>
      </c>
      <c r="D753" s="8" t="s">
        <v>35</v>
      </c>
      <c r="E753" s="15">
        <v>850</v>
      </c>
      <c r="F753" s="15" t="e">
        <f>C753*E753</f>
        <v>#REF!</v>
      </c>
    </row>
    <row r="754" spans="1:6" x14ac:dyDescent="0.2">
      <c r="B754" s="12"/>
    </row>
    <row r="755" spans="1:6" x14ac:dyDescent="0.2">
      <c r="A755" s="8" t="s">
        <v>4</v>
      </c>
      <c r="B755" s="12" t="s">
        <v>256</v>
      </c>
      <c r="C755" s="41">
        <v>0</v>
      </c>
      <c r="D755" s="8" t="s">
        <v>22</v>
      </c>
      <c r="E755" s="15">
        <f>E753*0.3</f>
        <v>255</v>
      </c>
      <c r="F755" s="15">
        <f>C755*E755</f>
        <v>0</v>
      </c>
    </row>
    <row r="756" spans="1:6" x14ac:dyDescent="0.2">
      <c r="B756" s="12"/>
    </row>
    <row r="757" spans="1:6" x14ac:dyDescent="0.2">
      <c r="A757" s="8" t="s">
        <v>5</v>
      </c>
      <c r="B757" s="12" t="s">
        <v>487</v>
      </c>
      <c r="C757" s="41" t="e">
        <f>#REF!</f>
        <v>#REF!</v>
      </c>
      <c r="D757" s="8" t="s">
        <v>35</v>
      </c>
      <c r="E757" s="15">
        <f>E753</f>
        <v>850</v>
      </c>
      <c r="F757" s="15" t="e">
        <f>C757*E757</f>
        <v>#REF!</v>
      </c>
    </row>
    <row r="758" spans="1:6" x14ac:dyDescent="0.2">
      <c r="B758" s="12"/>
    </row>
    <row r="759" spans="1:6" x14ac:dyDescent="0.2">
      <c r="B759" s="3" t="s">
        <v>158</v>
      </c>
      <c r="C759" s="51"/>
      <c r="E759" s="10" t="s">
        <v>15</v>
      </c>
      <c r="F759" s="11" t="e">
        <f>SUM(F752:F758)</f>
        <v>#REF!</v>
      </c>
    </row>
    <row r="761" spans="1:6" x14ac:dyDescent="0.2">
      <c r="B761" s="48" t="s">
        <v>92</v>
      </c>
    </row>
    <row r="763" spans="1:6" x14ac:dyDescent="0.2">
      <c r="B763" s="52" t="s">
        <v>261</v>
      </c>
      <c r="E763" s="15" t="e">
        <f>F748</f>
        <v>#REF!</v>
      </c>
    </row>
    <row r="764" spans="1:6" x14ac:dyDescent="0.2">
      <c r="B764" s="52"/>
    </row>
    <row r="765" spans="1:6" x14ac:dyDescent="0.2">
      <c r="B765" s="52" t="s">
        <v>262</v>
      </c>
      <c r="E765" s="15" t="e">
        <f>F759</f>
        <v>#REF!</v>
      </c>
      <c r="F765" s="78"/>
    </row>
    <row r="799" spans="2:6" x14ac:dyDescent="0.2">
      <c r="B799" s="9" t="s">
        <v>263</v>
      </c>
    </row>
    <row r="800" spans="2:6" x14ac:dyDescent="0.2">
      <c r="B800" s="3" t="s">
        <v>95</v>
      </c>
      <c r="E800" s="10" t="s">
        <v>15</v>
      </c>
      <c r="F800" s="55" t="e">
        <f>SUM(E762:E766)</f>
        <v>#REF!</v>
      </c>
    </row>
    <row r="801" spans="1:6" x14ac:dyDescent="0.2">
      <c r="B801" s="69" t="s">
        <v>264</v>
      </c>
      <c r="C801" s="191"/>
      <c r="D801" s="14"/>
    </row>
    <row r="802" spans="1:6" x14ac:dyDescent="0.2">
      <c r="B802" s="15"/>
      <c r="C802" s="191"/>
      <c r="D802" s="14"/>
    </row>
    <row r="803" spans="1:6" x14ac:dyDescent="0.2">
      <c r="B803" s="13" t="s">
        <v>265</v>
      </c>
      <c r="C803" s="191"/>
      <c r="D803" s="14"/>
    </row>
    <row r="804" spans="1:6" x14ac:dyDescent="0.2">
      <c r="B804" s="15"/>
      <c r="C804" s="191"/>
      <c r="D804" s="14"/>
    </row>
    <row r="805" spans="1:6" x14ac:dyDescent="0.2">
      <c r="B805" s="13" t="s">
        <v>266</v>
      </c>
      <c r="C805" s="191"/>
      <c r="D805" s="14"/>
    </row>
    <row r="806" spans="1:6" x14ac:dyDescent="0.2">
      <c r="B806" s="69" t="s">
        <v>267</v>
      </c>
    </row>
    <row r="807" spans="1:6" x14ac:dyDescent="0.2">
      <c r="B807" s="12"/>
    </row>
    <row r="808" spans="1:6" x14ac:dyDescent="0.2">
      <c r="B808" s="56" t="s">
        <v>268</v>
      </c>
    </row>
    <row r="809" spans="1:6" x14ac:dyDescent="0.2">
      <c r="B809" s="56" t="s">
        <v>269</v>
      </c>
    </row>
    <row r="810" spans="1:6" x14ac:dyDescent="0.2">
      <c r="B810" s="12"/>
    </row>
    <row r="811" spans="1:6" x14ac:dyDescent="0.2">
      <c r="A811" s="8" t="s">
        <v>2</v>
      </c>
      <c r="B811" s="12" t="s">
        <v>270</v>
      </c>
    </row>
    <row r="812" spans="1:6" ht="14.25" x14ac:dyDescent="0.3">
      <c r="B812" s="12" t="s">
        <v>271</v>
      </c>
      <c r="C812" s="171" t="e">
        <f>#REF!+#REF!</f>
        <v>#REF!</v>
      </c>
      <c r="D812" s="8" t="s">
        <v>35</v>
      </c>
      <c r="E812" s="15">
        <v>1200</v>
      </c>
      <c r="F812" s="15" t="e">
        <f>C812*E812</f>
        <v>#REF!</v>
      </c>
    </row>
    <row r="813" spans="1:6" ht="14.25" x14ac:dyDescent="0.3">
      <c r="B813" s="12"/>
      <c r="C813" s="171"/>
    </row>
    <row r="814" spans="1:6" ht="14.25" x14ac:dyDescent="0.3">
      <c r="A814" s="8" t="s">
        <v>4</v>
      </c>
      <c r="B814" s="12" t="s">
        <v>272</v>
      </c>
      <c r="C814" s="171" t="e">
        <f>#REF!+#REF!</f>
        <v>#REF!</v>
      </c>
      <c r="D814" s="8" t="s">
        <v>22</v>
      </c>
      <c r="E814" s="15">
        <f>E812*0.3</f>
        <v>360</v>
      </c>
      <c r="F814" s="15" t="e">
        <f>C814*E814</f>
        <v>#REF!</v>
      </c>
    </row>
    <row r="815" spans="1:6" ht="14.25" x14ac:dyDescent="0.3">
      <c r="B815" s="12"/>
      <c r="C815" s="171"/>
    </row>
    <row r="816" spans="1:6" ht="14.25" x14ac:dyDescent="0.3">
      <c r="B816" s="69" t="s">
        <v>251</v>
      </c>
      <c r="C816" s="171"/>
    </row>
    <row r="817" spans="1:6" ht="14.25" x14ac:dyDescent="0.3">
      <c r="B817" s="12"/>
      <c r="C817" s="171"/>
    </row>
    <row r="818" spans="1:6" ht="24" x14ac:dyDescent="0.3">
      <c r="B818" s="75" t="s">
        <v>273</v>
      </c>
      <c r="C818" s="171"/>
    </row>
    <row r="819" spans="1:6" ht="14.25" x14ac:dyDescent="0.3">
      <c r="B819" s="12"/>
      <c r="C819" s="171"/>
    </row>
    <row r="820" spans="1:6" ht="14.25" x14ac:dyDescent="0.3">
      <c r="A820" s="8" t="s">
        <v>5</v>
      </c>
      <c r="B820" s="12" t="s">
        <v>274</v>
      </c>
      <c r="C820" s="171"/>
    </row>
    <row r="821" spans="1:6" ht="14.25" x14ac:dyDescent="0.3">
      <c r="B821" s="12" t="s">
        <v>275</v>
      </c>
      <c r="C821" s="171" t="e">
        <f>#REF!+#REF!</f>
        <v>#REF!</v>
      </c>
      <c r="D821" s="8" t="s">
        <v>35</v>
      </c>
      <c r="E821" s="15">
        <v>7800</v>
      </c>
      <c r="F821" s="15" t="e">
        <f>C821*E821</f>
        <v>#REF!</v>
      </c>
    </row>
    <row r="822" spans="1:6" ht="14.25" x14ac:dyDescent="0.3">
      <c r="B822" s="12"/>
      <c r="C822" s="171"/>
    </row>
    <row r="823" spans="1:6" ht="14.25" x14ac:dyDescent="0.3">
      <c r="A823" s="8" t="s">
        <v>6</v>
      </c>
      <c r="B823" s="12" t="s">
        <v>276</v>
      </c>
      <c r="C823" s="171" t="e">
        <f>#REF!+#REF!</f>
        <v>#REF!</v>
      </c>
      <c r="D823" s="8" t="s">
        <v>22</v>
      </c>
      <c r="E823" s="15">
        <f>E821*0.3</f>
        <v>2340</v>
      </c>
      <c r="F823" s="15" t="e">
        <f>C823*E823</f>
        <v>#REF!</v>
      </c>
    </row>
    <row r="824" spans="1:6" x14ac:dyDescent="0.2">
      <c r="B824" s="12"/>
    </row>
    <row r="825" spans="1:6" x14ac:dyDescent="0.2">
      <c r="B825" s="56" t="s">
        <v>277</v>
      </c>
    </row>
    <row r="826" spans="1:6" x14ac:dyDescent="0.2">
      <c r="B826" s="56" t="s">
        <v>278</v>
      </c>
    </row>
    <row r="827" spans="1:6" x14ac:dyDescent="0.2">
      <c r="B827" s="12"/>
    </row>
    <row r="828" spans="1:6" x14ac:dyDescent="0.2">
      <c r="A828" s="8" t="s">
        <v>7</v>
      </c>
      <c r="B828" s="12" t="s">
        <v>274</v>
      </c>
    </row>
    <row r="829" spans="1:6" ht="14.25" x14ac:dyDescent="0.3">
      <c r="B829" s="12" t="s">
        <v>275</v>
      </c>
      <c r="C829" s="171" t="e">
        <f>#REF!+#REF!+#REF!+#REF!</f>
        <v>#REF!</v>
      </c>
      <c r="D829" s="8" t="s">
        <v>35</v>
      </c>
      <c r="E829" s="15">
        <f>E727</f>
        <v>4500</v>
      </c>
      <c r="F829" s="15" t="e">
        <f>C829*E829</f>
        <v>#REF!</v>
      </c>
    </row>
    <row r="830" spans="1:6" ht="14.25" x14ac:dyDescent="0.3">
      <c r="B830" s="12"/>
      <c r="C830" s="171"/>
    </row>
    <row r="831" spans="1:6" ht="14.25" x14ac:dyDescent="0.3">
      <c r="A831" s="8" t="s">
        <v>8</v>
      </c>
      <c r="B831" s="12" t="s">
        <v>276</v>
      </c>
      <c r="C831" s="171" t="e">
        <f>#REF!+#REF!+#REF!</f>
        <v>#REF!</v>
      </c>
      <c r="D831" s="8" t="s">
        <v>22</v>
      </c>
      <c r="E831" s="15">
        <f>E829*0.3</f>
        <v>1350</v>
      </c>
      <c r="F831" s="15" t="e">
        <f>C831*E831</f>
        <v>#REF!</v>
      </c>
    </row>
    <row r="832" spans="1:6" x14ac:dyDescent="0.2">
      <c r="B832" s="12"/>
    </row>
    <row r="833" spans="2:6" x14ac:dyDescent="0.2">
      <c r="B833" s="12"/>
    </row>
    <row r="834" spans="2:6" x14ac:dyDescent="0.2">
      <c r="B834" s="12"/>
    </row>
    <row r="835" spans="2:6" x14ac:dyDescent="0.2">
      <c r="B835" s="12"/>
    </row>
    <row r="836" spans="2:6" x14ac:dyDescent="0.2">
      <c r="B836" s="12"/>
    </row>
    <row r="837" spans="2:6" x14ac:dyDescent="0.2">
      <c r="B837" s="12"/>
    </row>
    <row r="838" spans="2:6" x14ac:dyDescent="0.2">
      <c r="B838" s="12"/>
    </row>
    <row r="839" spans="2:6" x14ac:dyDescent="0.2">
      <c r="B839" s="12"/>
    </row>
    <row r="840" spans="2:6" x14ac:dyDescent="0.2">
      <c r="B840" s="12"/>
    </row>
    <row r="841" spans="2:6" x14ac:dyDescent="0.2">
      <c r="B841" s="12"/>
    </row>
    <row r="842" spans="2:6" x14ac:dyDescent="0.2">
      <c r="B842" s="12"/>
    </row>
    <row r="843" spans="2:6" x14ac:dyDescent="0.2">
      <c r="B843" s="12"/>
    </row>
    <row r="844" spans="2:6" x14ac:dyDescent="0.2">
      <c r="B844" s="12"/>
    </row>
    <row r="845" spans="2:6" x14ac:dyDescent="0.2">
      <c r="B845" s="12"/>
    </row>
    <row r="846" spans="2:6" x14ac:dyDescent="0.2">
      <c r="B846" s="69" t="s">
        <v>279</v>
      </c>
    </row>
    <row r="847" spans="2:6" x14ac:dyDescent="0.2">
      <c r="B847" s="3" t="s">
        <v>95</v>
      </c>
      <c r="E847" s="10" t="s">
        <v>15</v>
      </c>
      <c r="F847" s="11" t="e">
        <f>SUM(F808:F846)</f>
        <v>#REF!</v>
      </c>
    </row>
    <row r="848" spans="2:6" x14ac:dyDescent="0.2">
      <c r="B848" s="9" t="s">
        <v>280</v>
      </c>
      <c r="E848" s="10"/>
      <c r="F848" s="11"/>
    </row>
    <row r="849" spans="1:8" x14ac:dyDescent="0.2">
      <c r="B849" s="3"/>
      <c r="E849" s="10"/>
      <c r="F849" s="11"/>
    </row>
    <row r="850" spans="1:8" x14ac:dyDescent="0.2">
      <c r="B850" s="13" t="s">
        <v>281</v>
      </c>
      <c r="C850" s="191"/>
      <c r="D850" s="14"/>
    </row>
    <row r="851" spans="1:8" x14ac:dyDescent="0.2">
      <c r="B851" s="15"/>
      <c r="C851" s="191"/>
      <c r="D851" s="14"/>
    </row>
    <row r="852" spans="1:8" s="21" customFormat="1" x14ac:dyDescent="0.2">
      <c r="A852" s="16"/>
      <c r="B852" s="116" t="s">
        <v>282</v>
      </c>
      <c r="C852" s="104"/>
      <c r="D852" s="16"/>
      <c r="E852" s="105"/>
      <c r="F852" s="93"/>
    </row>
    <row r="853" spans="1:8" s="21" customFormat="1" ht="12" customHeight="1" x14ac:dyDescent="0.2">
      <c r="A853" s="16"/>
      <c r="B853" s="116"/>
      <c r="C853" s="104"/>
      <c r="D853" s="16"/>
      <c r="E853" s="105"/>
      <c r="F853" s="93"/>
    </row>
    <row r="854" spans="1:8" s="21" customFormat="1" x14ac:dyDescent="0.2">
      <c r="A854" s="16"/>
      <c r="B854" s="117" t="s">
        <v>283</v>
      </c>
      <c r="C854" s="104"/>
      <c r="D854" s="16"/>
      <c r="E854" s="118"/>
      <c r="F854" s="42"/>
    </row>
    <row r="855" spans="1:8" s="21" customFormat="1" ht="12" customHeight="1" x14ac:dyDescent="0.2">
      <c r="A855" s="16"/>
      <c r="B855" s="119"/>
      <c r="C855" s="104"/>
      <c r="D855" s="16"/>
      <c r="E855" s="118"/>
      <c r="F855" s="42"/>
    </row>
    <row r="856" spans="1:8" s="21" customFormat="1" x14ac:dyDescent="0.2">
      <c r="A856" s="16"/>
      <c r="B856" s="22" t="s">
        <v>284</v>
      </c>
      <c r="C856" s="104"/>
      <c r="D856" s="16"/>
      <c r="E856" s="118"/>
      <c r="F856" s="42"/>
    </row>
    <row r="857" spans="1:8" s="21" customFormat="1" ht="12" customHeight="1" x14ac:dyDescent="0.2">
      <c r="A857" s="16"/>
      <c r="B857" s="119"/>
      <c r="C857" s="104"/>
      <c r="D857" s="16"/>
      <c r="E857" s="118"/>
      <c r="F857" s="42"/>
    </row>
    <row r="858" spans="1:8" s="21" customFormat="1" ht="13.5" x14ac:dyDescent="0.2">
      <c r="A858" s="16" t="s">
        <v>2</v>
      </c>
      <c r="B858" s="119" t="s">
        <v>285</v>
      </c>
      <c r="C858" s="188" t="e">
        <f>#REF!</f>
        <v>#REF!</v>
      </c>
      <c r="D858" s="16" t="s">
        <v>18</v>
      </c>
      <c r="E858" s="118">
        <f>E700</f>
        <v>1000</v>
      </c>
      <c r="F858" s="42" t="e">
        <f>C858*E858</f>
        <v>#REF!</v>
      </c>
      <c r="G858" s="120"/>
      <c r="H858" s="95"/>
    </row>
    <row r="859" spans="1:8" s="21" customFormat="1" ht="12" customHeight="1" x14ac:dyDescent="0.2">
      <c r="A859" s="16"/>
      <c r="B859" s="119"/>
      <c r="C859" s="180"/>
      <c r="D859" s="16"/>
      <c r="E859" s="118"/>
      <c r="F859" s="42"/>
    </row>
    <row r="860" spans="1:8" s="21" customFormat="1" ht="12.75" x14ac:dyDescent="0.2">
      <c r="A860" s="16"/>
      <c r="B860" s="121" t="s">
        <v>286</v>
      </c>
      <c r="C860" s="180"/>
      <c r="D860" s="16"/>
      <c r="E860" s="105"/>
      <c r="F860" s="93"/>
    </row>
    <row r="861" spans="1:8" s="21" customFormat="1" ht="12" customHeight="1" x14ac:dyDescent="0.2">
      <c r="A861" s="16"/>
      <c r="B861" s="119"/>
      <c r="C861" s="180"/>
      <c r="D861" s="16"/>
      <c r="E861" s="105"/>
      <c r="F861" s="93"/>
    </row>
    <row r="862" spans="1:8" s="21" customFormat="1" ht="12.75" x14ac:dyDescent="0.2">
      <c r="A862" s="16" t="s">
        <v>4</v>
      </c>
      <c r="B862" s="119" t="s">
        <v>287</v>
      </c>
      <c r="C862" s="180" t="e">
        <f>#REF!</f>
        <v>#REF!</v>
      </c>
      <c r="D862" s="16" t="s">
        <v>22</v>
      </c>
      <c r="E862" s="118">
        <v>300</v>
      </c>
      <c r="F862" s="42" t="e">
        <f>C862*E862</f>
        <v>#REF!</v>
      </c>
      <c r="G862" s="120"/>
      <c r="H862" s="95"/>
    </row>
    <row r="863" spans="1:8" s="21" customFormat="1" ht="12" customHeight="1" x14ac:dyDescent="0.2">
      <c r="A863" s="16"/>
      <c r="B863" s="119"/>
      <c r="C863" s="180"/>
      <c r="D863" s="16"/>
      <c r="E863" s="118"/>
      <c r="F863" s="42"/>
    </row>
    <row r="864" spans="1:8" s="21" customFormat="1" ht="12.75" x14ac:dyDescent="0.2">
      <c r="A864" s="16"/>
      <c r="B864" s="17" t="s">
        <v>288</v>
      </c>
      <c r="C864" s="180"/>
      <c r="D864" s="16"/>
      <c r="E864" s="122"/>
      <c r="F864" s="123"/>
    </row>
    <row r="865" spans="1:7" s="21" customFormat="1" ht="12.75" x14ac:dyDescent="0.2">
      <c r="A865" s="16"/>
      <c r="B865" s="17"/>
      <c r="C865" s="180"/>
      <c r="D865" s="16"/>
      <c r="E865" s="122"/>
      <c r="F865" s="123"/>
    </row>
    <row r="866" spans="1:7" s="21" customFormat="1" ht="13.5" x14ac:dyDescent="0.2">
      <c r="A866" s="16" t="s">
        <v>5</v>
      </c>
      <c r="B866" s="15" t="s">
        <v>289</v>
      </c>
      <c r="C866" s="180" t="e">
        <f>#REF!+#REF!</f>
        <v>#REF!</v>
      </c>
      <c r="D866" s="16" t="s">
        <v>18</v>
      </c>
      <c r="E866" s="118">
        <v>8000</v>
      </c>
      <c r="F866" s="42" t="e">
        <f>C866*E866</f>
        <v>#REF!</v>
      </c>
    </row>
    <row r="867" spans="1:7" s="21" customFormat="1" ht="18" customHeight="1" x14ac:dyDescent="0.25">
      <c r="A867" s="16"/>
      <c r="B867" s="15" t="s">
        <v>290</v>
      </c>
      <c r="C867" s="186"/>
    </row>
    <row r="868" spans="1:7" s="21" customFormat="1" ht="18" customHeight="1" x14ac:dyDescent="0.2">
      <c r="A868" s="16"/>
      <c r="B868" s="15"/>
      <c r="C868" s="180"/>
      <c r="D868" s="16"/>
      <c r="E868" s="124"/>
      <c r="F868" s="125"/>
    </row>
    <row r="869" spans="1:7" s="21" customFormat="1" ht="13.5" x14ac:dyDescent="0.2">
      <c r="A869" s="16" t="s">
        <v>6</v>
      </c>
      <c r="B869" s="15" t="s">
        <v>291</v>
      </c>
      <c r="C869" s="180"/>
      <c r="D869" s="16" t="s">
        <v>18</v>
      </c>
      <c r="E869" s="122">
        <v>3800</v>
      </c>
      <c r="F869" s="42">
        <f>C869*E869</f>
        <v>0</v>
      </c>
    </row>
    <row r="870" spans="1:7" s="21" customFormat="1" x14ac:dyDescent="0.2">
      <c r="A870" s="16"/>
      <c r="B870" s="15" t="s">
        <v>292</v>
      </c>
      <c r="C870" s="23"/>
    </row>
    <row r="871" spans="1:7" s="21" customFormat="1" x14ac:dyDescent="0.2">
      <c r="A871" s="16"/>
      <c r="C871" s="104"/>
      <c r="D871" s="16"/>
      <c r="E871" s="122"/>
      <c r="F871" s="125"/>
    </row>
    <row r="872" spans="1:7" s="20" customFormat="1" x14ac:dyDescent="0.2">
      <c r="A872" s="16"/>
      <c r="B872" s="17" t="s">
        <v>150</v>
      </c>
      <c r="C872" s="192"/>
      <c r="D872" s="16"/>
      <c r="E872" s="18"/>
      <c r="F872" s="19"/>
    </row>
    <row r="873" spans="1:7" s="20" customFormat="1" x14ac:dyDescent="0.2">
      <c r="A873" s="16"/>
      <c r="B873" s="21"/>
      <c r="C873" s="192"/>
      <c r="D873" s="16"/>
      <c r="E873" s="18"/>
      <c r="F873" s="19"/>
    </row>
    <row r="874" spans="1:7" s="20" customFormat="1" ht="30" customHeight="1" x14ac:dyDescent="0.2">
      <c r="A874" s="16"/>
      <c r="B874" s="22" t="s">
        <v>293</v>
      </c>
      <c r="C874" s="192"/>
      <c r="D874" s="16"/>
      <c r="E874" s="18"/>
      <c r="F874" s="19"/>
    </row>
    <row r="875" spans="1:7" s="20" customFormat="1" x14ac:dyDescent="0.2">
      <c r="A875" s="16"/>
      <c r="B875" s="21"/>
      <c r="C875" s="192"/>
      <c r="D875" s="16"/>
      <c r="E875" s="18"/>
      <c r="F875" s="19"/>
    </row>
    <row r="876" spans="1:7" s="20" customFormat="1" ht="13.5" x14ac:dyDescent="0.25">
      <c r="A876" s="23" t="s">
        <v>7</v>
      </c>
      <c r="B876" s="119" t="s">
        <v>40</v>
      </c>
      <c r="C876" s="182" t="e">
        <f>#REF!</f>
        <v>#REF!</v>
      </c>
      <c r="D876" s="16" t="s">
        <v>18</v>
      </c>
      <c r="E876" s="24">
        <f>E733</f>
        <v>500</v>
      </c>
      <c r="F876" s="15" t="e">
        <f>C876*E876</f>
        <v>#REF!</v>
      </c>
    </row>
    <row r="877" spans="1:7" s="20" customFormat="1" x14ac:dyDescent="0.2">
      <c r="A877" s="23"/>
      <c r="B877" s="21"/>
      <c r="C877" s="193"/>
      <c r="D877" s="16"/>
      <c r="E877" s="24"/>
      <c r="F877" s="15"/>
    </row>
    <row r="878" spans="1:7" s="21" customFormat="1" x14ac:dyDescent="0.2">
      <c r="A878" s="16"/>
      <c r="B878" s="121" t="s">
        <v>152</v>
      </c>
      <c r="C878" s="104"/>
      <c r="D878" s="16"/>
      <c r="E878" s="105"/>
      <c r="F878" s="93"/>
      <c r="G878" s="126"/>
    </row>
    <row r="879" spans="1:7" s="21" customFormat="1" ht="12" customHeight="1" x14ac:dyDescent="0.2">
      <c r="A879" s="16"/>
      <c r="B879" s="119"/>
      <c r="C879" s="104"/>
      <c r="D879" s="16"/>
      <c r="E879" s="105"/>
      <c r="F879" s="93"/>
    </row>
    <row r="880" spans="1:7" s="21" customFormat="1" x14ac:dyDescent="0.2">
      <c r="A880" s="16"/>
      <c r="B880" s="91" t="s">
        <v>153</v>
      </c>
      <c r="C880" s="104"/>
      <c r="D880" s="16"/>
      <c r="E880" s="105"/>
      <c r="F880" s="93"/>
    </row>
    <row r="881" spans="1:8" s="21" customFormat="1" ht="12" customHeight="1" x14ac:dyDescent="0.2">
      <c r="A881" s="16"/>
      <c r="B881" s="91" t="s">
        <v>294</v>
      </c>
      <c r="C881" s="104"/>
      <c r="D881" s="16"/>
      <c r="E881" s="105"/>
      <c r="F881" s="93"/>
    </row>
    <row r="882" spans="1:8" s="21" customFormat="1" ht="12" customHeight="1" x14ac:dyDescent="0.2">
      <c r="A882" s="16"/>
      <c r="B882" s="91"/>
      <c r="C882" s="104"/>
      <c r="D882" s="16"/>
      <c r="E882" s="105"/>
      <c r="F882" s="93"/>
    </row>
    <row r="883" spans="1:8" s="21" customFormat="1" ht="13.5" x14ac:dyDescent="0.2">
      <c r="A883" s="16" t="s">
        <v>8</v>
      </c>
      <c r="B883" s="119" t="s">
        <v>40</v>
      </c>
      <c r="C883" s="104" t="e">
        <f>#REF!+#REF!</f>
        <v>#REF!</v>
      </c>
      <c r="D883" s="16" t="s">
        <v>18</v>
      </c>
      <c r="E883" s="105">
        <f>E742</f>
        <v>750</v>
      </c>
      <c r="F883" s="93" t="e">
        <f>C883*E883</f>
        <v>#REF!</v>
      </c>
      <c r="G883" s="120"/>
      <c r="H883" s="95"/>
    </row>
    <row r="884" spans="1:8" s="21" customFormat="1" ht="12" customHeight="1" x14ac:dyDescent="0.2">
      <c r="A884" s="16"/>
      <c r="B884" s="119"/>
      <c r="C884" s="104"/>
      <c r="D884" s="16"/>
      <c r="E884" s="105"/>
      <c r="F884" s="93"/>
    </row>
    <row r="885" spans="1:8" s="21" customFormat="1" ht="12" customHeight="1" x14ac:dyDescent="0.2">
      <c r="A885" s="16"/>
      <c r="B885" s="116"/>
      <c r="C885" s="194"/>
      <c r="D885" s="127"/>
      <c r="E885" s="128"/>
      <c r="F885" s="129"/>
    </row>
    <row r="886" spans="1:8" s="21" customFormat="1" ht="12" customHeight="1" x14ac:dyDescent="0.2">
      <c r="A886" s="16"/>
      <c r="B886" s="116"/>
      <c r="C886" s="194"/>
      <c r="D886" s="127"/>
      <c r="E886" s="128"/>
      <c r="F886" s="129"/>
    </row>
    <row r="887" spans="1:8" s="21" customFormat="1" ht="12" customHeight="1" x14ac:dyDescent="0.2">
      <c r="A887" s="16"/>
      <c r="B887" s="116"/>
      <c r="C887" s="194"/>
      <c r="D887" s="127"/>
      <c r="E887" s="128"/>
      <c r="F887" s="129"/>
    </row>
    <row r="888" spans="1:8" s="21" customFormat="1" ht="12" customHeight="1" x14ac:dyDescent="0.2">
      <c r="A888" s="16"/>
      <c r="B888" s="116"/>
      <c r="C888" s="194"/>
      <c r="D888" s="127"/>
      <c r="E888" s="128"/>
      <c r="F888" s="129"/>
    </row>
    <row r="889" spans="1:8" s="21" customFormat="1" ht="12" customHeight="1" x14ac:dyDescent="0.2">
      <c r="A889" s="16"/>
      <c r="B889" s="116"/>
      <c r="C889" s="194"/>
      <c r="D889" s="127"/>
      <c r="E889" s="128"/>
      <c r="F889" s="129"/>
    </row>
    <row r="890" spans="1:8" s="21" customFormat="1" ht="12" customHeight="1" x14ac:dyDescent="0.2">
      <c r="A890" s="16"/>
      <c r="B890" s="116"/>
      <c r="C890" s="194"/>
      <c r="D890" s="127"/>
      <c r="E890" s="128"/>
      <c r="F890" s="129"/>
    </row>
    <row r="891" spans="1:8" s="21" customFormat="1" ht="12" customHeight="1" x14ac:dyDescent="0.2">
      <c r="A891" s="16"/>
      <c r="B891" s="116"/>
      <c r="C891" s="194"/>
      <c r="D891" s="127"/>
      <c r="E891" s="128"/>
      <c r="F891" s="129"/>
    </row>
    <row r="892" spans="1:8" s="21" customFormat="1" ht="12" customHeight="1" x14ac:dyDescent="0.2">
      <c r="A892" s="16"/>
      <c r="B892" s="116"/>
      <c r="C892" s="194"/>
      <c r="D892" s="127"/>
      <c r="E892" s="128"/>
      <c r="F892" s="129"/>
    </row>
    <row r="893" spans="1:8" s="21" customFormat="1" ht="12" customHeight="1" x14ac:dyDescent="0.2">
      <c r="A893" s="16"/>
      <c r="B893" s="116"/>
      <c r="C893" s="194"/>
      <c r="D893" s="127"/>
      <c r="E893" s="128"/>
      <c r="F893" s="129"/>
    </row>
    <row r="894" spans="1:8" s="21" customFormat="1" ht="12" customHeight="1" x14ac:dyDescent="0.2">
      <c r="A894" s="16"/>
      <c r="B894" s="116"/>
      <c r="C894" s="194"/>
      <c r="D894" s="127"/>
      <c r="E894" s="128"/>
      <c r="F894" s="129"/>
    </row>
    <row r="895" spans="1:8" s="21" customFormat="1" ht="12" customHeight="1" x14ac:dyDescent="0.2">
      <c r="A895" s="16"/>
      <c r="B895" s="116"/>
      <c r="C895" s="194"/>
      <c r="D895" s="127"/>
      <c r="E895" s="128"/>
      <c r="F895" s="129"/>
    </row>
    <row r="896" spans="1:8" s="21" customFormat="1" ht="12" customHeight="1" x14ac:dyDescent="0.2">
      <c r="A896" s="16"/>
      <c r="B896" s="116"/>
      <c r="C896" s="194"/>
      <c r="D896" s="127"/>
      <c r="E896" s="128"/>
      <c r="F896" s="129"/>
    </row>
    <row r="897" spans="1:8" x14ac:dyDescent="0.2">
      <c r="A897" s="14"/>
      <c r="B897" s="15"/>
      <c r="D897" s="14"/>
    </row>
    <row r="898" spans="1:8" x14ac:dyDescent="0.2">
      <c r="A898" s="14"/>
      <c r="B898" s="15"/>
    </row>
    <row r="899" spans="1:8" x14ac:dyDescent="0.2">
      <c r="A899" s="14"/>
      <c r="B899" s="11" t="s">
        <v>295</v>
      </c>
    </row>
    <row r="900" spans="1:8" x14ac:dyDescent="0.2">
      <c r="A900" s="14"/>
      <c r="B900" s="25" t="s">
        <v>95</v>
      </c>
      <c r="C900" s="191"/>
      <c r="D900" s="14"/>
      <c r="E900" s="10" t="s">
        <v>15</v>
      </c>
      <c r="F900" s="11" t="e">
        <f>SUM(F851:F899)</f>
        <v>#REF!</v>
      </c>
    </row>
    <row r="901" spans="1:8" s="30" customFormat="1" x14ac:dyDescent="0.25">
      <c r="A901" s="26"/>
      <c r="B901" s="27" t="s">
        <v>296</v>
      </c>
      <c r="C901" s="36"/>
      <c r="D901" s="26"/>
      <c r="E901" s="28"/>
      <c r="F901" s="29"/>
    </row>
    <row r="902" spans="1:8" s="30" customFormat="1" x14ac:dyDescent="0.25">
      <c r="A902" s="26"/>
      <c r="B902" s="31"/>
      <c r="C902" s="36"/>
      <c r="D902" s="26"/>
      <c r="E902" s="28"/>
      <c r="F902" s="29"/>
    </row>
    <row r="903" spans="1:8" s="30" customFormat="1" x14ac:dyDescent="0.25">
      <c r="A903" s="26"/>
      <c r="B903" s="27" t="s">
        <v>297</v>
      </c>
      <c r="C903" s="36"/>
      <c r="D903" s="26"/>
      <c r="E903" s="28"/>
      <c r="F903" s="29"/>
    </row>
    <row r="904" spans="1:8" s="134" customFormat="1" ht="24" x14ac:dyDescent="0.25">
      <c r="A904" s="130"/>
      <c r="B904" s="131" t="s">
        <v>298</v>
      </c>
      <c r="C904" s="130"/>
      <c r="D904" s="130"/>
      <c r="E904" s="132"/>
      <c r="F904" s="133"/>
    </row>
    <row r="905" spans="1:8" s="134" customFormat="1" x14ac:dyDescent="0.25">
      <c r="A905" s="130">
        <v>1</v>
      </c>
      <c r="B905" s="135" t="s">
        <v>299</v>
      </c>
      <c r="C905" s="130"/>
      <c r="D905" s="130" t="s">
        <v>21</v>
      </c>
      <c r="E905" s="132">
        <v>4500</v>
      </c>
      <c r="F905" s="133">
        <f t="shared" ref="F905:F918" si="0">C905*E905</f>
        <v>0</v>
      </c>
      <c r="G905" s="136"/>
      <c r="H905" s="137"/>
    </row>
    <row r="906" spans="1:8" s="134" customFormat="1" x14ac:dyDescent="0.25">
      <c r="A906" s="130">
        <v>2</v>
      </c>
      <c r="B906" s="135" t="s">
        <v>300</v>
      </c>
      <c r="C906" s="130"/>
      <c r="D906" s="130" t="s">
        <v>21</v>
      </c>
      <c r="E906" s="132">
        <v>2500</v>
      </c>
      <c r="F906" s="133">
        <f t="shared" si="0"/>
        <v>0</v>
      </c>
      <c r="G906" s="136"/>
      <c r="H906" s="137"/>
    </row>
    <row r="907" spans="1:8" s="134" customFormat="1" x14ac:dyDescent="0.25">
      <c r="A907" s="130">
        <v>3</v>
      </c>
      <c r="B907" s="135" t="s">
        <v>301</v>
      </c>
      <c r="C907" s="130"/>
      <c r="D907" s="130" t="s">
        <v>21</v>
      </c>
      <c r="E907" s="132">
        <v>2500</v>
      </c>
      <c r="F907" s="133">
        <f t="shared" si="0"/>
        <v>0</v>
      </c>
      <c r="G907" s="136"/>
      <c r="H907" s="137"/>
    </row>
    <row r="908" spans="1:8" s="134" customFormat="1" x14ac:dyDescent="0.25">
      <c r="A908" s="130">
        <v>4</v>
      </c>
      <c r="B908" s="135" t="s">
        <v>302</v>
      </c>
      <c r="C908" s="130"/>
      <c r="D908" s="130" t="s">
        <v>185</v>
      </c>
      <c r="E908" s="132">
        <v>2500</v>
      </c>
      <c r="F908" s="133">
        <f t="shared" si="0"/>
        <v>0</v>
      </c>
      <c r="G908" s="136"/>
      <c r="H908" s="137"/>
    </row>
    <row r="909" spans="1:8" s="134" customFormat="1" x14ac:dyDescent="0.25">
      <c r="A909" s="130">
        <v>5</v>
      </c>
      <c r="B909" s="135" t="s">
        <v>303</v>
      </c>
      <c r="C909" s="130"/>
      <c r="D909" s="130" t="s">
        <v>185</v>
      </c>
      <c r="E909" s="132">
        <v>1000</v>
      </c>
      <c r="F909" s="133">
        <f t="shared" si="0"/>
        <v>0</v>
      </c>
      <c r="G909" s="136"/>
      <c r="H909" s="137"/>
    </row>
    <row r="910" spans="1:8" s="134" customFormat="1" x14ac:dyDescent="0.25">
      <c r="A910" s="130">
        <v>6</v>
      </c>
      <c r="B910" s="135" t="s">
        <v>304</v>
      </c>
      <c r="C910" s="130"/>
      <c r="D910" s="130" t="s">
        <v>185</v>
      </c>
      <c r="E910" s="132">
        <v>1200</v>
      </c>
      <c r="F910" s="133">
        <f t="shared" si="0"/>
        <v>0</v>
      </c>
      <c r="G910" s="136"/>
      <c r="H910" s="137"/>
    </row>
    <row r="911" spans="1:8" s="134" customFormat="1" x14ac:dyDescent="0.25">
      <c r="A911" s="130">
        <v>7</v>
      </c>
      <c r="B911" s="135" t="s">
        <v>305</v>
      </c>
      <c r="C911" s="130"/>
      <c r="D911" s="130" t="s">
        <v>185</v>
      </c>
      <c r="E911" s="132">
        <v>1200</v>
      </c>
      <c r="F911" s="133">
        <f t="shared" si="0"/>
        <v>0</v>
      </c>
      <c r="G911" s="136"/>
      <c r="H911" s="137"/>
    </row>
    <row r="912" spans="1:8" s="134" customFormat="1" x14ac:dyDescent="0.25">
      <c r="A912" s="130">
        <v>8</v>
      </c>
      <c r="B912" s="135" t="s">
        <v>306</v>
      </c>
      <c r="C912" s="130"/>
      <c r="D912" s="130" t="s">
        <v>185</v>
      </c>
      <c r="E912" s="132">
        <v>220</v>
      </c>
      <c r="F912" s="133">
        <f t="shared" si="0"/>
        <v>0</v>
      </c>
      <c r="G912" s="136"/>
      <c r="H912" s="137"/>
    </row>
    <row r="913" spans="1:8" s="134" customFormat="1" x14ac:dyDescent="0.25">
      <c r="A913" s="130">
        <v>9</v>
      </c>
      <c r="B913" s="135" t="s">
        <v>307</v>
      </c>
      <c r="C913" s="130"/>
      <c r="D913" s="130" t="s">
        <v>185</v>
      </c>
      <c r="E913" s="132">
        <v>320</v>
      </c>
      <c r="F913" s="133">
        <f t="shared" si="0"/>
        <v>0</v>
      </c>
      <c r="G913" s="136"/>
      <c r="H913" s="137"/>
    </row>
    <row r="914" spans="1:8" s="134" customFormat="1" x14ac:dyDescent="0.25">
      <c r="A914" s="130">
        <v>10</v>
      </c>
      <c r="B914" s="135" t="s">
        <v>308</v>
      </c>
      <c r="C914" s="130"/>
      <c r="D914" s="130" t="s">
        <v>185</v>
      </c>
      <c r="E914" s="132">
        <v>220</v>
      </c>
      <c r="F914" s="133">
        <f t="shared" si="0"/>
        <v>0</v>
      </c>
      <c r="G914" s="136"/>
      <c r="H914" s="137"/>
    </row>
    <row r="915" spans="1:8" s="134" customFormat="1" x14ac:dyDescent="0.25">
      <c r="A915" s="130">
        <v>11</v>
      </c>
      <c r="B915" s="135" t="s">
        <v>309</v>
      </c>
      <c r="C915" s="130"/>
      <c r="D915" s="130" t="s">
        <v>185</v>
      </c>
      <c r="E915" s="132">
        <v>670</v>
      </c>
      <c r="F915" s="133">
        <f t="shared" si="0"/>
        <v>0</v>
      </c>
      <c r="G915" s="136"/>
      <c r="H915" s="137"/>
    </row>
    <row r="916" spans="1:8" s="134" customFormat="1" x14ac:dyDescent="0.25">
      <c r="A916" s="130">
        <v>12</v>
      </c>
      <c r="B916" s="135" t="s">
        <v>310</v>
      </c>
      <c r="C916" s="130"/>
      <c r="D916" s="130" t="s">
        <v>185</v>
      </c>
      <c r="E916" s="132">
        <v>3520</v>
      </c>
      <c r="F916" s="133">
        <f t="shared" si="0"/>
        <v>0</v>
      </c>
      <c r="G916" s="136"/>
      <c r="H916" s="137"/>
    </row>
    <row r="917" spans="1:8" s="134" customFormat="1" x14ac:dyDescent="0.25">
      <c r="A917" s="130">
        <v>13</v>
      </c>
      <c r="B917" s="135" t="s">
        <v>311</v>
      </c>
      <c r="C917" s="130"/>
      <c r="D917" s="130" t="s">
        <v>185</v>
      </c>
      <c r="E917" s="132">
        <v>420</v>
      </c>
      <c r="F917" s="133">
        <f t="shared" si="0"/>
        <v>0</v>
      </c>
      <c r="G917" s="136"/>
      <c r="H917" s="137"/>
    </row>
    <row r="918" spans="1:8" s="134" customFormat="1" x14ac:dyDescent="0.25">
      <c r="A918" s="130">
        <v>14</v>
      </c>
      <c r="B918" s="135" t="s">
        <v>312</v>
      </c>
      <c r="C918" s="130"/>
      <c r="D918" s="130" t="s">
        <v>185</v>
      </c>
      <c r="E918" s="132">
        <v>520</v>
      </c>
      <c r="F918" s="133">
        <f t="shared" si="0"/>
        <v>0</v>
      </c>
      <c r="G918" s="136"/>
      <c r="H918" s="137"/>
    </row>
    <row r="919" spans="1:8" s="134" customFormat="1" x14ac:dyDescent="0.25">
      <c r="A919" s="130"/>
      <c r="B919" s="131"/>
      <c r="C919" s="130"/>
      <c r="D919" s="130"/>
      <c r="E919" s="132"/>
      <c r="F919" s="133"/>
    </row>
    <row r="920" spans="1:8" s="134" customFormat="1" x14ac:dyDescent="0.25">
      <c r="A920" s="130"/>
      <c r="B920" s="138" t="s">
        <v>313</v>
      </c>
      <c r="C920" s="130"/>
      <c r="D920" s="130"/>
      <c r="E920" s="139"/>
      <c r="F920" s="140"/>
    </row>
    <row r="921" spans="1:8" s="134" customFormat="1" x14ac:dyDescent="0.25">
      <c r="A921" s="130">
        <v>1</v>
      </c>
      <c r="B921" s="135" t="s">
        <v>314</v>
      </c>
      <c r="C921" s="130"/>
      <c r="D921" s="130" t="s">
        <v>21</v>
      </c>
      <c r="E921" s="132">
        <v>3000</v>
      </c>
      <c r="F921" s="133">
        <f t="shared" ref="F921:F943" si="1">C921*E921</f>
        <v>0</v>
      </c>
      <c r="G921" s="136"/>
      <c r="H921" s="137"/>
    </row>
    <row r="922" spans="1:8" s="134" customFormat="1" x14ac:dyDescent="0.25">
      <c r="A922" s="130">
        <v>2</v>
      </c>
      <c r="B922" s="135" t="s">
        <v>315</v>
      </c>
      <c r="C922" s="130"/>
      <c r="D922" s="130" t="s">
        <v>21</v>
      </c>
      <c r="E922" s="132">
        <v>2000</v>
      </c>
      <c r="F922" s="133">
        <f t="shared" si="1"/>
        <v>0</v>
      </c>
      <c r="G922" s="136"/>
      <c r="H922" s="137"/>
    </row>
    <row r="923" spans="1:8" s="134" customFormat="1" x14ac:dyDescent="0.25">
      <c r="A923" s="130">
        <v>3</v>
      </c>
      <c r="B923" s="135" t="s">
        <v>316</v>
      </c>
      <c r="C923" s="130"/>
      <c r="D923" s="130" t="s">
        <v>21</v>
      </c>
      <c r="E923" s="132">
        <v>1700</v>
      </c>
      <c r="F923" s="133">
        <f t="shared" si="1"/>
        <v>0</v>
      </c>
      <c r="G923" s="136"/>
      <c r="H923" s="137"/>
    </row>
    <row r="924" spans="1:8" s="134" customFormat="1" x14ac:dyDescent="0.25">
      <c r="A924" s="130">
        <v>4</v>
      </c>
      <c r="B924" s="135" t="s">
        <v>317</v>
      </c>
      <c r="C924" s="130"/>
      <c r="D924" s="130" t="s">
        <v>185</v>
      </c>
      <c r="E924" s="132">
        <v>170</v>
      </c>
      <c r="F924" s="133">
        <f t="shared" si="1"/>
        <v>0</v>
      </c>
      <c r="G924" s="136"/>
      <c r="H924" s="137"/>
    </row>
    <row r="925" spans="1:8" s="134" customFormat="1" x14ac:dyDescent="0.25">
      <c r="A925" s="130">
        <v>5</v>
      </c>
      <c r="B925" s="135" t="s">
        <v>318</v>
      </c>
      <c r="C925" s="130"/>
      <c r="D925" s="130" t="s">
        <v>185</v>
      </c>
      <c r="E925" s="132">
        <v>170</v>
      </c>
      <c r="F925" s="133">
        <f t="shared" si="1"/>
        <v>0</v>
      </c>
      <c r="G925" s="136"/>
      <c r="H925" s="137"/>
    </row>
    <row r="926" spans="1:8" s="134" customFormat="1" x14ac:dyDescent="0.25">
      <c r="A926" s="130">
        <v>6</v>
      </c>
      <c r="B926" s="135" t="s">
        <v>319</v>
      </c>
      <c r="C926" s="130"/>
      <c r="D926" s="130" t="s">
        <v>185</v>
      </c>
      <c r="E926" s="132">
        <v>170</v>
      </c>
      <c r="F926" s="133">
        <f t="shared" si="1"/>
        <v>0</v>
      </c>
      <c r="G926" s="136"/>
      <c r="H926" s="137"/>
    </row>
    <row r="927" spans="1:8" s="134" customFormat="1" x14ac:dyDescent="0.25">
      <c r="A927" s="130">
        <v>7</v>
      </c>
      <c r="B927" s="135" t="s">
        <v>320</v>
      </c>
      <c r="C927" s="130"/>
      <c r="D927" s="130" t="s">
        <v>185</v>
      </c>
      <c r="E927" s="132">
        <v>170</v>
      </c>
      <c r="F927" s="133">
        <f t="shared" si="1"/>
        <v>0</v>
      </c>
      <c r="G927" s="136"/>
      <c r="H927" s="137"/>
    </row>
    <row r="928" spans="1:8" s="134" customFormat="1" x14ac:dyDescent="0.25">
      <c r="A928" s="130">
        <v>8</v>
      </c>
      <c r="B928" s="135" t="s">
        <v>321</v>
      </c>
      <c r="C928" s="130"/>
      <c r="D928" s="130" t="s">
        <v>185</v>
      </c>
      <c r="E928" s="132">
        <v>3050</v>
      </c>
      <c r="F928" s="133">
        <f t="shared" si="1"/>
        <v>0</v>
      </c>
      <c r="G928" s="136"/>
      <c r="H928" s="137"/>
    </row>
    <row r="929" spans="1:8" s="134" customFormat="1" x14ac:dyDescent="0.25">
      <c r="A929" s="130">
        <v>9</v>
      </c>
      <c r="B929" s="135" t="s">
        <v>322</v>
      </c>
      <c r="C929" s="130"/>
      <c r="D929" s="130" t="s">
        <v>185</v>
      </c>
      <c r="E929" s="132">
        <v>450</v>
      </c>
      <c r="F929" s="133">
        <f t="shared" si="1"/>
        <v>0</v>
      </c>
      <c r="G929" s="136"/>
      <c r="H929" s="137"/>
    </row>
    <row r="930" spans="1:8" s="134" customFormat="1" x14ac:dyDescent="0.25">
      <c r="A930" s="130">
        <v>10</v>
      </c>
      <c r="B930" s="135" t="s">
        <v>323</v>
      </c>
      <c r="C930" s="130"/>
      <c r="D930" s="130" t="s">
        <v>185</v>
      </c>
      <c r="E930" s="132">
        <v>140</v>
      </c>
      <c r="F930" s="133">
        <f t="shared" si="1"/>
        <v>0</v>
      </c>
      <c r="G930" s="136"/>
      <c r="H930" s="137"/>
    </row>
    <row r="931" spans="1:8" s="134" customFormat="1" x14ac:dyDescent="0.25">
      <c r="A931" s="130">
        <v>11</v>
      </c>
      <c r="B931" s="135" t="s">
        <v>324</v>
      </c>
      <c r="C931" s="130"/>
      <c r="D931" s="130" t="s">
        <v>185</v>
      </c>
      <c r="E931" s="132">
        <v>140</v>
      </c>
      <c r="F931" s="133">
        <f t="shared" si="1"/>
        <v>0</v>
      </c>
      <c r="G931" s="136"/>
      <c r="H931" s="137"/>
    </row>
    <row r="932" spans="1:8" s="134" customFormat="1" x14ac:dyDescent="0.25">
      <c r="A932" s="130">
        <v>12</v>
      </c>
      <c r="B932" s="135" t="s">
        <v>325</v>
      </c>
      <c r="C932" s="130"/>
      <c r="D932" s="130" t="s">
        <v>185</v>
      </c>
      <c r="E932" s="132">
        <v>140</v>
      </c>
      <c r="F932" s="133">
        <f t="shared" si="1"/>
        <v>0</v>
      </c>
      <c r="G932" s="136"/>
      <c r="H932" s="137"/>
    </row>
    <row r="933" spans="1:8" s="134" customFormat="1" x14ac:dyDescent="0.25">
      <c r="A933" s="130">
        <v>13</v>
      </c>
      <c r="B933" s="135" t="s">
        <v>326</v>
      </c>
      <c r="C933" s="130"/>
      <c r="D933" s="130" t="s">
        <v>185</v>
      </c>
      <c r="E933" s="132">
        <v>140</v>
      </c>
      <c r="F933" s="133">
        <f t="shared" si="1"/>
        <v>0</v>
      </c>
      <c r="G933" s="136"/>
      <c r="H933" s="137"/>
    </row>
    <row r="934" spans="1:8" s="134" customFormat="1" x14ac:dyDescent="0.25">
      <c r="A934" s="130">
        <v>14</v>
      </c>
      <c r="B934" s="135" t="s">
        <v>327</v>
      </c>
      <c r="C934" s="130"/>
      <c r="D934" s="130" t="s">
        <v>185</v>
      </c>
      <c r="E934" s="132">
        <v>2050</v>
      </c>
      <c r="F934" s="133">
        <f t="shared" si="1"/>
        <v>0</v>
      </c>
      <c r="G934" s="136"/>
      <c r="H934" s="137"/>
    </row>
    <row r="935" spans="1:8" s="134" customFormat="1" x14ac:dyDescent="0.25">
      <c r="A935" s="130">
        <v>15</v>
      </c>
      <c r="B935" s="135" t="s">
        <v>328</v>
      </c>
      <c r="C935" s="130"/>
      <c r="D935" s="130" t="s">
        <v>185</v>
      </c>
      <c r="E935" s="132">
        <v>100</v>
      </c>
      <c r="F935" s="133">
        <f t="shared" si="1"/>
        <v>0</v>
      </c>
      <c r="G935" s="136"/>
      <c r="H935" s="137"/>
    </row>
    <row r="936" spans="1:8" s="134" customFormat="1" x14ac:dyDescent="0.25">
      <c r="A936" s="130">
        <v>16</v>
      </c>
      <c r="B936" s="135" t="s">
        <v>329</v>
      </c>
      <c r="C936" s="130"/>
      <c r="D936" s="130" t="s">
        <v>185</v>
      </c>
      <c r="E936" s="132">
        <v>100</v>
      </c>
      <c r="F936" s="133">
        <f t="shared" si="1"/>
        <v>0</v>
      </c>
      <c r="G936" s="136"/>
      <c r="H936" s="137"/>
    </row>
    <row r="937" spans="1:8" s="134" customFormat="1" x14ac:dyDescent="0.25">
      <c r="A937" s="130">
        <v>17</v>
      </c>
      <c r="B937" s="135" t="s">
        <v>330</v>
      </c>
      <c r="C937" s="130"/>
      <c r="D937" s="130" t="s">
        <v>185</v>
      </c>
      <c r="E937" s="132">
        <v>220</v>
      </c>
      <c r="F937" s="133">
        <f t="shared" si="1"/>
        <v>0</v>
      </c>
      <c r="G937" s="136"/>
      <c r="H937" s="137"/>
    </row>
    <row r="938" spans="1:8" s="134" customFormat="1" ht="16.5" customHeight="1" x14ac:dyDescent="0.25">
      <c r="A938" s="130">
        <v>18</v>
      </c>
      <c r="B938" s="135" t="s">
        <v>331</v>
      </c>
      <c r="C938" s="130"/>
      <c r="D938" s="130" t="s">
        <v>185</v>
      </c>
      <c r="E938" s="132">
        <v>320</v>
      </c>
      <c r="F938" s="133">
        <f t="shared" si="1"/>
        <v>0</v>
      </c>
      <c r="G938" s="136"/>
      <c r="H938" s="137"/>
    </row>
    <row r="939" spans="1:8" s="134" customFormat="1" x14ac:dyDescent="0.25">
      <c r="A939" s="130">
        <v>19</v>
      </c>
      <c r="B939" s="135" t="s">
        <v>332</v>
      </c>
      <c r="C939" s="130"/>
      <c r="D939" s="130" t="s">
        <v>185</v>
      </c>
      <c r="E939" s="132">
        <v>320</v>
      </c>
      <c r="F939" s="133">
        <f t="shared" si="1"/>
        <v>0</v>
      </c>
      <c r="G939" s="136"/>
      <c r="H939" s="137"/>
    </row>
    <row r="940" spans="1:8" s="134" customFormat="1" x14ac:dyDescent="0.25">
      <c r="A940" s="130">
        <v>20</v>
      </c>
      <c r="B940" s="135" t="s">
        <v>333</v>
      </c>
      <c r="C940" s="130"/>
      <c r="D940" s="130" t="s">
        <v>185</v>
      </c>
      <c r="E940" s="132">
        <v>100</v>
      </c>
      <c r="F940" s="133">
        <f t="shared" si="1"/>
        <v>0</v>
      </c>
      <c r="G940" s="136"/>
      <c r="H940" s="137"/>
    </row>
    <row r="941" spans="1:8" s="134" customFormat="1" x14ac:dyDescent="0.25">
      <c r="A941" s="130">
        <v>21</v>
      </c>
      <c r="B941" s="135" t="s">
        <v>334</v>
      </c>
      <c r="C941" s="130"/>
      <c r="D941" s="130" t="s">
        <v>335</v>
      </c>
      <c r="E941" s="132">
        <v>500</v>
      </c>
      <c r="F941" s="133">
        <f t="shared" si="1"/>
        <v>0</v>
      </c>
      <c r="G941" s="136"/>
      <c r="H941" s="137"/>
    </row>
    <row r="942" spans="1:8" s="134" customFormat="1" x14ac:dyDescent="0.25">
      <c r="A942" s="130">
        <v>22</v>
      </c>
      <c r="B942" s="135" t="s">
        <v>336</v>
      </c>
      <c r="C942" s="130"/>
      <c r="D942" s="130" t="s">
        <v>185</v>
      </c>
      <c r="E942" s="132">
        <v>4000</v>
      </c>
      <c r="F942" s="133">
        <f t="shared" si="1"/>
        <v>0</v>
      </c>
      <c r="G942" s="136"/>
      <c r="H942" s="137"/>
    </row>
    <row r="943" spans="1:8" s="134" customFormat="1" x14ac:dyDescent="0.25">
      <c r="A943" s="130">
        <v>23</v>
      </c>
      <c r="B943" s="135" t="s">
        <v>337</v>
      </c>
      <c r="C943" s="130"/>
      <c r="D943" s="130" t="s">
        <v>185</v>
      </c>
      <c r="E943" s="132">
        <v>400</v>
      </c>
      <c r="F943" s="133">
        <f t="shared" si="1"/>
        <v>0</v>
      </c>
      <c r="G943" s="136"/>
      <c r="H943" s="137"/>
    </row>
    <row r="944" spans="1:8" s="134" customFormat="1" x14ac:dyDescent="0.25">
      <c r="A944" s="130"/>
      <c r="B944" s="135"/>
      <c r="C944" s="130"/>
      <c r="D944" s="130"/>
      <c r="E944" s="132"/>
      <c r="F944" s="133"/>
      <c r="G944" s="136"/>
      <c r="H944" s="137"/>
    </row>
    <row r="945" spans="1:8" s="134" customFormat="1" x14ac:dyDescent="0.25">
      <c r="A945" s="130"/>
      <c r="B945" s="135"/>
      <c r="C945" s="130"/>
      <c r="D945" s="130"/>
      <c r="E945" s="132"/>
      <c r="F945" s="133"/>
      <c r="G945" s="136"/>
      <c r="H945" s="137"/>
    </row>
    <row r="946" spans="1:8" s="30" customFormat="1" x14ac:dyDescent="0.25">
      <c r="A946" s="26"/>
      <c r="B946" s="32" t="s">
        <v>158</v>
      </c>
      <c r="C946" s="26"/>
      <c r="D946" s="33"/>
      <c r="E946" s="34" t="s">
        <v>15</v>
      </c>
      <c r="F946" s="29">
        <f>SUM(F904:F945)</f>
        <v>0</v>
      </c>
    </row>
    <row r="947" spans="1:8" s="134" customFormat="1" ht="12" customHeight="1" x14ac:dyDescent="0.25">
      <c r="A947" s="130"/>
      <c r="B947" s="135"/>
      <c r="C947" s="130"/>
      <c r="D947" s="130"/>
      <c r="E947" s="132"/>
      <c r="F947" s="133"/>
    </row>
    <row r="948" spans="1:8" s="134" customFormat="1" ht="12" customHeight="1" x14ac:dyDescent="0.25">
      <c r="A948" s="130"/>
      <c r="B948" s="135"/>
      <c r="C948" s="130"/>
      <c r="D948" s="130"/>
      <c r="E948" s="132"/>
      <c r="F948" s="133"/>
    </row>
    <row r="949" spans="1:8" s="134" customFormat="1" x14ac:dyDescent="0.25">
      <c r="A949" s="130"/>
      <c r="B949" s="141" t="s">
        <v>338</v>
      </c>
      <c r="C949" s="130"/>
      <c r="D949" s="130"/>
      <c r="E949" s="142"/>
      <c r="F949" s="143"/>
    </row>
    <row r="950" spans="1:8" s="134" customFormat="1" x14ac:dyDescent="0.25">
      <c r="A950" s="130">
        <v>1</v>
      </c>
      <c r="B950" s="135" t="s">
        <v>339</v>
      </c>
      <c r="C950" s="130"/>
      <c r="D950" s="130" t="s">
        <v>185</v>
      </c>
      <c r="E950" s="132">
        <v>55000</v>
      </c>
      <c r="F950" s="133">
        <f t="shared" ref="F950:F968" si="2">C950*E950</f>
        <v>0</v>
      </c>
      <c r="G950" s="136"/>
      <c r="H950" s="137"/>
    </row>
    <row r="951" spans="1:8" s="134" customFormat="1" x14ac:dyDescent="0.25">
      <c r="A951" s="130">
        <v>2</v>
      </c>
      <c r="B951" s="135" t="s">
        <v>340</v>
      </c>
      <c r="C951" s="130"/>
      <c r="D951" s="130" t="s">
        <v>185</v>
      </c>
      <c r="E951" s="132">
        <v>30000</v>
      </c>
      <c r="F951" s="133">
        <f t="shared" si="2"/>
        <v>0</v>
      </c>
      <c r="G951" s="136"/>
      <c r="H951" s="137"/>
    </row>
    <row r="952" spans="1:8" s="134" customFormat="1" x14ac:dyDescent="0.25">
      <c r="A952" s="130">
        <v>3</v>
      </c>
      <c r="B952" s="135" t="s">
        <v>341</v>
      </c>
      <c r="C952" s="130"/>
      <c r="D952" s="130" t="s">
        <v>185</v>
      </c>
      <c r="E952" s="132">
        <v>35000</v>
      </c>
      <c r="F952" s="133">
        <f t="shared" si="2"/>
        <v>0</v>
      </c>
      <c r="G952" s="136"/>
      <c r="H952" s="137"/>
    </row>
    <row r="953" spans="1:8" s="134" customFormat="1" x14ac:dyDescent="0.25">
      <c r="A953" s="130">
        <v>4</v>
      </c>
      <c r="B953" s="135" t="s">
        <v>342</v>
      </c>
      <c r="C953" s="130"/>
      <c r="D953" s="130" t="s">
        <v>185</v>
      </c>
      <c r="E953" s="132">
        <v>40000</v>
      </c>
      <c r="F953" s="133">
        <f t="shared" si="2"/>
        <v>0</v>
      </c>
      <c r="G953" s="136"/>
      <c r="H953" s="137"/>
    </row>
    <row r="954" spans="1:8" s="134" customFormat="1" x14ac:dyDescent="0.25">
      <c r="A954" s="130">
        <v>5</v>
      </c>
      <c r="B954" s="135" t="s">
        <v>343</v>
      </c>
      <c r="C954" s="130"/>
      <c r="D954" s="130" t="s">
        <v>185</v>
      </c>
      <c r="E954" s="132">
        <v>1800</v>
      </c>
      <c r="F954" s="133">
        <f t="shared" si="2"/>
        <v>0</v>
      </c>
      <c r="G954" s="136"/>
      <c r="H954" s="137"/>
    </row>
    <row r="955" spans="1:8" s="134" customFormat="1" x14ac:dyDescent="0.25">
      <c r="A955" s="130">
        <v>6</v>
      </c>
      <c r="B955" s="135" t="s">
        <v>344</v>
      </c>
      <c r="C955" s="130"/>
      <c r="D955" s="130" t="s">
        <v>185</v>
      </c>
      <c r="E955" s="132">
        <v>1000</v>
      </c>
      <c r="F955" s="133">
        <f t="shared" si="2"/>
        <v>0</v>
      </c>
      <c r="G955" s="136"/>
      <c r="H955" s="137"/>
    </row>
    <row r="956" spans="1:8" s="134" customFormat="1" x14ac:dyDescent="0.25">
      <c r="A956" s="130">
        <v>7</v>
      </c>
      <c r="B956" s="135" t="s">
        <v>345</v>
      </c>
      <c r="C956" s="130"/>
      <c r="D956" s="130" t="s">
        <v>185</v>
      </c>
      <c r="E956" s="132">
        <v>900</v>
      </c>
      <c r="F956" s="133">
        <f t="shared" si="2"/>
        <v>0</v>
      </c>
      <c r="G956" s="136"/>
      <c r="H956" s="137"/>
    </row>
    <row r="957" spans="1:8" s="134" customFormat="1" x14ac:dyDescent="0.25">
      <c r="A957" s="130">
        <v>8</v>
      </c>
      <c r="B957" s="135" t="s">
        <v>346</v>
      </c>
      <c r="C957" s="130"/>
      <c r="D957" s="130" t="s">
        <v>185</v>
      </c>
      <c r="E957" s="132">
        <v>900</v>
      </c>
      <c r="F957" s="133">
        <f t="shared" si="2"/>
        <v>0</v>
      </c>
      <c r="G957" s="136"/>
      <c r="H957" s="137"/>
    </row>
    <row r="958" spans="1:8" s="134" customFormat="1" x14ac:dyDescent="0.25">
      <c r="A958" s="130">
        <v>9</v>
      </c>
      <c r="B958" s="135" t="s">
        <v>347</v>
      </c>
      <c r="C958" s="130"/>
      <c r="D958" s="130" t="s">
        <v>185</v>
      </c>
      <c r="E958" s="132">
        <v>1500</v>
      </c>
      <c r="F958" s="133">
        <f t="shared" si="2"/>
        <v>0</v>
      </c>
      <c r="G958" s="136"/>
      <c r="H958" s="137"/>
    </row>
    <row r="959" spans="1:8" s="134" customFormat="1" x14ac:dyDescent="0.25">
      <c r="A959" s="130">
        <v>10</v>
      </c>
      <c r="B959" s="135" t="s">
        <v>348</v>
      </c>
      <c r="C959" s="130"/>
      <c r="D959" s="130" t="s">
        <v>185</v>
      </c>
      <c r="E959" s="132">
        <v>2000</v>
      </c>
      <c r="F959" s="133">
        <f t="shared" si="2"/>
        <v>0</v>
      </c>
      <c r="G959" s="136"/>
      <c r="H959" s="137"/>
    </row>
    <row r="960" spans="1:8" s="134" customFormat="1" ht="24" x14ac:dyDescent="0.25">
      <c r="A960" s="130">
        <v>11</v>
      </c>
      <c r="B960" s="135" t="s">
        <v>349</v>
      </c>
      <c r="C960" s="130"/>
      <c r="D960" s="130" t="s">
        <v>185</v>
      </c>
      <c r="E960" s="132">
        <v>15000</v>
      </c>
      <c r="F960" s="133">
        <f t="shared" si="2"/>
        <v>0</v>
      </c>
      <c r="G960" s="136"/>
      <c r="H960" s="137"/>
    </row>
    <row r="961" spans="1:8" s="134" customFormat="1" x14ac:dyDescent="0.25">
      <c r="A961" s="130">
        <v>12</v>
      </c>
      <c r="B961" s="135" t="s">
        <v>350</v>
      </c>
      <c r="C961" s="130"/>
      <c r="D961" s="130" t="s">
        <v>185</v>
      </c>
      <c r="E961" s="132">
        <v>30000</v>
      </c>
      <c r="F961" s="133">
        <f t="shared" si="2"/>
        <v>0</v>
      </c>
      <c r="G961" s="136"/>
      <c r="H961" s="137"/>
    </row>
    <row r="962" spans="1:8" s="134" customFormat="1" x14ac:dyDescent="0.25">
      <c r="A962" s="130">
        <v>13</v>
      </c>
      <c r="B962" s="135" t="s">
        <v>351</v>
      </c>
      <c r="C962" s="130"/>
      <c r="D962" s="130" t="s">
        <v>185</v>
      </c>
      <c r="E962" s="132">
        <v>13000</v>
      </c>
      <c r="F962" s="133">
        <f t="shared" si="2"/>
        <v>0</v>
      </c>
      <c r="G962" s="136"/>
      <c r="H962" s="137"/>
    </row>
    <row r="963" spans="1:8" s="134" customFormat="1" x14ac:dyDescent="0.25">
      <c r="A963" s="130">
        <v>14</v>
      </c>
      <c r="B963" s="135" t="s">
        <v>352</v>
      </c>
      <c r="C963" s="130"/>
      <c r="D963" s="130" t="s">
        <v>185</v>
      </c>
      <c r="E963" s="132">
        <v>550</v>
      </c>
      <c r="F963" s="133">
        <f t="shared" si="2"/>
        <v>0</v>
      </c>
      <c r="G963" s="136"/>
      <c r="H963" s="137"/>
    </row>
    <row r="964" spans="1:8" s="134" customFormat="1" x14ac:dyDescent="0.25">
      <c r="A964" s="130">
        <v>15</v>
      </c>
      <c r="B964" s="135" t="s">
        <v>353</v>
      </c>
      <c r="C964" s="130"/>
      <c r="D964" s="130" t="s">
        <v>185</v>
      </c>
      <c r="E964" s="132">
        <v>200</v>
      </c>
      <c r="F964" s="133">
        <f t="shared" si="2"/>
        <v>0</v>
      </c>
      <c r="G964" s="136"/>
      <c r="H964" s="137"/>
    </row>
    <row r="965" spans="1:8" s="134" customFormat="1" x14ac:dyDescent="0.25">
      <c r="A965" s="130">
        <v>16</v>
      </c>
      <c r="B965" s="135" t="s">
        <v>354</v>
      </c>
      <c r="C965" s="130"/>
      <c r="D965" s="130" t="s">
        <v>185</v>
      </c>
      <c r="E965" s="132">
        <v>7000</v>
      </c>
      <c r="F965" s="133">
        <f t="shared" si="2"/>
        <v>0</v>
      </c>
      <c r="G965" s="136"/>
      <c r="H965" s="137"/>
    </row>
    <row r="966" spans="1:8" s="134" customFormat="1" x14ac:dyDescent="0.25">
      <c r="A966" s="130">
        <v>17</v>
      </c>
      <c r="B966" s="135" t="s">
        <v>355</v>
      </c>
      <c r="C966" s="130"/>
      <c r="D966" s="130" t="s">
        <v>185</v>
      </c>
      <c r="E966" s="132">
        <v>3000</v>
      </c>
      <c r="F966" s="133">
        <f t="shared" si="2"/>
        <v>0</v>
      </c>
      <c r="G966" s="136"/>
      <c r="H966" s="137"/>
    </row>
    <row r="967" spans="1:8" s="134" customFormat="1" x14ac:dyDescent="0.25">
      <c r="A967" s="130">
        <v>18</v>
      </c>
      <c r="B967" s="135" t="s">
        <v>356</v>
      </c>
      <c r="C967" s="130"/>
      <c r="D967" s="130" t="s">
        <v>185</v>
      </c>
      <c r="E967" s="132">
        <v>8500</v>
      </c>
      <c r="F967" s="133">
        <f t="shared" si="2"/>
        <v>0</v>
      </c>
      <c r="G967" s="136"/>
      <c r="H967" s="137"/>
    </row>
    <row r="968" spans="1:8" s="134" customFormat="1" x14ac:dyDescent="0.25">
      <c r="A968" s="130">
        <v>19</v>
      </c>
      <c r="B968" s="135" t="s">
        <v>357</v>
      </c>
      <c r="C968" s="130"/>
      <c r="D968" s="130" t="s">
        <v>185</v>
      </c>
      <c r="E968" s="132">
        <v>1500</v>
      </c>
      <c r="F968" s="133">
        <f t="shared" si="2"/>
        <v>0</v>
      </c>
      <c r="G968" s="136"/>
      <c r="H968" s="137"/>
    </row>
    <row r="969" spans="1:8" s="134" customFormat="1" x14ac:dyDescent="0.25">
      <c r="A969" s="130">
        <v>20</v>
      </c>
      <c r="B969" s="135" t="s">
        <v>358</v>
      </c>
      <c r="C969" s="130"/>
      <c r="D969" s="130" t="s">
        <v>36</v>
      </c>
      <c r="E969" s="132"/>
      <c r="F969" s="133"/>
      <c r="G969" s="136"/>
      <c r="H969" s="137"/>
    </row>
    <row r="970" spans="1:8" s="134" customFormat="1" x14ac:dyDescent="0.25">
      <c r="A970" s="130"/>
      <c r="B970" s="135"/>
      <c r="C970" s="130"/>
      <c r="D970" s="130"/>
      <c r="E970" s="132"/>
      <c r="F970" s="133"/>
      <c r="G970" s="136"/>
      <c r="H970" s="137"/>
    </row>
    <row r="971" spans="1:8" s="30" customFormat="1" x14ac:dyDescent="0.25">
      <c r="A971" s="26"/>
      <c r="B971" s="141" t="s">
        <v>359</v>
      </c>
      <c r="C971" s="144"/>
      <c r="D971" s="144"/>
      <c r="E971" s="145"/>
      <c r="F971" s="146"/>
    </row>
    <row r="972" spans="1:8" s="134" customFormat="1" ht="34.5" customHeight="1" x14ac:dyDescent="0.25">
      <c r="A972" s="130">
        <v>21</v>
      </c>
      <c r="B972" s="135" t="s">
        <v>360</v>
      </c>
      <c r="C972" s="130"/>
      <c r="D972" s="130" t="s">
        <v>185</v>
      </c>
      <c r="E972" s="132">
        <v>25000</v>
      </c>
      <c r="F972" s="133">
        <f>E972*C972</f>
        <v>0</v>
      </c>
      <c r="G972" s="136"/>
      <c r="H972" s="137"/>
    </row>
    <row r="973" spans="1:8" s="134" customFormat="1" x14ac:dyDescent="0.25">
      <c r="A973" s="130"/>
      <c r="B973" s="135"/>
      <c r="C973" s="130"/>
      <c r="D973" s="130"/>
      <c r="E973" s="132"/>
      <c r="F973" s="133"/>
      <c r="G973" s="136"/>
      <c r="H973" s="137"/>
    </row>
    <row r="974" spans="1:8" s="134" customFormat="1" x14ac:dyDescent="0.25">
      <c r="A974" s="130"/>
      <c r="B974" s="141" t="s">
        <v>361</v>
      </c>
      <c r="C974" s="130"/>
      <c r="D974" s="130"/>
      <c r="E974" s="132"/>
      <c r="F974" s="133"/>
      <c r="G974" s="136"/>
      <c r="H974" s="137"/>
    </row>
    <row r="975" spans="1:8" s="134" customFormat="1" ht="24" x14ac:dyDescent="0.25">
      <c r="A975" s="130"/>
      <c r="B975" s="135" t="s">
        <v>362</v>
      </c>
      <c r="C975" s="130"/>
      <c r="D975" s="130"/>
      <c r="E975" s="132"/>
      <c r="F975" s="133"/>
      <c r="G975" s="136"/>
      <c r="H975" s="137"/>
    </row>
    <row r="976" spans="1:8" s="134" customFormat="1" x14ac:dyDescent="0.25">
      <c r="A976" s="130"/>
      <c r="B976" s="135"/>
      <c r="C976" s="130"/>
      <c r="D976" s="130"/>
      <c r="E976" s="132"/>
      <c r="F976" s="133"/>
      <c r="G976" s="136"/>
      <c r="H976" s="137"/>
    </row>
    <row r="977" spans="1:8" s="134" customFormat="1" x14ac:dyDescent="0.25">
      <c r="A977" s="130">
        <v>22</v>
      </c>
      <c r="B977" s="135" t="s">
        <v>363</v>
      </c>
      <c r="C977" s="130"/>
      <c r="D977" s="130" t="s">
        <v>22</v>
      </c>
      <c r="E977" s="132">
        <v>2300</v>
      </c>
      <c r="F977" s="133">
        <f>E977*C977</f>
        <v>0</v>
      </c>
      <c r="G977" s="136"/>
      <c r="H977" s="137"/>
    </row>
    <row r="978" spans="1:8" s="134" customFormat="1" x14ac:dyDescent="0.25">
      <c r="A978" s="130"/>
      <c r="B978" s="135"/>
      <c r="C978" s="130"/>
      <c r="D978" s="130"/>
      <c r="E978" s="132"/>
      <c r="F978" s="133"/>
      <c r="G978" s="136"/>
      <c r="H978" s="137"/>
    </row>
    <row r="979" spans="1:8" s="21" customFormat="1" ht="24" x14ac:dyDescent="0.2">
      <c r="A979" s="16">
        <v>23</v>
      </c>
      <c r="B979" s="147" t="s">
        <v>364</v>
      </c>
      <c r="C979" s="16"/>
      <c r="D979" s="104" t="s">
        <v>185</v>
      </c>
      <c r="E979" s="118">
        <v>16000</v>
      </c>
      <c r="F979" s="42">
        <f>E979*C979</f>
        <v>0</v>
      </c>
      <c r="G979" s="120"/>
      <c r="H979" s="95"/>
    </row>
    <row r="980" spans="1:8" s="134" customFormat="1" x14ac:dyDescent="0.25">
      <c r="A980" s="130"/>
      <c r="B980" s="141"/>
      <c r="C980" s="130"/>
      <c r="D980" s="130"/>
      <c r="E980" s="142"/>
      <c r="F980" s="143"/>
    </row>
    <row r="981" spans="1:8" s="148" customFormat="1" x14ac:dyDescent="0.25">
      <c r="B981" s="38" t="s">
        <v>365</v>
      </c>
      <c r="F981" s="133"/>
    </row>
    <row r="982" spans="1:8" s="134" customFormat="1" x14ac:dyDescent="0.25">
      <c r="A982" s="130"/>
      <c r="B982" s="141"/>
      <c r="C982" s="130"/>
      <c r="D982" s="130"/>
      <c r="E982" s="142"/>
      <c r="F982" s="143"/>
    </row>
    <row r="983" spans="1:8" s="134" customFormat="1" x14ac:dyDescent="0.25">
      <c r="A983" s="130"/>
      <c r="B983" s="141"/>
      <c r="C983" s="130"/>
      <c r="D983" s="130"/>
      <c r="E983" s="142"/>
      <c r="F983" s="143"/>
    </row>
    <row r="984" spans="1:8" s="30" customFormat="1" x14ac:dyDescent="0.25">
      <c r="A984" s="26"/>
      <c r="B984" s="32" t="s">
        <v>158</v>
      </c>
      <c r="C984" s="26"/>
      <c r="D984" s="33"/>
      <c r="E984" s="34" t="s">
        <v>15</v>
      </c>
      <c r="F984" s="29">
        <f>SUM(F950:F983)</f>
        <v>0</v>
      </c>
    </row>
    <row r="985" spans="1:8" s="134" customFormat="1" ht="12" customHeight="1" x14ac:dyDescent="0.25">
      <c r="A985" s="130"/>
      <c r="B985" s="135"/>
      <c r="C985" s="130"/>
      <c r="D985" s="130"/>
      <c r="E985" s="139"/>
      <c r="F985" s="140"/>
    </row>
    <row r="986" spans="1:8" s="134" customFormat="1" ht="12" customHeight="1" x14ac:dyDescent="0.25">
      <c r="A986" s="130"/>
      <c r="B986" s="35" t="s">
        <v>92</v>
      </c>
      <c r="C986" s="26"/>
      <c r="D986" s="36"/>
      <c r="E986" s="28"/>
      <c r="F986" s="140"/>
    </row>
    <row r="987" spans="1:8" s="134" customFormat="1" ht="12" customHeight="1" x14ac:dyDescent="0.25">
      <c r="A987" s="130"/>
      <c r="B987" s="37" t="s">
        <v>262</v>
      </c>
      <c r="C987" s="26"/>
      <c r="D987" s="36"/>
      <c r="E987" s="28">
        <f>F946</f>
        <v>0</v>
      </c>
      <c r="F987" s="140"/>
    </row>
    <row r="988" spans="1:8" s="134" customFormat="1" ht="12" customHeight="1" x14ac:dyDescent="0.25">
      <c r="A988" s="130"/>
      <c r="B988" s="37"/>
      <c r="C988" s="26"/>
      <c r="D988" s="36"/>
      <c r="E988" s="28"/>
      <c r="F988" s="140"/>
    </row>
    <row r="989" spans="1:8" s="134" customFormat="1" ht="12" customHeight="1" x14ac:dyDescent="0.25">
      <c r="A989" s="130"/>
      <c r="B989" s="37" t="s">
        <v>262</v>
      </c>
      <c r="C989" s="26"/>
      <c r="D989" s="36"/>
      <c r="E989" s="28">
        <f>F984</f>
        <v>0</v>
      </c>
      <c r="F989" s="140"/>
    </row>
    <row r="990" spans="1:8" s="30" customFormat="1" x14ac:dyDescent="0.25">
      <c r="A990" s="26"/>
      <c r="B990" s="31"/>
      <c r="C990" s="26"/>
      <c r="D990" s="36"/>
      <c r="E990" s="28"/>
      <c r="F990" s="29"/>
    </row>
    <row r="991" spans="1:8" s="30" customFormat="1" x14ac:dyDescent="0.25">
      <c r="A991" s="26"/>
      <c r="B991" s="31"/>
      <c r="C991" s="26"/>
      <c r="D991" s="36"/>
      <c r="F991" s="29"/>
    </row>
    <row r="992" spans="1:8" s="30" customFormat="1" x14ac:dyDescent="0.25">
      <c r="A992" s="26"/>
      <c r="B992" s="27"/>
      <c r="C992" s="26"/>
      <c r="D992" s="36"/>
      <c r="E992" s="28"/>
      <c r="F992" s="29"/>
    </row>
    <row r="993" spans="1:8" s="30" customFormat="1" x14ac:dyDescent="0.25">
      <c r="A993" s="26"/>
      <c r="B993" s="27" t="s">
        <v>366</v>
      </c>
      <c r="C993" s="26"/>
      <c r="D993" s="36"/>
      <c r="E993" s="28"/>
      <c r="F993" s="29"/>
    </row>
    <row r="994" spans="1:8" s="30" customFormat="1" x14ac:dyDescent="0.25">
      <c r="A994" s="26"/>
      <c r="B994" s="32" t="s">
        <v>95</v>
      </c>
      <c r="C994" s="26"/>
      <c r="D994" s="36"/>
      <c r="E994" s="34" t="s">
        <v>15</v>
      </c>
      <c r="F994" s="29">
        <f>SUM(E987:E990)</f>
        <v>0</v>
      </c>
    </row>
    <row r="995" spans="1:8" s="30" customFormat="1" x14ac:dyDescent="0.25">
      <c r="A995" s="26"/>
      <c r="B995" s="32"/>
      <c r="C995" s="26"/>
      <c r="D995" s="36"/>
      <c r="E995" s="34"/>
      <c r="F995" s="29"/>
    </row>
    <row r="996" spans="1:8" s="30" customFormat="1" x14ac:dyDescent="0.25">
      <c r="A996" s="26"/>
      <c r="B996" s="27" t="s">
        <v>367</v>
      </c>
      <c r="C996" s="26"/>
      <c r="D996" s="36"/>
      <c r="E996" s="28"/>
      <c r="F996" s="28"/>
    </row>
    <row r="997" spans="1:8" s="30" customFormat="1" x14ac:dyDescent="0.25">
      <c r="A997" s="26"/>
      <c r="B997" s="31"/>
      <c r="C997" s="26"/>
      <c r="D997" s="36"/>
      <c r="E997" s="28"/>
      <c r="F997" s="28"/>
    </row>
    <row r="998" spans="1:8" s="30" customFormat="1" x14ac:dyDescent="0.25">
      <c r="A998" s="26"/>
      <c r="B998" s="27" t="s">
        <v>368</v>
      </c>
      <c r="C998" s="26"/>
      <c r="D998" s="36"/>
      <c r="E998" s="28"/>
      <c r="F998" s="28"/>
    </row>
    <row r="999" spans="1:8" s="134" customFormat="1" x14ac:dyDescent="0.25">
      <c r="A999" s="130"/>
      <c r="B999" s="131" t="s">
        <v>369</v>
      </c>
      <c r="C999" s="130"/>
      <c r="D999" s="130"/>
      <c r="E999" s="132"/>
      <c r="F999" s="133"/>
    </row>
    <row r="1000" spans="1:8" s="134" customFormat="1" ht="36" x14ac:dyDescent="0.25">
      <c r="A1000" s="130">
        <v>1</v>
      </c>
      <c r="B1000" s="135" t="s">
        <v>370</v>
      </c>
      <c r="C1000" s="130"/>
      <c r="D1000" s="130" t="s">
        <v>371</v>
      </c>
      <c r="E1000" s="132">
        <v>14500</v>
      </c>
      <c r="F1000" s="133">
        <f t="shared" ref="F1000:F1022" si="3">C1000*E1000</f>
        <v>0</v>
      </c>
      <c r="G1000" s="136"/>
      <c r="H1000" s="137"/>
    </row>
    <row r="1001" spans="1:8" s="134" customFormat="1" x14ac:dyDescent="0.25">
      <c r="A1001" s="130">
        <v>2</v>
      </c>
      <c r="B1001" s="135" t="s">
        <v>372</v>
      </c>
      <c r="C1001" s="130"/>
      <c r="D1001" s="130" t="s">
        <v>373</v>
      </c>
      <c r="E1001" s="132">
        <v>1600</v>
      </c>
      <c r="F1001" s="133">
        <f t="shared" si="3"/>
        <v>0</v>
      </c>
      <c r="G1001" s="136"/>
      <c r="H1001" s="137"/>
    </row>
    <row r="1002" spans="1:8" s="134" customFormat="1" x14ac:dyDescent="0.25">
      <c r="A1002" s="130">
        <v>3</v>
      </c>
      <c r="B1002" s="135" t="s">
        <v>374</v>
      </c>
      <c r="C1002" s="130"/>
      <c r="D1002" s="130" t="s">
        <v>375</v>
      </c>
      <c r="E1002" s="132">
        <v>80</v>
      </c>
      <c r="F1002" s="133">
        <f t="shared" si="3"/>
        <v>0</v>
      </c>
      <c r="G1002" s="136"/>
      <c r="H1002" s="137"/>
    </row>
    <row r="1003" spans="1:8" s="134" customFormat="1" x14ac:dyDescent="0.25">
      <c r="A1003" s="130">
        <v>4</v>
      </c>
      <c r="B1003" s="135" t="s">
        <v>376</v>
      </c>
      <c r="C1003" s="130"/>
      <c r="D1003" s="130" t="s">
        <v>375</v>
      </c>
      <c r="E1003" s="132">
        <v>80</v>
      </c>
      <c r="F1003" s="133">
        <f t="shared" si="3"/>
        <v>0</v>
      </c>
      <c r="G1003" s="136"/>
      <c r="H1003" s="137"/>
    </row>
    <row r="1004" spans="1:8" s="134" customFormat="1" x14ac:dyDescent="0.25">
      <c r="A1004" s="130">
        <v>5</v>
      </c>
      <c r="B1004" s="135" t="s">
        <v>377</v>
      </c>
      <c r="C1004" s="130"/>
      <c r="D1004" s="130" t="s">
        <v>373</v>
      </c>
      <c r="E1004" s="132">
        <v>1600</v>
      </c>
      <c r="F1004" s="133">
        <f t="shared" si="3"/>
        <v>0</v>
      </c>
      <c r="G1004" s="136"/>
      <c r="H1004" s="137"/>
    </row>
    <row r="1005" spans="1:8" s="134" customFormat="1" x14ac:dyDescent="0.25">
      <c r="A1005" s="130">
        <v>6</v>
      </c>
      <c r="B1005" s="135" t="s">
        <v>378</v>
      </c>
      <c r="C1005" s="130"/>
      <c r="D1005" s="130" t="s">
        <v>373</v>
      </c>
      <c r="E1005" s="132">
        <v>1600</v>
      </c>
      <c r="F1005" s="133">
        <f t="shared" si="3"/>
        <v>0</v>
      </c>
      <c r="G1005" s="136"/>
      <c r="H1005" s="137"/>
    </row>
    <row r="1006" spans="1:8" s="134" customFormat="1" ht="36" x14ac:dyDescent="0.25">
      <c r="A1006" s="130">
        <v>7</v>
      </c>
      <c r="B1006" s="135" t="s">
        <v>379</v>
      </c>
      <c r="C1006" s="130"/>
      <c r="D1006" s="130" t="s">
        <v>371</v>
      </c>
      <c r="E1006" s="132">
        <v>13500</v>
      </c>
      <c r="F1006" s="133">
        <f t="shared" si="3"/>
        <v>0</v>
      </c>
      <c r="G1006" s="136"/>
      <c r="H1006" s="137"/>
    </row>
    <row r="1007" spans="1:8" s="134" customFormat="1" x14ac:dyDescent="0.25">
      <c r="A1007" s="130">
        <v>8</v>
      </c>
      <c r="B1007" s="135" t="s">
        <v>380</v>
      </c>
      <c r="C1007" s="130"/>
      <c r="D1007" s="130" t="s">
        <v>373</v>
      </c>
      <c r="E1007" s="132">
        <v>1600</v>
      </c>
      <c r="F1007" s="133">
        <f t="shared" si="3"/>
        <v>0</v>
      </c>
      <c r="G1007" s="136"/>
      <c r="H1007" s="137"/>
    </row>
    <row r="1008" spans="1:8" s="134" customFormat="1" x14ac:dyDescent="0.25">
      <c r="A1008" s="130">
        <v>9</v>
      </c>
      <c r="B1008" s="135" t="s">
        <v>381</v>
      </c>
      <c r="C1008" s="130"/>
      <c r="D1008" s="130" t="s">
        <v>373</v>
      </c>
      <c r="E1008" s="132">
        <v>1400</v>
      </c>
      <c r="F1008" s="133">
        <f t="shared" si="3"/>
        <v>0</v>
      </c>
      <c r="G1008" s="136"/>
      <c r="H1008" s="137"/>
    </row>
    <row r="1009" spans="1:8" s="134" customFormat="1" x14ac:dyDescent="0.25">
      <c r="A1009" s="130">
        <v>10</v>
      </c>
      <c r="B1009" s="135" t="s">
        <v>382</v>
      </c>
      <c r="C1009" s="130"/>
      <c r="D1009" s="130" t="s">
        <v>373</v>
      </c>
      <c r="E1009" s="132">
        <v>800</v>
      </c>
      <c r="F1009" s="133">
        <f t="shared" si="3"/>
        <v>0</v>
      </c>
      <c r="G1009" s="136"/>
      <c r="H1009" s="137"/>
    </row>
    <row r="1010" spans="1:8" s="134" customFormat="1" x14ac:dyDescent="0.25">
      <c r="A1010" s="130">
        <v>11</v>
      </c>
      <c r="B1010" s="135" t="s">
        <v>383</v>
      </c>
      <c r="C1010" s="130"/>
      <c r="D1010" s="130" t="s">
        <v>375</v>
      </c>
      <c r="E1010" s="132">
        <v>160</v>
      </c>
      <c r="F1010" s="133">
        <f t="shared" si="3"/>
        <v>0</v>
      </c>
      <c r="G1010" s="136"/>
      <c r="H1010" s="137"/>
    </row>
    <row r="1011" spans="1:8" s="134" customFormat="1" ht="24" x14ac:dyDescent="0.25">
      <c r="A1011" s="130">
        <v>12</v>
      </c>
      <c r="B1011" s="135" t="s">
        <v>384</v>
      </c>
      <c r="C1011" s="130"/>
      <c r="D1011" s="130" t="s">
        <v>375</v>
      </c>
      <c r="E1011" s="132">
        <v>150</v>
      </c>
      <c r="F1011" s="133">
        <f t="shared" si="3"/>
        <v>0</v>
      </c>
      <c r="G1011" s="136"/>
      <c r="H1011" s="137"/>
    </row>
    <row r="1012" spans="1:8" s="134" customFormat="1" ht="24" x14ac:dyDescent="0.25">
      <c r="A1012" s="130">
        <v>13</v>
      </c>
      <c r="B1012" s="135" t="s">
        <v>385</v>
      </c>
      <c r="C1012" s="130"/>
      <c r="D1012" s="130" t="s">
        <v>375</v>
      </c>
      <c r="E1012" s="132">
        <v>2200</v>
      </c>
      <c r="F1012" s="133">
        <f t="shared" si="3"/>
        <v>0</v>
      </c>
      <c r="G1012" s="136"/>
      <c r="H1012" s="137"/>
    </row>
    <row r="1013" spans="1:8" s="134" customFormat="1" ht="24" x14ac:dyDescent="0.25">
      <c r="A1013" s="130">
        <v>14</v>
      </c>
      <c r="B1013" s="135" t="s">
        <v>386</v>
      </c>
      <c r="C1013" s="130"/>
      <c r="D1013" s="130" t="s">
        <v>375</v>
      </c>
      <c r="E1013" s="132">
        <v>2000</v>
      </c>
      <c r="F1013" s="133">
        <f t="shared" si="3"/>
        <v>0</v>
      </c>
      <c r="G1013" s="136"/>
      <c r="H1013" s="137"/>
    </row>
    <row r="1014" spans="1:8" s="134" customFormat="1" ht="24" x14ac:dyDescent="0.25">
      <c r="A1014" s="130">
        <v>15</v>
      </c>
      <c r="B1014" s="135" t="s">
        <v>387</v>
      </c>
      <c r="C1014" s="130"/>
      <c r="D1014" s="130" t="s">
        <v>375</v>
      </c>
      <c r="E1014" s="132">
        <v>3000</v>
      </c>
      <c r="F1014" s="133">
        <f t="shared" si="3"/>
        <v>0</v>
      </c>
      <c r="G1014" s="136"/>
      <c r="H1014" s="137"/>
    </row>
    <row r="1015" spans="1:8" s="134" customFormat="1" ht="24" x14ac:dyDescent="0.25">
      <c r="A1015" s="130">
        <v>16</v>
      </c>
      <c r="B1015" s="135" t="s">
        <v>388</v>
      </c>
      <c r="C1015" s="130"/>
      <c r="D1015" s="130" t="s">
        <v>375</v>
      </c>
      <c r="E1015" s="132">
        <v>3000</v>
      </c>
      <c r="F1015" s="133">
        <f t="shared" si="3"/>
        <v>0</v>
      </c>
      <c r="G1015" s="136"/>
      <c r="H1015" s="137"/>
    </row>
    <row r="1016" spans="1:8" s="134" customFormat="1" ht="24" x14ac:dyDescent="0.25">
      <c r="A1016" s="130">
        <v>17</v>
      </c>
      <c r="B1016" s="135" t="s">
        <v>389</v>
      </c>
      <c r="C1016" s="130"/>
      <c r="D1016" s="130" t="s">
        <v>390</v>
      </c>
      <c r="E1016" s="132">
        <v>1700</v>
      </c>
      <c r="F1016" s="133">
        <f t="shared" si="3"/>
        <v>0</v>
      </c>
      <c r="G1016" s="136"/>
      <c r="H1016" s="137"/>
    </row>
    <row r="1017" spans="1:8" s="134" customFormat="1" ht="27.75" customHeight="1" x14ac:dyDescent="0.25">
      <c r="A1017" s="130">
        <v>18</v>
      </c>
      <c r="B1017" s="135" t="s">
        <v>391</v>
      </c>
      <c r="C1017" s="130"/>
      <c r="D1017" s="130" t="s">
        <v>392</v>
      </c>
      <c r="E1017" s="132">
        <v>12000</v>
      </c>
      <c r="F1017" s="133">
        <f t="shared" si="3"/>
        <v>0</v>
      </c>
      <c r="G1017" s="136"/>
      <c r="H1017" s="137"/>
    </row>
    <row r="1018" spans="1:8" s="134" customFormat="1" x14ac:dyDescent="0.25">
      <c r="A1018" s="130">
        <v>19</v>
      </c>
      <c r="B1018" s="135" t="s">
        <v>393</v>
      </c>
      <c r="C1018" s="130"/>
      <c r="D1018" s="130" t="s">
        <v>373</v>
      </c>
      <c r="E1018" s="132">
        <v>1500</v>
      </c>
      <c r="F1018" s="133">
        <f t="shared" si="3"/>
        <v>0</v>
      </c>
      <c r="G1018" s="136"/>
      <c r="H1018" s="137"/>
    </row>
    <row r="1019" spans="1:8" s="134" customFormat="1" x14ac:dyDescent="0.25">
      <c r="A1019" s="130">
        <v>20</v>
      </c>
      <c r="B1019" s="135" t="s">
        <v>394</v>
      </c>
      <c r="C1019" s="130"/>
      <c r="D1019" s="130" t="s">
        <v>373</v>
      </c>
      <c r="E1019" s="132">
        <v>1500</v>
      </c>
      <c r="F1019" s="133">
        <f t="shared" si="3"/>
        <v>0</v>
      </c>
      <c r="G1019" s="136"/>
      <c r="H1019" s="137"/>
    </row>
    <row r="1020" spans="1:8" s="134" customFormat="1" ht="24" x14ac:dyDescent="0.25">
      <c r="A1020" s="130">
        <v>21</v>
      </c>
      <c r="B1020" s="135" t="s">
        <v>395</v>
      </c>
      <c r="C1020" s="130"/>
      <c r="D1020" s="130" t="s">
        <v>396</v>
      </c>
      <c r="E1020" s="132">
        <v>3500</v>
      </c>
      <c r="F1020" s="133">
        <f t="shared" si="3"/>
        <v>0</v>
      </c>
      <c r="G1020" s="136"/>
      <c r="H1020" s="137"/>
    </row>
    <row r="1021" spans="1:8" s="134" customFormat="1" ht="24" x14ac:dyDescent="0.25">
      <c r="A1021" s="130">
        <v>22</v>
      </c>
      <c r="B1021" s="135" t="s">
        <v>397</v>
      </c>
      <c r="C1021" s="130"/>
      <c r="D1021" s="130" t="s">
        <v>396</v>
      </c>
      <c r="E1021" s="132">
        <v>1100</v>
      </c>
      <c r="F1021" s="133">
        <f t="shared" si="3"/>
        <v>0</v>
      </c>
      <c r="G1021" s="136"/>
      <c r="H1021" s="137"/>
    </row>
    <row r="1022" spans="1:8" s="134" customFormat="1" x14ac:dyDescent="0.25">
      <c r="A1022" s="130">
        <v>23</v>
      </c>
      <c r="B1022" s="135" t="s">
        <v>398</v>
      </c>
      <c r="C1022" s="130"/>
      <c r="D1022" s="130" t="s">
        <v>399</v>
      </c>
      <c r="E1022" s="132">
        <v>3500</v>
      </c>
      <c r="F1022" s="133">
        <f t="shared" si="3"/>
        <v>0</v>
      </c>
      <c r="G1022" s="136"/>
      <c r="H1022" s="137"/>
    </row>
    <row r="1023" spans="1:8" s="134" customFormat="1" x14ac:dyDescent="0.25">
      <c r="A1023" s="130">
        <v>24</v>
      </c>
      <c r="B1023" s="135" t="s">
        <v>400</v>
      </c>
      <c r="C1023" s="130"/>
      <c r="D1023" s="130" t="s">
        <v>401</v>
      </c>
      <c r="E1023" s="132"/>
      <c r="F1023" s="133"/>
      <c r="G1023" s="136"/>
      <c r="H1023" s="137"/>
    </row>
    <row r="1024" spans="1:8" s="30" customFormat="1" x14ac:dyDescent="0.25">
      <c r="A1024" s="26"/>
      <c r="B1024" s="32" t="s">
        <v>158</v>
      </c>
      <c r="C1024" s="26"/>
      <c r="D1024" s="33"/>
      <c r="E1024" s="34" t="s">
        <v>15</v>
      </c>
      <c r="F1024" s="29">
        <f>SUM(F999:F1023)</f>
        <v>0</v>
      </c>
    </row>
    <row r="1025" spans="1:8" s="134" customFormat="1" x14ac:dyDescent="0.25">
      <c r="A1025" s="130"/>
      <c r="B1025" s="131"/>
      <c r="C1025" s="130"/>
      <c r="D1025" s="130"/>
      <c r="E1025" s="132"/>
      <c r="F1025" s="133"/>
    </row>
    <row r="1026" spans="1:8" s="134" customFormat="1" x14ac:dyDescent="0.25">
      <c r="A1026" s="130"/>
      <c r="B1026" s="138" t="s">
        <v>402</v>
      </c>
      <c r="C1026" s="130"/>
      <c r="D1026" s="130"/>
      <c r="E1026" s="139"/>
      <c r="F1026" s="140"/>
    </row>
    <row r="1027" spans="1:8" s="134" customFormat="1" ht="12" customHeight="1" x14ac:dyDescent="0.25">
      <c r="A1027" s="130"/>
      <c r="B1027" s="138" t="s">
        <v>403</v>
      </c>
      <c r="C1027" s="130"/>
      <c r="D1027" s="130"/>
      <c r="E1027" s="139"/>
      <c r="F1027" s="140"/>
    </row>
    <row r="1028" spans="1:8" s="134" customFormat="1" ht="12" customHeight="1" x14ac:dyDescent="0.25">
      <c r="A1028" s="130"/>
      <c r="B1028" s="135"/>
      <c r="C1028" s="130"/>
      <c r="D1028" s="130"/>
      <c r="E1028" s="139"/>
      <c r="F1028" s="140"/>
    </row>
    <row r="1029" spans="1:8" s="134" customFormat="1" x14ac:dyDescent="0.25">
      <c r="A1029" s="130">
        <v>1</v>
      </c>
      <c r="B1029" s="135" t="s">
        <v>404</v>
      </c>
      <c r="C1029" s="130"/>
      <c r="D1029" s="130" t="s">
        <v>392</v>
      </c>
      <c r="E1029" s="132">
        <v>5100</v>
      </c>
      <c r="F1029" s="133">
        <f t="shared" ref="F1029:F1042" si="4">C1029*E1029</f>
        <v>0</v>
      </c>
      <c r="G1029" s="136"/>
      <c r="H1029" s="137"/>
    </row>
    <row r="1030" spans="1:8" s="134" customFormat="1" x14ac:dyDescent="0.25">
      <c r="A1030" s="130">
        <v>2</v>
      </c>
      <c r="B1030" s="135" t="s">
        <v>405</v>
      </c>
      <c r="C1030" s="130"/>
      <c r="D1030" s="130" t="s">
        <v>392</v>
      </c>
      <c r="E1030" s="132">
        <v>5100</v>
      </c>
      <c r="F1030" s="133">
        <f t="shared" si="4"/>
        <v>0</v>
      </c>
      <c r="G1030" s="136"/>
      <c r="H1030" s="137"/>
    </row>
    <row r="1031" spans="1:8" s="134" customFormat="1" x14ac:dyDescent="0.25">
      <c r="A1031" s="130">
        <v>3</v>
      </c>
      <c r="B1031" s="135" t="s">
        <v>406</v>
      </c>
      <c r="C1031" s="130"/>
      <c r="D1031" s="130" t="s">
        <v>392</v>
      </c>
      <c r="E1031" s="132">
        <v>5100</v>
      </c>
      <c r="F1031" s="133">
        <f t="shared" si="4"/>
        <v>0</v>
      </c>
      <c r="G1031" s="136"/>
      <c r="H1031" s="137"/>
    </row>
    <row r="1032" spans="1:8" s="134" customFormat="1" x14ac:dyDescent="0.25">
      <c r="A1032" s="130">
        <v>4</v>
      </c>
      <c r="B1032" s="135" t="s">
        <v>407</v>
      </c>
      <c r="C1032" s="130"/>
      <c r="D1032" s="130" t="s">
        <v>392</v>
      </c>
      <c r="E1032" s="132">
        <v>14000</v>
      </c>
      <c r="F1032" s="133">
        <f t="shared" si="4"/>
        <v>0</v>
      </c>
      <c r="G1032" s="136"/>
      <c r="H1032" s="137"/>
    </row>
    <row r="1033" spans="1:8" s="134" customFormat="1" x14ac:dyDescent="0.25">
      <c r="A1033" s="130">
        <v>5</v>
      </c>
      <c r="B1033" s="135" t="s">
        <v>408</v>
      </c>
      <c r="C1033" s="130"/>
      <c r="D1033" s="130" t="s">
        <v>392</v>
      </c>
      <c r="E1033" s="132">
        <v>14000</v>
      </c>
      <c r="F1033" s="133">
        <f t="shared" si="4"/>
        <v>0</v>
      </c>
      <c r="G1033" s="136"/>
      <c r="H1033" s="137"/>
    </row>
    <row r="1034" spans="1:8" s="134" customFormat="1" x14ac:dyDescent="0.25">
      <c r="A1034" s="130">
        <v>6</v>
      </c>
      <c r="B1034" s="135" t="s">
        <v>409</v>
      </c>
      <c r="C1034" s="130"/>
      <c r="D1034" s="130" t="s">
        <v>392</v>
      </c>
      <c r="E1034" s="132">
        <v>14000</v>
      </c>
      <c r="F1034" s="133">
        <f t="shared" si="4"/>
        <v>0</v>
      </c>
      <c r="G1034" s="136"/>
      <c r="H1034" s="137"/>
    </row>
    <row r="1035" spans="1:8" s="134" customFormat="1" x14ac:dyDescent="0.25">
      <c r="A1035" s="130">
        <v>7</v>
      </c>
      <c r="B1035" s="135" t="s">
        <v>410</v>
      </c>
      <c r="C1035" s="130"/>
      <c r="D1035" s="130" t="s">
        <v>392</v>
      </c>
      <c r="E1035" s="132">
        <v>19200</v>
      </c>
      <c r="F1035" s="133">
        <f t="shared" si="4"/>
        <v>0</v>
      </c>
      <c r="G1035" s="136"/>
      <c r="H1035" s="137"/>
    </row>
    <row r="1036" spans="1:8" s="134" customFormat="1" x14ac:dyDescent="0.25">
      <c r="A1036" s="130">
        <v>8</v>
      </c>
      <c r="B1036" s="135" t="s">
        <v>411</v>
      </c>
      <c r="C1036" s="130"/>
      <c r="D1036" s="130" t="s">
        <v>392</v>
      </c>
      <c r="E1036" s="132">
        <v>19200</v>
      </c>
      <c r="F1036" s="133">
        <f t="shared" si="4"/>
        <v>0</v>
      </c>
      <c r="G1036" s="136"/>
      <c r="H1036" s="137"/>
    </row>
    <row r="1037" spans="1:8" s="134" customFormat="1" x14ac:dyDescent="0.25">
      <c r="A1037" s="130">
        <v>9</v>
      </c>
      <c r="B1037" s="135" t="s">
        <v>412</v>
      </c>
      <c r="C1037" s="130"/>
      <c r="D1037" s="130" t="s">
        <v>392</v>
      </c>
      <c r="E1037" s="132">
        <v>52000</v>
      </c>
      <c r="F1037" s="133">
        <f t="shared" si="4"/>
        <v>0</v>
      </c>
      <c r="G1037" s="136"/>
      <c r="H1037" s="137"/>
    </row>
    <row r="1038" spans="1:8" s="134" customFormat="1" x14ac:dyDescent="0.25">
      <c r="A1038" s="130">
        <v>10</v>
      </c>
      <c r="B1038" s="135" t="s">
        <v>413</v>
      </c>
      <c r="C1038" s="130"/>
      <c r="D1038" s="130" t="s">
        <v>392</v>
      </c>
      <c r="E1038" s="132">
        <v>52000</v>
      </c>
      <c r="F1038" s="133">
        <f t="shared" si="4"/>
        <v>0</v>
      </c>
      <c r="G1038" s="136"/>
      <c r="H1038" s="137"/>
    </row>
    <row r="1039" spans="1:8" s="134" customFormat="1" x14ac:dyDescent="0.25">
      <c r="A1039" s="130">
        <v>11</v>
      </c>
      <c r="B1039" s="135" t="s">
        <v>414</v>
      </c>
      <c r="C1039" s="130"/>
      <c r="D1039" s="130" t="s">
        <v>392</v>
      </c>
      <c r="E1039" s="132">
        <v>52000</v>
      </c>
      <c r="F1039" s="133">
        <f t="shared" si="4"/>
        <v>0</v>
      </c>
      <c r="G1039" s="136"/>
      <c r="H1039" s="137"/>
    </row>
    <row r="1040" spans="1:8" s="134" customFormat="1" x14ac:dyDescent="0.25">
      <c r="A1040" s="130">
        <v>12</v>
      </c>
      <c r="B1040" s="135" t="s">
        <v>415</v>
      </c>
      <c r="C1040" s="130"/>
      <c r="D1040" s="130" t="s">
        <v>392</v>
      </c>
      <c r="E1040" s="132">
        <v>52000</v>
      </c>
      <c r="F1040" s="133">
        <f t="shared" si="4"/>
        <v>0</v>
      </c>
      <c r="G1040" s="136"/>
      <c r="H1040" s="137"/>
    </row>
    <row r="1041" spans="1:8" s="134" customFormat="1" ht="36" x14ac:dyDescent="0.25">
      <c r="A1041" s="130">
        <v>13</v>
      </c>
      <c r="B1041" s="135" t="s">
        <v>416</v>
      </c>
      <c r="C1041" s="130"/>
      <c r="D1041" s="130" t="s">
        <v>417</v>
      </c>
      <c r="E1041" s="132">
        <v>34000</v>
      </c>
      <c r="F1041" s="133">
        <f t="shared" si="4"/>
        <v>0</v>
      </c>
      <c r="G1041" s="136"/>
      <c r="H1041" s="137"/>
    </row>
    <row r="1042" spans="1:8" s="134" customFormat="1" ht="36" x14ac:dyDescent="0.25">
      <c r="A1042" s="130">
        <v>14</v>
      </c>
      <c r="B1042" s="135" t="s">
        <v>391</v>
      </c>
      <c r="C1042" s="130"/>
      <c r="D1042" s="130" t="s">
        <v>392</v>
      </c>
      <c r="E1042" s="132">
        <v>12000</v>
      </c>
      <c r="F1042" s="133">
        <f t="shared" si="4"/>
        <v>0</v>
      </c>
      <c r="G1042" s="136"/>
      <c r="H1042" s="137"/>
    </row>
    <row r="1043" spans="1:8" s="134" customFormat="1" x14ac:dyDescent="0.25">
      <c r="A1043" s="130">
        <v>15</v>
      </c>
      <c r="B1043" s="135" t="s">
        <v>400</v>
      </c>
      <c r="C1043" s="130"/>
      <c r="D1043" s="130" t="s">
        <v>401</v>
      </c>
      <c r="E1043" s="132"/>
      <c r="F1043" s="133"/>
      <c r="G1043" s="136"/>
      <c r="H1043" s="137"/>
    </row>
    <row r="1044" spans="1:8" s="30" customFormat="1" x14ac:dyDescent="0.25">
      <c r="A1044" s="26"/>
      <c r="B1044" s="32" t="s">
        <v>158</v>
      </c>
      <c r="C1044" s="26"/>
      <c r="D1044" s="33"/>
      <c r="E1044" s="34" t="s">
        <v>15</v>
      </c>
      <c r="F1044" s="29">
        <f>SUM(F1028:F1043)</f>
        <v>0</v>
      </c>
    </row>
    <row r="1045" spans="1:8" s="134" customFormat="1" ht="12" customHeight="1" x14ac:dyDescent="0.25">
      <c r="A1045" s="130"/>
      <c r="B1045" s="135"/>
      <c r="C1045" s="130"/>
      <c r="D1045" s="130"/>
      <c r="E1045" s="132"/>
      <c r="F1045" s="133"/>
    </row>
    <row r="1046" spans="1:8" s="134" customFormat="1" ht="12" customHeight="1" x14ac:dyDescent="0.25">
      <c r="A1046" s="130"/>
      <c r="B1046" s="135"/>
      <c r="C1046" s="130"/>
      <c r="D1046" s="130"/>
      <c r="E1046" s="132"/>
      <c r="F1046" s="133"/>
    </row>
    <row r="1047" spans="1:8" s="134" customFormat="1" ht="24" x14ac:dyDescent="0.25">
      <c r="A1047" s="130"/>
      <c r="B1047" s="141" t="s">
        <v>418</v>
      </c>
      <c r="C1047" s="130"/>
      <c r="D1047" s="130"/>
      <c r="E1047" s="142"/>
      <c r="F1047" s="143"/>
    </row>
    <row r="1048" spans="1:8" s="134" customFormat="1" ht="24" x14ac:dyDescent="0.25">
      <c r="A1048" s="130">
        <v>1</v>
      </c>
      <c r="B1048" s="135" t="s">
        <v>419</v>
      </c>
      <c r="C1048" s="130"/>
      <c r="D1048" s="130" t="s">
        <v>375</v>
      </c>
      <c r="E1048" s="132">
        <v>650</v>
      </c>
      <c r="F1048" s="133">
        <f t="shared" ref="F1048:F1077" si="5">C1048*E1048</f>
        <v>0</v>
      </c>
      <c r="G1048" s="136"/>
      <c r="H1048" s="137"/>
    </row>
    <row r="1049" spans="1:8" s="134" customFormat="1" ht="24" x14ac:dyDescent="0.25">
      <c r="A1049" s="130">
        <v>2</v>
      </c>
      <c r="B1049" s="135" t="s">
        <v>420</v>
      </c>
      <c r="C1049" s="130"/>
      <c r="D1049" s="130" t="s">
        <v>375</v>
      </c>
      <c r="E1049" s="132">
        <v>850</v>
      </c>
      <c r="F1049" s="133">
        <f t="shared" si="5"/>
        <v>0</v>
      </c>
      <c r="G1049" s="136"/>
      <c r="H1049" s="137"/>
    </row>
    <row r="1050" spans="1:8" s="134" customFormat="1" ht="24" x14ac:dyDescent="0.25">
      <c r="A1050" s="130">
        <v>3</v>
      </c>
      <c r="B1050" s="135" t="s">
        <v>421</v>
      </c>
      <c r="C1050" s="130"/>
      <c r="D1050" s="130" t="s">
        <v>375</v>
      </c>
      <c r="E1050" s="132">
        <v>950</v>
      </c>
      <c r="F1050" s="133">
        <f t="shared" si="5"/>
        <v>0</v>
      </c>
      <c r="G1050" s="136"/>
      <c r="H1050" s="137"/>
    </row>
    <row r="1051" spans="1:8" s="134" customFormat="1" ht="36" x14ac:dyDescent="0.25">
      <c r="A1051" s="130">
        <v>4</v>
      </c>
      <c r="B1051" s="135" t="s">
        <v>422</v>
      </c>
      <c r="C1051" s="130"/>
      <c r="D1051" s="130" t="s">
        <v>375</v>
      </c>
      <c r="E1051" s="132">
        <v>1400</v>
      </c>
      <c r="F1051" s="133">
        <f t="shared" si="5"/>
        <v>0</v>
      </c>
      <c r="G1051" s="136"/>
      <c r="H1051" s="137"/>
    </row>
    <row r="1052" spans="1:8" s="134" customFormat="1" ht="30.75" customHeight="1" x14ac:dyDescent="0.25">
      <c r="A1052" s="130">
        <v>5</v>
      </c>
      <c r="B1052" s="135" t="s">
        <v>423</v>
      </c>
      <c r="C1052" s="130"/>
      <c r="D1052" s="130" t="s">
        <v>375</v>
      </c>
      <c r="E1052" s="132">
        <v>1400</v>
      </c>
      <c r="F1052" s="133">
        <f t="shared" si="5"/>
        <v>0</v>
      </c>
      <c r="G1052" s="136"/>
      <c r="H1052" s="137"/>
    </row>
    <row r="1053" spans="1:8" s="134" customFormat="1" ht="36" x14ac:dyDescent="0.25">
      <c r="A1053" s="130">
        <v>6</v>
      </c>
      <c r="B1053" s="135" t="s">
        <v>424</v>
      </c>
      <c r="C1053" s="130"/>
      <c r="D1053" s="130" t="s">
        <v>375</v>
      </c>
      <c r="E1053" s="132">
        <v>4500</v>
      </c>
      <c r="F1053" s="133">
        <f t="shared" si="5"/>
        <v>0</v>
      </c>
      <c r="G1053" s="136"/>
      <c r="H1053" s="137"/>
    </row>
    <row r="1054" spans="1:8" s="134" customFormat="1" ht="24" x14ac:dyDescent="0.25">
      <c r="A1054" s="130">
        <v>7</v>
      </c>
      <c r="B1054" s="135" t="s">
        <v>425</v>
      </c>
      <c r="C1054" s="130"/>
      <c r="D1054" s="130" t="s">
        <v>375</v>
      </c>
      <c r="E1054" s="132">
        <v>950</v>
      </c>
      <c r="F1054" s="133">
        <f t="shared" si="5"/>
        <v>0</v>
      </c>
      <c r="G1054" s="136"/>
      <c r="H1054" s="137"/>
    </row>
    <row r="1055" spans="1:8" s="134" customFormat="1" ht="24" x14ac:dyDescent="0.25">
      <c r="A1055" s="130">
        <v>8</v>
      </c>
      <c r="B1055" s="135" t="s">
        <v>426</v>
      </c>
      <c r="C1055" s="130"/>
      <c r="D1055" s="130" t="s">
        <v>375</v>
      </c>
      <c r="E1055" s="132">
        <v>1100</v>
      </c>
      <c r="F1055" s="133">
        <f t="shared" si="5"/>
        <v>0</v>
      </c>
      <c r="G1055" s="136"/>
      <c r="H1055" s="137"/>
    </row>
    <row r="1056" spans="1:8" s="134" customFormat="1" ht="24" x14ac:dyDescent="0.25">
      <c r="A1056" s="130">
        <v>9</v>
      </c>
      <c r="B1056" s="135" t="s">
        <v>427</v>
      </c>
      <c r="C1056" s="130"/>
      <c r="D1056" s="130" t="s">
        <v>375</v>
      </c>
      <c r="E1056" s="132">
        <v>1400</v>
      </c>
      <c r="F1056" s="133">
        <f t="shared" si="5"/>
        <v>0</v>
      </c>
      <c r="G1056" s="136"/>
      <c r="H1056" s="137"/>
    </row>
    <row r="1057" spans="1:8" s="134" customFormat="1" ht="24" x14ac:dyDescent="0.25">
      <c r="A1057" s="130">
        <v>10</v>
      </c>
      <c r="B1057" s="135" t="s">
        <v>428</v>
      </c>
      <c r="C1057" s="130"/>
      <c r="D1057" s="130" t="s">
        <v>375</v>
      </c>
      <c r="E1057" s="132">
        <v>4500</v>
      </c>
      <c r="F1057" s="133">
        <f t="shared" si="5"/>
        <v>0</v>
      </c>
      <c r="G1057" s="136"/>
      <c r="H1057" s="137"/>
    </row>
    <row r="1058" spans="1:8" s="134" customFormat="1" ht="16.5" customHeight="1" x14ac:dyDescent="0.25">
      <c r="A1058" s="130">
        <v>11</v>
      </c>
      <c r="B1058" s="135" t="s">
        <v>429</v>
      </c>
      <c r="C1058" s="130"/>
      <c r="D1058" s="130" t="s">
        <v>375</v>
      </c>
      <c r="E1058" s="132">
        <v>800</v>
      </c>
      <c r="F1058" s="133">
        <f t="shared" si="5"/>
        <v>0</v>
      </c>
      <c r="G1058" s="136"/>
      <c r="H1058" s="137"/>
    </row>
    <row r="1059" spans="1:8" s="134" customFormat="1" ht="24" x14ac:dyDescent="0.25">
      <c r="A1059" s="130">
        <v>12</v>
      </c>
      <c r="B1059" s="135" t="s">
        <v>430</v>
      </c>
      <c r="C1059" s="130"/>
      <c r="D1059" s="130" t="s">
        <v>375</v>
      </c>
      <c r="E1059" s="132">
        <v>800</v>
      </c>
      <c r="F1059" s="133">
        <f t="shared" si="5"/>
        <v>0</v>
      </c>
      <c r="G1059" s="136"/>
      <c r="H1059" s="137"/>
    </row>
    <row r="1060" spans="1:8" s="134" customFormat="1" ht="36" x14ac:dyDescent="0.25">
      <c r="A1060" s="130">
        <v>13</v>
      </c>
      <c r="B1060" s="135" t="s">
        <v>431</v>
      </c>
      <c r="C1060" s="130"/>
      <c r="D1060" s="130" t="s">
        <v>375</v>
      </c>
      <c r="E1060" s="132">
        <v>5500</v>
      </c>
      <c r="F1060" s="133">
        <f t="shared" si="5"/>
        <v>0</v>
      </c>
      <c r="G1060" s="136"/>
      <c r="H1060" s="137"/>
    </row>
    <row r="1061" spans="1:8" s="134" customFormat="1" ht="36" x14ac:dyDescent="0.25">
      <c r="A1061" s="130">
        <v>14</v>
      </c>
      <c r="B1061" s="135" t="s">
        <v>432</v>
      </c>
      <c r="C1061" s="130"/>
      <c r="D1061" s="130" t="s">
        <v>375</v>
      </c>
      <c r="E1061" s="132">
        <v>2500</v>
      </c>
      <c r="F1061" s="133">
        <f t="shared" si="5"/>
        <v>0</v>
      </c>
      <c r="G1061" s="136"/>
      <c r="H1061" s="137"/>
    </row>
    <row r="1062" spans="1:8" s="134" customFormat="1" ht="36" x14ac:dyDescent="0.25">
      <c r="A1062" s="130">
        <v>15</v>
      </c>
      <c r="B1062" s="135" t="s">
        <v>433</v>
      </c>
      <c r="C1062" s="130"/>
      <c r="D1062" s="130" t="s">
        <v>375</v>
      </c>
      <c r="E1062" s="132">
        <v>2500</v>
      </c>
      <c r="F1062" s="133">
        <f t="shared" si="5"/>
        <v>0</v>
      </c>
      <c r="G1062" s="136"/>
      <c r="H1062" s="137"/>
    </row>
    <row r="1063" spans="1:8" s="134" customFormat="1" ht="36" x14ac:dyDescent="0.25">
      <c r="A1063" s="130">
        <v>16</v>
      </c>
      <c r="B1063" s="135" t="s">
        <v>434</v>
      </c>
      <c r="C1063" s="130"/>
      <c r="D1063" s="130" t="s">
        <v>375</v>
      </c>
      <c r="E1063" s="132">
        <v>3500</v>
      </c>
      <c r="F1063" s="133">
        <f t="shared" si="5"/>
        <v>0</v>
      </c>
      <c r="G1063" s="136"/>
      <c r="H1063" s="137"/>
    </row>
    <row r="1064" spans="1:8" s="134" customFormat="1" ht="36" x14ac:dyDescent="0.25">
      <c r="A1064" s="130">
        <v>17</v>
      </c>
      <c r="B1064" s="135" t="s">
        <v>435</v>
      </c>
      <c r="C1064" s="130"/>
      <c r="D1064" s="130" t="s">
        <v>375</v>
      </c>
      <c r="E1064" s="132">
        <v>3500</v>
      </c>
      <c r="F1064" s="133">
        <f t="shared" si="5"/>
        <v>0</v>
      </c>
      <c r="G1064" s="136"/>
      <c r="H1064" s="137"/>
    </row>
    <row r="1065" spans="1:8" s="134" customFormat="1" ht="36" x14ac:dyDescent="0.25">
      <c r="A1065" s="130">
        <v>18</v>
      </c>
      <c r="B1065" s="135" t="s">
        <v>436</v>
      </c>
      <c r="C1065" s="130"/>
      <c r="D1065" s="130" t="s">
        <v>375</v>
      </c>
      <c r="E1065" s="132">
        <v>3500</v>
      </c>
      <c r="F1065" s="133">
        <f t="shared" si="5"/>
        <v>0</v>
      </c>
      <c r="G1065" s="136"/>
      <c r="H1065" s="137"/>
    </row>
    <row r="1066" spans="1:8" s="134" customFormat="1" ht="32.25" customHeight="1" x14ac:dyDescent="0.25">
      <c r="A1066" s="130">
        <v>19</v>
      </c>
      <c r="B1066" s="135" t="s">
        <v>437</v>
      </c>
      <c r="C1066" s="130"/>
      <c r="D1066" s="130" t="s">
        <v>375</v>
      </c>
      <c r="E1066" s="132">
        <v>2500</v>
      </c>
      <c r="F1066" s="133">
        <f t="shared" si="5"/>
        <v>0</v>
      </c>
      <c r="G1066" s="136"/>
      <c r="H1066" s="137"/>
    </row>
    <row r="1067" spans="1:8" s="134" customFormat="1" x14ac:dyDescent="0.25">
      <c r="A1067" s="130">
        <v>20</v>
      </c>
      <c r="B1067" s="135" t="s">
        <v>438</v>
      </c>
      <c r="C1067" s="130"/>
      <c r="D1067" s="130" t="s">
        <v>375</v>
      </c>
      <c r="E1067" s="132">
        <v>250</v>
      </c>
      <c r="F1067" s="133">
        <f t="shared" si="5"/>
        <v>0</v>
      </c>
      <c r="G1067" s="136"/>
      <c r="H1067" s="137"/>
    </row>
    <row r="1068" spans="1:8" s="134" customFormat="1" x14ac:dyDescent="0.25">
      <c r="A1068" s="130">
        <v>21</v>
      </c>
      <c r="B1068" s="135" t="s">
        <v>439</v>
      </c>
      <c r="C1068" s="130"/>
      <c r="D1068" s="130" t="s">
        <v>373</v>
      </c>
      <c r="E1068" s="132">
        <v>700</v>
      </c>
      <c r="F1068" s="133">
        <f t="shared" si="5"/>
        <v>0</v>
      </c>
      <c r="G1068" s="136"/>
      <c r="H1068" s="137"/>
    </row>
    <row r="1069" spans="1:8" s="134" customFormat="1" x14ac:dyDescent="0.25">
      <c r="A1069" s="130">
        <v>22</v>
      </c>
      <c r="B1069" s="135" t="s">
        <v>440</v>
      </c>
      <c r="C1069" s="130"/>
      <c r="D1069" s="130" t="s">
        <v>373</v>
      </c>
      <c r="E1069" s="132">
        <v>4000</v>
      </c>
      <c r="F1069" s="133">
        <f t="shared" si="5"/>
        <v>0</v>
      </c>
      <c r="G1069" s="136"/>
      <c r="H1069" s="137"/>
    </row>
    <row r="1070" spans="1:8" s="134" customFormat="1" x14ac:dyDescent="0.25">
      <c r="A1070" s="130">
        <v>23</v>
      </c>
      <c r="B1070" s="135" t="s">
        <v>441</v>
      </c>
      <c r="C1070" s="130"/>
      <c r="D1070" s="130" t="s">
        <v>375</v>
      </c>
      <c r="E1070" s="132">
        <v>120</v>
      </c>
      <c r="F1070" s="133">
        <f t="shared" si="5"/>
        <v>0</v>
      </c>
      <c r="G1070" s="136"/>
      <c r="H1070" s="137"/>
    </row>
    <row r="1071" spans="1:8" s="134" customFormat="1" x14ac:dyDescent="0.25">
      <c r="A1071" s="130">
        <v>24</v>
      </c>
      <c r="B1071" s="135" t="s">
        <v>442</v>
      </c>
      <c r="C1071" s="130"/>
      <c r="D1071" s="130" t="s">
        <v>375</v>
      </c>
      <c r="E1071" s="132">
        <v>160</v>
      </c>
      <c r="F1071" s="133">
        <f t="shared" si="5"/>
        <v>0</v>
      </c>
      <c r="G1071" s="136"/>
      <c r="H1071" s="137"/>
    </row>
    <row r="1072" spans="1:8" s="134" customFormat="1" x14ac:dyDescent="0.25">
      <c r="A1072" s="130">
        <v>25</v>
      </c>
      <c r="B1072" s="135" t="s">
        <v>443</v>
      </c>
      <c r="C1072" s="130"/>
      <c r="D1072" s="130" t="s">
        <v>375</v>
      </c>
      <c r="E1072" s="132">
        <v>80</v>
      </c>
      <c r="F1072" s="133">
        <f t="shared" si="5"/>
        <v>0</v>
      </c>
      <c r="G1072" s="136"/>
      <c r="H1072" s="137"/>
    </row>
    <row r="1073" spans="1:8" s="134" customFormat="1" ht="24" x14ac:dyDescent="0.25">
      <c r="A1073" s="130">
        <v>26</v>
      </c>
      <c r="B1073" s="135" t="s">
        <v>444</v>
      </c>
      <c r="C1073" s="130"/>
      <c r="D1073" s="130" t="s">
        <v>417</v>
      </c>
      <c r="E1073" s="132">
        <v>150</v>
      </c>
      <c r="F1073" s="133">
        <f t="shared" si="5"/>
        <v>0</v>
      </c>
      <c r="G1073" s="136"/>
      <c r="H1073" s="137"/>
    </row>
    <row r="1074" spans="1:8" s="134" customFormat="1" x14ac:dyDescent="0.25">
      <c r="A1074" s="130">
        <v>27</v>
      </c>
      <c r="B1074" s="135" t="s">
        <v>445</v>
      </c>
      <c r="C1074" s="130"/>
      <c r="D1074" s="130" t="s">
        <v>396</v>
      </c>
      <c r="E1074" s="132">
        <v>400</v>
      </c>
      <c r="F1074" s="133">
        <f t="shared" si="5"/>
        <v>0</v>
      </c>
      <c r="G1074" s="136"/>
      <c r="H1074" s="137"/>
    </row>
    <row r="1075" spans="1:8" s="134" customFormat="1" x14ac:dyDescent="0.25">
      <c r="A1075" s="130">
        <v>28</v>
      </c>
      <c r="B1075" s="135" t="s">
        <v>446</v>
      </c>
      <c r="C1075" s="130"/>
      <c r="D1075" s="130" t="s">
        <v>396</v>
      </c>
      <c r="E1075" s="132">
        <v>250</v>
      </c>
      <c r="F1075" s="133">
        <f t="shared" si="5"/>
        <v>0</v>
      </c>
      <c r="G1075" s="136"/>
      <c r="H1075" s="137"/>
    </row>
    <row r="1076" spans="1:8" s="134" customFormat="1" x14ac:dyDescent="0.25">
      <c r="A1076" s="130">
        <v>29</v>
      </c>
      <c r="B1076" s="135" t="s">
        <v>447</v>
      </c>
      <c r="C1076" s="130"/>
      <c r="D1076" s="130" t="s">
        <v>417</v>
      </c>
      <c r="E1076" s="132">
        <v>13000</v>
      </c>
      <c r="F1076" s="133">
        <f t="shared" si="5"/>
        <v>0</v>
      </c>
      <c r="G1076" s="136"/>
      <c r="H1076" s="137"/>
    </row>
    <row r="1077" spans="1:8" s="134" customFormat="1" ht="24" x14ac:dyDescent="0.25">
      <c r="A1077" s="130">
        <v>30</v>
      </c>
      <c r="B1077" s="135" t="s">
        <v>448</v>
      </c>
      <c r="C1077" s="130"/>
      <c r="D1077" s="130" t="s">
        <v>375</v>
      </c>
      <c r="E1077" s="132">
        <v>8500</v>
      </c>
      <c r="F1077" s="133">
        <f t="shared" si="5"/>
        <v>0</v>
      </c>
      <c r="G1077" s="136"/>
      <c r="H1077" s="137"/>
    </row>
    <row r="1078" spans="1:8" s="134" customFormat="1" x14ac:dyDescent="0.25">
      <c r="A1078" s="130">
        <v>31</v>
      </c>
      <c r="B1078" s="135" t="s">
        <v>400</v>
      </c>
      <c r="C1078" s="130"/>
      <c r="D1078" s="130" t="s">
        <v>401</v>
      </c>
      <c r="E1078" s="132"/>
      <c r="F1078" s="133"/>
      <c r="G1078" s="136"/>
      <c r="H1078" s="137"/>
    </row>
    <row r="1079" spans="1:8" s="30" customFormat="1" x14ac:dyDescent="0.25">
      <c r="A1079" s="26"/>
      <c r="B1079" s="32" t="s">
        <v>158</v>
      </c>
      <c r="C1079" s="33"/>
      <c r="D1079" s="26"/>
      <c r="E1079" s="34" t="s">
        <v>15</v>
      </c>
      <c r="F1079" s="29">
        <f>SUM(F1047:F1078)</f>
        <v>0</v>
      </c>
    </row>
    <row r="1080" spans="1:8" s="134" customFormat="1" ht="12" customHeight="1" x14ac:dyDescent="0.25">
      <c r="A1080" s="130"/>
      <c r="B1080" s="35" t="s">
        <v>92</v>
      </c>
      <c r="C1080" s="36"/>
      <c r="D1080" s="26"/>
      <c r="E1080" s="28"/>
      <c r="F1080" s="140"/>
    </row>
    <row r="1081" spans="1:8" s="134" customFormat="1" ht="12" customHeight="1" x14ac:dyDescent="0.25">
      <c r="A1081" s="130"/>
      <c r="B1081" s="37" t="s">
        <v>261</v>
      </c>
      <c r="C1081" s="36"/>
      <c r="D1081" s="26"/>
      <c r="E1081" s="28">
        <f>F1024</f>
        <v>0</v>
      </c>
      <c r="F1081" s="140"/>
    </row>
    <row r="1082" spans="1:8" s="134" customFormat="1" ht="12" customHeight="1" x14ac:dyDescent="0.25">
      <c r="A1082" s="130"/>
      <c r="B1082" s="37"/>
      <c r="C1082" s="36"/>
      <c r="D1082" s="26"/>
      <c r="E1082" s="28"/>
      <c r="F1082" s="140"/>
    </row>
    <row r="1083" spans="1:8" s="134" customFormat="1" ht="12" customHeight="1" x14ac:dyDescent="0.25">
      <c r="A1083" s="130"/>
      <c r="B1083" s="37" t="s">
        <v>262</v>
      </c>
      <c r="C1083" s="36"/>
      <c r="D1083" s="26"/>
      <c r="E1083" s="28">
        <f>F1044</f>
        <v>0</v>
      </c>
      <c r="F1083" s="140"/>
    </row>
    <row r="1084" spans="1:8" s="134" customFormat="1" ht="12" customHeight="1" x14ac:dyDescent="0.25">
      <c r="A1084" s="130"/>
      <c r="B1084" s="37"/>
      <c r="C1084" s="36"/>
      <c r="D1084" s="26"/>
      <c r="E1084" s="28"/>
      <c r="F1084" s="140"/>
    </row>
    <row r="1085" spans="1:8" s="134" customFormat="1" ht="12" customHeight="1" x14ac:dyDescent="0.25">
      <c r="A1085" s="130"/>
      <c r="B1085" s="37" t="s">
        <v>262</v>
      </c>
      <c r="C1085" s="36"/>
      <c r="D1085" s="26"/>
      <c r="E1085" s="28">
        <f>F1079</f>
        <v>0</v>
      </c>
      <c r="F1085" s="140"/>
    </row>
    <row r="1086" spans="1:8" s="30" customFormat="1" x14ac:dyDescent="0.25">
      <c r="A1086" s="26"/>
      <c r="B1086" s="27" t="s">
        <v>449</v>
      </c>
      <c r="C1086" s="36"/>
      <c r="D1086" s="26"/>
      <c r="E1086" s="28"/>
      <c r="F1086" s="28"/>
    </row>
    <row r="1087" spans="1:8" s="30" customFormat="1" x14ac:dyDescent="0.25">
      <c r="A1087" s="26"/>
      <c r="B1087" s="32" t="s">
        <v>95</v>
      </c>
      <c r="C1087" s="36"/>
      <c r="D1087" s="26"/>
      <c r="E1087" s="34" t="s">
        <v>15</v>
      </c>
      <c r="F1087" s="29">
        <f>SUM(E1081:E1085)</f>
        <v>0</v>
      </c>
    </row>
    <row r="1088" spans="1:8" x14ac:dyDescent="0.2">
      <c r="B1088" s="3"/>
      <c r="E1088" s="10"/>
      <c r="F1088" s="11"/>
    </row>
    <row r="1089" spans="2:6" x14ac:dyDescent="0.2">
      <c r="B1089" s="9" t="s">
        <v>450</v>
      </c>
    </row>
    <row r="1091" spans="2:6" x14ac:dyDescent="0.2">
      <c r="B1091" s="6" t="s">
        <v>43</v>
      </c>
      <c r="C1091" s="41" t="s">
        <v>451</v>
      </c>
      <c r="F1091" s="15" t="e">
        <f>F112</f>
        <v>#REF!</v>
      </c>
    </row>
    <row r="1093" spans="2:6" x14ac:dyDescent="0.2">
      <c r="B1093" s="6" t="s">
        <v>97</v>
      </c>
      <c r="C1093" s="41" t="s">
        <v>452</v>
      </c>
      <c r="F1093" s="15" t="e">
        <f>F166</f>
        <v>#REF!</v>
      </c>
    </row>
    <row r="1095" spans="2:6" x14ac:dyDescent="0.2">
      <c r="B1095" s="6" t="s">
        <v>453</v>
      </c>
      <c r="C1095" s="41" t="s">
        <v>454</v>
      </c>
      <c r="F1095" s="15" t="e">
        <f>F219</f>
        <v>#REF!</v>
      </c>
    </row>
    <row r="1097" spans="2:6" x14ac:dyDescent="0.2">
      <c r="B1097" s="6" t="s">
        <v>455</v>
      </c>
      <c r="C1097" s="6" t="s">
        <v>160</v>
      </c>
      <c r="F1097" s="15" t="e">
        <f>F328</f>
        <v>#REF!</v>
      </c>
    </row>
    <row r="1099" spans="2:6" x14ac:dyDescent="0.2">
      <c r="B1099" s="6" t="s">
        <v>163</v>
      </c>
      <c r="C1099" s="6" t="s">
        <v>456</v>
      </c>
      <c r="F1099" s="15" t="e">
        <f>F422</f>
        <v>#REF!</v>
      </c>
    </row>
    <row r="1101" spans="2:6" x14ac:dyDescent="0.2">
      <c r="B1101" s="6" t="s">
        <v>195</v>
      </c>
      <c r="C1101" s="41" t="s">
        <v>457</v>
      </c>
      <c r="F1101" s="15" t="e">
        <f>F475</f>
        <v>#REF!</v>
      </c>
    </row>
    <row r="1103" spans="2:6" x14ac:dyDescent="0.2">
      <c r="B1103" s="6" t="s">
        <v>200</v>
      </c>
      <c r="C1103" s="41" t="s">
        <v>458</v>
      </c>
      <c r="F1103" s="15" t="e">
        <f>F541</f>
        <v>#REF!</v>
      </c>
    </row>
    <row r="1105" spans="2:9" x14ac:dyDescent="0.2">
      <c r="B1105" s="6" t="s">
        <v>210</v>
      </c>
      <c r="C1105" s="41" t="s">
        <v>459</v>
      </c>
      <c r="F1105" s="15" t="e">
        <f>F594</f>
        <v>#REF!</v>
      </c>
    </row>
    <row r="1107" spans="2:9" x14ac:dyDescent="0.2">
      <c r="B1107" s="6" t="s">
        <v>213</v>
      </c>
      <c r="C1107" s="41" t="s">
        <v>460</v>
      </c>
      <c r="F1107" s="15" t="e">
        <f>F646</f>
        <v>#REF!</v>
      </c>
    </row>
    <row r="1109" spans="2:9" x14ac:dyDescent="0.2">
      <c r="B1109" s="6" t="s">
        <v>225</v>
      </c>
      <c r="C1109" s="41" t="s">
        <v>461</v>
      </c>
      <c r="F1109" s="15">
        <f>F689</f>
        <v>8986900</v>
      </c>
    </row>
    <row r="1111" spans="2:9" x14ac:dyDescent="0.2">
      <c r="B1111" s="6" t="s">
        <v>236</v>
      </c>
      <c r="C1111" s="6" t="s">
        <v>462</v>
      </c>
      <c r="F1111" s="15" t="e">
        <f>F800</f>
        <v>#REF!</v>
      </c>
    </row>
    <row r="1113" spans="2:9" x14ac:dyDescent="0.2">
      <c r="B1113" s="6" t="s">
        <v>265</v>
      </c>
      <c r="C1113" s="41" t="s">
        <v>463</v>
      </c>
      <c r="F1113" s="15" t="e">
        <f>F847</f>
        <v>#REF!</v>
      </c>
    </row>
    <row r="1115" spans="2:9" x14ac:dyDescent="0.2">
      <c r="B1115" s="6" t="s">
        <v>281</v>
      </c>
      <c r="C1115" s="41" t="s">
        <v>464</v>
      </c>
      <c r="F1115" s="15" t="e">
        <f>F900</f>
        <v>#REF!</v>
      </c>
    </row>
    <row r="1117" spans="2:9" ht="15" x14ac:dyDescent="0.3">
      <c r="B1117" s="6" t="s">
        <v>465</v>
      </c>
      <c r="C1117" s="41" t="s">
        <v>466</v>
      </c>
      <c r="F1117" s="183">
        <v>7474000</v>
      </c>
      <c r="H1117" s="12">
        <f>C1139*3800</f>
        <v>7474600</v>
      </c>
      <c r="I1117" s="149">
        <f>F1117/C1139</f>
        <v>3799.6949669547535</v>
      </c>
    </row>
    <row r="1118" spans="2:9" ht="15" x14ac:dyDescent="0.3">
      <c r="F1118" s="183"/>
    </row>
    <row r="1119" spans="2:9" ht="15" x14ac:dyDescent="0.3">
      <c r="B1119" s="6" t="s">
        <v>368</v>
      </c>
      <c r="C1119" s="41" t="s">
        <v>467</v>
      </c>
      <c r="F1119" s="183">
        <v>12785500</v>
      </c>
      <c r="H1119" s="12">
        <f>C1139*6500</f>
        <v>12785500</v>
      </c>
      <c r="I1119" s="149">
        <f>F1119/C1139</f>
        <v>6500</v>
      </c>
    </row>
    <row r="1120" spans="2:9" x14ac:dyDescent="0.2">
      <c r="F1120" s="76"/>
    </row>
    <row r="1134" spans="2:8" x14ac:dyDescent="0.2">
      <c r="H1134" s="150" t="e">
        <f>F1136-24814365</f>
        <v>#REF!</v>
      </c>
    </row>
    <row r="1135" spans="2:8" x14ac:dyDescent="0.2">
      <c r="B1135" s="9" t="s">
        <v>468</v>
      </c>
    </row>
    <row r="1136" spans="2:8" x14ac:dyDescent="0.2">
      <c r="B1136" s="3" t="s">
        <v>469</v>
      </c>
      <c r="E1136" s="10" t="s">
        <v>15</v>
      </c>
      <c r="F1136" s="11" t="e">
        <f>SUM(F1090:F1135)</f>
        <v>#REF!</v>
      </c>
      <c r="H1136" s="151" t="e">
        <f>#REF!</f>
        <v>#REF!</v>
      </c>
    </row>
    <row r="1137" spans="1:6" x14ac:dyDescent="0.2">
      <c r="B1137" s="9" t="s">
        <v>470</v>
      </c>
      <c r="F1137" s="11"/>
    </row>
    <row r="1138" spans="1:6" ht="20.25" customHeight="1" x14ac:dyDescent="0.2">
      <c r="B1138" s="9"/>
      <c r="F1138" s="11"/>
    </row>
    <row r="1139" spans="1:6" s="30" customFormat="1" x14ac:dyDescent="0.25">
      <c r="A1139" s="26"/>
      <c r="B1139" s="2" t="s">
        <v>471</v>
      </c>
      <c r="C1139" s="158">
        <v>1967</v>
      </c>
      <c r="D1139" s="144" t="s">
        <v>472</v>
      </c>
      <c r="F1139" s="159" t="e">
        <f>F1136/C1139</f>
        <v>#REF!</v>
      </c>
    </row>
    <row r="1140" spans="1:6" s="30" customFormat="1" x14ac:dyDescent="0.25">
      <c r="A1140" s="26"/>
      <c r="B1140" s="2" t="s">
        <v>473</v>
      </c>
      <c r="C1140" s="160"/>
      <c r="D1140" s="144"/>
      <c r="E1140" s="161" t="e">
        <f>F1136</f>
        <v>#REF!</v>
      </c>
      <c r="F1140" s="159"/>
    </row>
    <row r="1141" spans="1:6" s="30" customFormat="1" x14ac:dyDescent="0.25">
      <c r="A1141" s="26"/>
      <c r="B1141" s="162" t="s">
        <v>474</v>
      </c>
      <c r="C1141" s="163"/>
      <c r="D1141" s="144"/>
      <c r="E1141" s="161"/>
      <c r="F1141" s="159"/>
    </row>
    <row r="1142" spans="1:6" s="30" customFormat="1" ht="14.25" customHeight="1" x14ac:dyDescent="0.25">
      <c r="A1142" s="26"/>
      <c r="B1142" s="2" t="s">
        <v>475</v>
      </c>
      <c r="C1142" s="163"/>
      <c r="D1142" s="144"/>
      <c r="E1142" s="161" t="e">
        <f>E1140*2.5%</f>
        <v>#REF!</v>
      </c>
      <c r="F1142" s="159"/>
    </row>
    <row r="1143" spans="1:6" s="30" customFormat="1" x14ac:dyDescent="0.25">
      <c r="A1143" s="26"/>
      <c r="B1143" s="2"/>
      <c r="C1143" s="163"/>
      <c r="D1143" s="144"/>
      <c r="E1143" s="161"/>
      <c r="F1143" s="159"/>
    </row>
    <row r="1144" spans="1:6" s="30" customFormat="1" x14ac:dyDescent="0.25">
      <c r="A1144" s="26"/>
      <c r="B1144" s="164" t="s">
        <v>476</v>
      </c>
      <c r="C1144" s="165"/>
      <c r="D1144" s="166" t="s">
        <v>15</v>
      </c>
      <c r="E1144" s="167" t="e">
        <f>SUM(E1140:E1143)</f>
        <v>#REF!</v>
      </c>
      <c r="F1144" s="159"/>
    </row>
    <row r="1145" spans="1:6" s="30" customFormat="1" x14ac:dyDescent="0.25">
      <c r="A1145" s="26"/>
      <c r="B1145" s="162" t="s">
        <v>474</v>
      </c>
      <c r="C1145" s="165"/>
      <c r="D1145" s="166"/>
      <c r="E1145" s="168"/>
      <c r="F1145" s="159"/>
    </row>
    <row r="1146" spans="1:6" s="30" customFormat="1" x14ac:dyDescent="0.25">
      <c r="A1146" s="26"/>
      <c r="B1146" s="2" t="s">
        <v>477</v>
      </c>
      <c r="C1146" s="163"/>
      <c r="D1146" s="144"/>
      <c r="E1146" s="161" t="e">
        <f>E1144*7.5%</f>
        <v>#REF!</v>
      </c>
      <c r="F1146" s="159"/>
    </row>
    <row r="1147" spans="1:6" s="30" customFormat="1" ht="12.75" thickBot="1" x14ac:dyDescent="0.3">
      <c r="A1147" s="26"/>
      <c r="B1147" s="2"/>
      <c r="C1147" s="163"/>
      <c r="D1147" s="144"/>
      <c r="E1147" s="169" t="e">
        <f>SUM(E1144:E1146)</f>
        <v>#REF!</v>
      </c>
      <c r="F1147" s="159"/>
    </row>
    <row r="1148" spans="1:6" s="30" customFormat="1" ht="12.75" thickTop="1" x14ac:dyDescent="0.25">
      <c r="A1148" s="26"/>
      <c r="B1148" s="2"/>
      <c r="C1148" s="163"/>
      <c r="D1148" s="144"/>
      <c r="E1148" s="161"/>
      <c r="F1148" s="159"/>
    </row>
    <row r="1149" spans="1:6" s="30" customFormat="1" x14ac:dyDescent="0.25">
      <c r="A1149" s="26"/>
      <c r="B1149" s="2" t="s">
        <v>478</v>
      </c>
      <c r="C1149" s="163"/>
      <c r="D1149" s="144"/>
      <c r="E1149" s="161" t="e">
        <f>E1147/2</f>
        <v>#REF!</v>
      </c>
      <c r="F1149" s="159"/>
    </row>
    <row r="1150" spans="1:6" s="30" customFormat="1" x14ac:dyDescent="0.25">
      <c r="A1150" s="26"/>
      <c r="B1150" s="2"/>
      <c r="C1150" s="163"/>
      <c r="D1150" s="144"/>
      <c r="E1150" s="161"/>
      <c r="F1150" s="159"/>
    </row>
    <row r="1151" spans="1:6" s="30" customFormat="1" x14ac:dyDescent="0.25">
      <c r="A1151" s="26"/>
      <c r="B1151" s="2" t="s">
        <v>479</v>
      </c>
      <c r="C1151" s="163"/>
      <c r="D1151" s="144"/>
      <c r="E1151" s="161" t="e">
        <f>E1147/C1139</f>
        <v>#REF!</v>
      </c>
      <c r="F1151" s="159"/>
    </row>
    <row r="1152" spans="1:6" ht="20.25" customHeight="1" x14ac:dyDescent="0.2">
      <c r="B1152" s="9"/>
      <c r="F1152" s="11"/>
    </row>
    <row r="1153" spans="2:6" ht="20.25" customHeight="1" x14ac:dyDescent="0.2">
      <c r="B1153" s="9"/>
      <c r="F1153" s="11"/>
    </row>
    <row r="1154" spans="2:6" ht="20.25" customHeight="1" x14ac:dyDescent="0.2">
      <c r="B1154" s="9"/>
      <c r="F1154" s="11"/>
    </row>
    <row r="1155" spans="2:6" ht="20.25" customHeight="1" x14ac:dyDescent="0.2">
      <c r="B1155" s="9"/>
      <c r="F1155" s="11"/>
    </row>
    <row r="1156" spans="2:6" ht="20.25" customHeight="1" x14ac:dyDescent="0.2">
      <c r="B1156" s="9"/>
      <c r="F1156" s="11"/>
    </row>
    <row r="1157" spans="2:6" ht="20.25" customHeight="1" x14ac:dyDescent="0.2">
      <c r="B1157" s="9"/>
      <c r="F1157" s="11"/>
    </row>
    <row r="1158" spans="2:6" x14ac:dyDescent="0.2">
      <c r="B1158" s="9"/>
      <c r="F1158" s="11"/>
    </row>
    <row r="1159" spans="2:6" x14ac:dyDescent="0.2">
      <c r="B1159" s="9"/>
      <c r="F1159" s="11"/>
    </row>
  </sheetData>
  <mergeCells count="3">
    <mergeCell ref="A1:F1"/>
    <mergeCell ref="C372:E372"/>
    <mergeCell ref="D500:E500"/>
  </mergeCells>
  <pageMargins left="0.75661417322835001" right="0.75" top="0.74803149606299202" bottom="0.74803149606299202" header="0.31496062992126" footer="0.56496062999999996"/>
  <pageSetup paperSize="9" scale="82" orientation="portrait" r:id="rId1"/>
  <headerFooter>
    <oddHeader>&amp;C4 BEDROOM SEMI DETATCHED DUPLEX AT 
PLOT 342, C01, KARMO DISTRICT,
 ABUJA</oddHeader>
    <oddFooter>&amp;L&amp;"Comic Sans MS,Regular"&amp;8 4BEDROOM SD DUPLEX&amp;R&amp;"Comic Sans MS,Regular"Page/&amp;P</oddFooter>
  </headerFooter>
  <rowBreaks count="23" manualBreakCount="23">
    <brk id="49" max="5" man="1"/>
    <brk id="112" max="16383" man="1"/>
    <brk id="166" max="5" man="1"/>
    <brk id="219" max="16383" man="1"/>
    <brk id="276" max="5" man="1"/>
    <brk id="328" max="5" man="1"/>
    <brk id="395" max="5" man="1"/>
    <brk id="422" max="5" man="1"/>
    <brk id="475" max="16383" man="1"/>
    <brk id="541" max="5" man="1"/>
    <brk id="594" max="16383" man="1"/>
    <brk id="646" max="16383" man="1"/>
    <brk id="689" max="16383" man="1"/>
    <brk id="748" max="16383" man="1"/>
    <brk id="800" max="5" man="1"/>
    <brk id="847" max="16383" man="1"/>
    <brk id="900" max="16383" man="1"/>
    <brk id="948" max="16383" man="1"/>
    <brk id="995" max="16383" man="1"/>
    <brk id="1025" max="16383" man="1"/>
    <brk id="1046" max="16383" man="1"/>
    <brk id="1087" max="5" man="1"/>
    <brk id="1136"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1A46-0F85-4B0F-B1F5-073FC415298C}">
  <dimension ref="A1:J29"/>
  <sheetViews>
    <sheetView view="pageBreakPreview" zoomScaleNormal="96" zoomScaleSheetLayoutView="100" workbookViewId="0">
      <selection activeCell="A5" sqref="A5:J10"/>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1050</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ht="26.25" customHeight="1"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t="26.25" hidden="1" customHeight="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44C-CB77-40F0-9352-9F0AC5B5D70D}">
  <dimension ref="A1:S1053"/>
  <sheetViews>
    <sheetView view="pageBreakPreview" topLeftCell="A827" zoomScale="120" zoomScaleNormal="100" zoomScaleSheetLayoutView="120" workbookViewId="0">
      <selection activeCell="F829" sqref="F829"/>
    </sheetView>
  </sheetViews>
  <sheetFormatPr defaultColWidth="9.140625" defaultRowHeight="16.5" x14ac:dyDescent="0.25"/>
  <cols>
    <col min="1" max="1" width="4.85546875" style="206" bestFit="1" customWidth="1"/>
    <col min="2" max="2" width="46.7109375" style="214" customWidth="1"/>
    <col min="3" max="3" width="9.5703125" style="205" bestFit="1" customWidth="1"/>
    <col min="4" max="4" width="6.85546875" style="206" bestFit="1" customWidth="1"/>
    <col min="5" max="5" width="16" style="259" bestFit="1" customWidth="1"/>
    <col min="6" max="6" width="17.5703125" style="207" bestFit="1" customWidth="1"/>
    <col min="7" max="7" width="9.28515625" style="208" customWidth="1"/>
    <col min="8" max="9" width="9.140625" style="208"/>
    <col min="10" max="10" width="12.5703125" style="208" bestFit="1" customWidth="1"/>
    <col min="11" max="11" width="9.140625" style="208"/>
    <col min="12" max="12" width="12.42578125" style="208" bestFit="1" customWidth="1"/>
    <col min="13" max="16384" width="9.140625" style="208"/>
  </cols>
  <sheetData>
    <row r="1" spans="1:9" x14ac:dyDescent="0.25">
      <c r="A1" s="209" t="s">
        <v>796</v>
      </c>
      <c r="B1" s="220" t="s">
        <v>913</v>
      </c>
      <c r="C1" s="221" t="s">
        <v>773</v>
      </c>
      <c r="D1" s="209" t="s">
        <v>765</v>
      </c>
      <c r="E1" s="621" t="s">
        <v>914</v>
      </c>
      <c r="F1" s="222" t="s">
        <v>768</v>
      </c>
    </row>
    <row r="2" spans="1:9" x14ac:dyDescent="0.25">
      <c r="A2" s="203"/>
      <c r="B2" s="204" t="s">
        <v>508</v>
      </c>
    </row>
    <row r="3" spans="1:9" x14ac:dyDescent="0.25">
      <c r="B3" s="209"/>
    </row>
    <row r="4" spans="1:9" x14ac:dyDescent="0.25">
      <c r="B4" s="210" t="s">
        <v>509</v>
      </c>
    </row>
    <row r="5" spans="1:9" x14ac:dyDescent="0.25">
      <c r="B5" s="210"/>
    </row>
    <row r="6" spans="1:9" s="214" customFormat="1" x14ac:dyDescent="0.25">
      <c r="A6" s="206"/>
      <c r="B6" s="211" t="s">
        <v>44</v>
      </c>
      <c r="C6" s="205"/>
      <c r="D6" s="206"/>
      <c r="E6" s="259"/>
      <c r="F6" s="212"/>
    </row>
    <row r="7" spans="1:9" s="214" customFormat="1" ht="15" x14ac:dyDescent="0.25">
      <c r="A7" s="206"/>
      <c r="C7" s="205"/>
      <c r="D7" s="206"/>
      <c r="E7" s="259"/>
      <c r="F7" s="212"/>
    </row>
    <row r="8" spans="1:9" ht="17.25" customHeight="1" x14ac:dyDescent="0.25">
      <c r="B8" s="211" t="s">
        <v>510</v>
      </c>
      <c r="I8" s="208">
        <f>272*2</f>
        <v>544</v>
      </c>
    </row>
    <row r="9" spans="1:9" ht="40.5" customHeight="1" x14ac:dyDescent="0.25">
      <c r="A9" s="206" t="s">
        <v>2</v>
      </c>
      <c r="B9" s="215" t="s">
        <v>45</v>
      </c>
      <c r="C9" s="205">
        <v>652</v>
      </c>
      <c r="D9" s="206" t="s">
        <v>511</v>
      </c>
      <c r="E9" s="259">
        <v>500</v>
      </c>
      <c r="F9" s="207">
        <f t="shared" ref="F9:F18" si="0">C9*E9</f>
        <v>326000</v>
      </c>
      <c r="I9" s="208">
        <f>144*2</f>
        <v>288</v>
      </c>
    </row>
    <row r="10" spans="1:9" ht="51.75" customHeight="1" x14ac:dyDescent="0.25">
      <c r="A10" s="206" t="s">
        <v>4</v>
      </c>
      <c r="B10" s="215" t="s">
        <v>512</v>
      </c>
      <c r="C10" s="205">
        <v>201</v>
      </c>
      <c r="D10" s="206" t="s">
        <v>513</v>
      </c>
      <c r="E10" s="259">
        <v>1900</v>
      </c>
      <c r="F10" s="207">
        <f t="shared" si="0"/>
        <v>381900</v>
      </c>
      <c r="I10" s="208">
        <f>SUM(I8:I9)</f>
        <v>832</v>
      </c>
    </row>
    <row r="11" spans="1:9" ht="45" customHeight="1" x14ac:dyDescent="0.25">
      <c r="A11" s="206" t="s">
        <v>5</v>
      </c>
      <c r="B11" s="215" t="s">
        <v>49</v>
      </c>
      <c r="C11" s="205">
        <v>136</v>
      </c>
      <c r="D11" s="206" t="s">
        <v>513</v>
      </c>
      <c r="E11" s="259">
        <f>E10</f>
        <v>1900</v>
      </c>
      <c r="F11" s="207">
        <f t="shared" si="0"/>
        <v>258400</v>
      </c>
      <c r="I11" s="208">
        <f>I10*1.5*0.69</f>
        <v>861.11999999999989</v>
      </c>
    </row>
    <row r="12" spans="1:9" ht="55.5" customHeight="1" x14ac:dyDescent="0.25">
      <c r="A12" s="206" t="s">
        <v>6</v>
      </c>
      <c r="B12" s="215" t="s">
        <v>514</v>
      </c>
      <c r="D12" s="206" t="s">
        <v>513</v>
      </c>
      <c r="E12" s="259">
        <f>E10</f>
        <v>1900</v>
      </c>
      <c r="F12" s="207">
        <f t="shared" si="0"/>
        <v>0</v>
      </c>
    </row>
    <row r="13" spans="1:9" ht="30.75" customHeight="1" x14ac:dyDescent="0.25">
      <c r="A13" s="206" t="s">
        <v>7</v>
      </c>
      <c r="B13" s="215" t="s">
        <v>19</v>
      </c>
      <c r="C13" s="205">
        <v>66</v>
      </c>
      <c r="D13" s="206" t="s">
        <v>511</v>
      </c>
      <c r="E13" s="259">
        <f>'[31]AJIWE STRIP MALL '!E49</f>
        <v>250</v>
      </c>
      <c r="F13" s="207">
        <f t="shared" si="0"/>
        <v>16500</v>
      </c>
    </row>
    <row r="14" spans="1:9" ht="30.75" customHeight="1" x14ac:dyDescent="0.25">
      <c r="A14" s="206" t="s">
        <v>8</v>
      </c>
      <c r="B14" s="215" t="s">
        <v>515</v>
      </c>
      <c r="C14" s="205">
        <v>228</v>
      </c>
      <c r="D14" s="206" t="s">
        <v>513</v>
      </c>
      <c r="E14" s="259">
        <v>1400</v>
      </c>
      <c r="F14" s="207">
        <f t="shared" si="0"/>
        <v>319200</v>
      </c>
    </row>
    <row r="15" spans="1:9" ht="44.25" customHeight="1" x14ac:dyDescent="0.25">
      <c r="A15" s="206" t="s">
        <v>9</v>
      </c>
      <c r="B15" s="215" t="s">
        <v>516</v>
      </c>
      <c r="C15" s="205">
        <v>144</v>
      </c>
      <c r="D15" s="206" t="s">
        <v>513</v>
      </c>
      <c r="E15" s="259">
        <v>900</v>
      </c>
      <c r="F15" s="207">
        <f t="shared" si="0"/>
        <v>129600</v>
      </c>
    </row>
    <row r="16" spans="1:9" ht="44.25" customHeight="1" x14ac:dyDescent="0.25">
      <c r="A16" s="206" t="s">
        <v>10</v>
      </c>
      <c r="B16" s="218" t="s">
        <v>802</v>
      </c>
      <c r="C16" s="205">
        <v>206</v>
      </c>
      <c r="D16" s="206" t="s">
        <v>513</v>
      </c>
      <c r="E16" s="259">
        <v>6500</v>
      </c>
      <c r="F16" s="207">
        <f t="shared" si="0"/>
        <v>1339000</v>
      </c>
    </row>
    <row r="17" spans="1:6" ht="36" customHeight="1" x14ac:dyDescent="0.25">
      <c r="A17" s="206" t="s">
        <v>11</v>
      </c>
      <c r="B17" s="215" t="s">
        <v>663</v>
      </c>
      <c r="C17" s="205">
        <v>147</v>
      </c>
      <c r="D17" s="206" t="s">
        <v>511</v>
      </c>
      <c r="E17" s="259">
        <v>4500</v>
      </c>
      <c r="F17" s="207">
        <f t="shared" si="0"/>
        <v>661500</v>
      </c>
    </row>
    <row r="18" spans="1:6" ht="36" customHeight="1" x14ac:dyDescent="0.25">
      <c r="A18" s="206" t="s">
        <v>12</v>
      </c>
      <c r="B18" s="215" t="s">
        <v>517</v>
      </c>
      <c r="D18" s="206" t="s">
        <v>511</v>
      </c>
      <c r="E18" s="259">
        <f>'[31]AJIWE STRIP MALL '!E54</f>
        <v>150</v>
      </c>
      <c r="F18" s="207">
        <f t="shared" si="0"/>
        <v>0</v>
      </c>
    </row>
    <row r="19" spans="1:6" x14ac:dyDescent="0.25">
      <c r="B19" s="211" t="s">
        <v>98</v>
      </c>
    </row>
    <row r="20" spans="1:6" ht="17.25" customHeight="1" x14ac:dyDescent="0.25">
      <c r="B20" s="219" t="s">
        <v>664</v>
      </c>
    </row>
    <row r="21" spans="1:6" ht="17.25" customHeight="1" x14ac:dyDescent="0.25">
      <c r="A21" s="206" t="s">
        <v>13</v>
      </c>
      <c r="B21" s="214" t="s">
        <v>803</v>
      </c>
      <c r="C21" s="205">
        <v>225</v>
      </c>
      <c r="D21" s="206" t="s">
        <v>511</v>
      </c>
      <c r="E21" s="259">
        <v>6500</v>
      </c>
      <c r="F21" s="207">
        <f>C21*E21</f>
        <v>1462500</v>
      </c>
    </row>
    <row r="22" spans="1:6" ht="17.25" customHeight="1" x14ac:dyDescent="0.25"/>
    <row r="23" spans="1:6" ht="17.25" customHeight="1" x14ac:dyDescent="0.25"/>
    <row r="24" spans="1:6" ht="17.25" customHeight="1" x14ac:dyDescent="0.25"/>
    <row r="25" spans="1:6" ht="17.25" customHeight="1" x14ac:dyDescent="0.25"/>
    <row r="26" spans="1:6" ht="17.25" customHeight="1" x14ac:dyDescent="0.25"/>
    <row r="27" spans="1:6" ht="17.25" customHeight="1" x14ac:dyDescent="0.25"/>
    <row r="28" spans="1:6" ht="17.25" customHeight="1" x14ac:dyDescent="0.25"/>
    <row r="29" spans="1:6" ht="17.25" customHeight="1" x14ac:dyDescent="0.25"/>
    <row r="30" spans="1:6" ht="17.25" customHeight="1" x14ac:dyDescent="0.25"/>
    <row r="31" spans="1:6" ht="17.25" customHeight="1" x14ac:dyDescent="0.25">
      <c r="B31" s="220" t="s">
        <v>520</v>
      </c>
      <c r="C31" s="221"/>
      <c r="D31" s="209"/>
      <c r="E31" s="621" t="s">
        <v>15</v>
      </c>
      <c r="F31" s="285">
        <f>SUM(F9:F21)</f>
        <v>4894600</v>
      </c>
    </row>
    <row r="32" spans="1:6" x14ac:dyDescent="0.25">
      <c r="A32" s="209" t="s">
        <v>796</v>
      </c>
      <c r="B32" s="209" t="s">
        <v>913</v>
      </c>
      <c r="C32" s="221" t="s">
        <v>773</v>
      </c>
      <c r="D32" s="209" t="s">
        <v>765</v>
      </c>
      <c r="E32" s="621" t="s">
        <v>914</v>
      </c>
      <c r="F32" s="273" t="s">
        <v>768</v>
      </c>
    </row>
    <row r="33" spans="1:6" s="223" customFormat="1" ht="17.25" customHeight="1" x14ac:dyDescent="0.25">
      <c r="A33" s="209"/>
      <c r="B33" s="210" t="s">
        <v>521</v>
      </c>
      <c r="C33" s="221"/>
      <c r="D33" s="209"/>
      <c r="E33" s="621"/>
      <c r="F33" s="222"/>
    </row>
    <row r="34" spans="1:6" ht="30.75" customHeight="1" x14ac:dyDescent="0.25">
      <c r="B34" s="219" t="s">
        <v>522</v>
      </c>
    </row>
    <row r="35" spans="1:6" ht="22.9" customHeight="1" x14ac:dyDescent="0.25">
      <c r="B35" s="219" t="s">
        <v>916</v>
      </c>
    </row>
    <row r="36" spans="1:6" ht="22.5" customHeight="1" x14ac:dyDescent="0.25">
      <c r="A36" s="206" t="s">
        <v>2</v>
      </c>
      <c r="B36" s="214" t="s">
        <v>910</v>
      </c>
      <c r="C36" s="205">
        <v>31</v>
      </c>
      <c r="D36" s="206" t="s">
        <v>513</v>
      </c>
      <c r="E36" s="259">
        <v>95000</v>
      </c>
      <c r="F36" s="207">
        <f>C36*E36</f>
        <v>2945000</v>
      </c>
    </row>
    <row r="37" spans="1:6" ht="21.75" customHeight="1" x14ac:dyDescent="0.25">
      <c r="A37" s="206" t="s">
        <v>4</v>
      </c>
      <c r="B37" s="214" t="s">
        <v>519</v>
      </c>
      <c r="C37" s="205">
        <v>57</v>
      </c>
      <c r="D37" s="206" t="s">
        <v>513</v>
      </c>
      <c r="E37" s="259">
        <f>E36</f>
        <v>95000</v>
      </c>
      <c r="F37" s="207">
        <f>C37*E37</f>
        <v>5415000</v>
      </c>
    </row>
    <row r="38" spans="1:6" s="214" customFormat="1" ht="15" x14ac:dyDescent="0.3">
      <c r="A38" s="535"/>
      <c r="B38" s="541"/>
      <c r="C38" s="537"/>
      <c r="D38" s="538"/>
      <c r="E38" s="622"/>
      <c r="F38" s="540"/>
    </row>
    <row r="39" spans="1:6" s="214" customFormat="1" ht="15" x14ac:dyDescent="0.3">
      <c r="A39" s="535"/>
      <c r="B39" s="536" t="s">
        <v>797</v>
      </c>
      <c r="C39" s="537"/>
      <c r="D39" s="538"/>
      <c r="E39" s="622"/>
      <c r="F39" s="540"/>
    </row>
    <row r="40" spans="1:6" s="214" customFormat="1" ht="30" x14ac:dyDescent="0.3">
      <c r="A40" s="535"/>
      <c r="B40" s="542" t="s">
        <v>915</v>
      </c>
      <c r="C40" s="537"/>
      <c r="D40" s="538"/>
      <c r="E40" s="622"/>
      <c r="F40" s="540"/>
    </row>
    <row r="41" spans="1:6" s="214" customFormat="1" ht="14.25" customHeight="1" x14ac:dyDescent="0.3">
      <c r="A41" s="535"/>
      <c r="B41" s="541"/>
      <c r="C41" s="537"/>
      <c r="D41" s="538"/>
      <c r="E41" s="622"/>
      <c r="F41" s="540"/>
    </row>
    <row r="42" spans="1:6" s="214" customFormat="1" ht="15" x14ac:dyDescent="0.3">
      <c r="A42" s="535" t="s">
        <v>5</v>
      </c>
      <c r="B42" s="543" t="s">
        <v>912</v>
      </c>
      <c r="C42" s="537">
        <v>41</v>
      </c>
      <c r="D42" s="538" t="s">
        <v>47</v>
      </c>
      <c r="E42" s="622">
        <v>95000</v>
      </c>
      <c r="F42" s="540">
        <f>E42*C42</f>
        <v>3895000</v>
      </c>
    </row>
    <row r="43" spans="1:6" s="214" customFormat="1" ht="15" x14ac:dyDescent="0.3">
      <c r="A43" s="535" t="s">
        <v>6</v>
      </c>
      <c r="B43" s="543" t="s">
        <v>917</v>
      </c>
      <c r="C43" s="537">
        <v>3</v>
      </c>
      <c r="D43" s="538" t="s">
        <v>47</v>
      </c>
      <c r="E43" s="622">
        <f>E42</f>
        <v>95000</v>
      </c>
      <c r="F43" s="540">
        <f>E43*C43</f>
        <v>285000</v>
      </c>
    </row>
    <row r="44" spans="1:6" s="214" customFormat="1" ht="10.15" customHeight="1" x14ac:dyDescent="0.35">
      <c r="A44" s="535"/>
      <c r="B44" s="544"/>
      <c r="C44" s="537"/>
      <c r="D44" s="538"/>
      <c r="E44" s="622"/>
      <c r="F44" s="540"/>
    </row>
    <row r="45" spans="1:6" s="214" customFormat="1" ht="15" x14ac:dyDescent="0.3">
      <c r="A45" s="535"/>
      <c r="B45" s="536" t="s">
        <v>798</v>
      </c>
      <c r="C45" s="537"/>
      <c r="D45" s="538"/>
      <c r="E45" s="622"/>
      <c r="F45" s="540"/>
    </row>
    <row r="46" spans="1:6" s="214" customFormat="1" ht="15" x14ac:dyDescent="0.3">
      <c r="A46" s="535"/>
      <c r="B46" s="536" t="s">
        <v>102</v>
      </c>
      <c r="C46" s="537"/>
      <c r="D46" s="538"/>
      <c r="E46" s="622"/>
      <c r="F46" s="540"/>
    </row>
    <row r="47" spans="1:6" s="214" customFormat="1" ht="15" x14ac:dyDescent="0.3">
      <c r="A47" s="535"/>
      <c r="B47" s="536" t="s">
        <v>799</v>
      </c>
      <c r="C47" s="537"/>
      <c r="D47" s="538"/>
      <c r="E47" s="622"/>
      <c r="F47" s="540"/>
    </row>
    <row r="48" spans="1:6" s="214" customFormat="1" ht="11.65" customHeight="1" x14ac:dyDescent="0.3">
      <c r="A48" s="535"/>
      <c r="B48" s="543"/>
      <c r="C48" s="537"/>
      <c r="D48" s="538"/>
      <c r="E48" s="622"/>
      <c r="F48" s="540"/>
    </row>
    <row r="49" spans="1:6" s="214" customFormat="1" ht="15" x14ac:dyDescent="0.3">
      <c r="A49" s="535" t="s">
        <v>7</v>
      </c>
      <c r="B49" s="543" t="s">
        <v>1013</v>
      </c>
      <c r="C49" s="537">
        <v>2332</v>
      </c>
      <c r="D49" s="538" t="s">
        <v>75</v>
      </c>
      <c r="E49" s="622">
        <v>1450</v>
      </c>
      <c r="F49" s="540">
        <f>E49*C49</f>
        <v>3381400</v>
      </c>
    </row>
    <row r="50" spans="1:6" s="214" customFormat="1" ht="15" x14ac:dyDescent="0.3">
      <c r="A50" s="535" t="s">
        <v>8</v>
      </c>
      <c r="B50" s="543" t="s">
        <v>918</v>
      </c>
      <c r="C50" s="537"/>
      <c r="D50" s="538" t="s">
        <v>75</v>
      </c>
      <c r="E50" s="622">
        <f>E49</f>
        <v>1450</v>
      </c>
      <c r="F50" s="540">
        <f>E50*C50</f>
        <v>0</v>
      </c>
    </row>
    <row r="51" spans="1:6" s="214" customFormat="1" ht="15" x14ac:dyDescent="0.3">
      <c r="A51" s="535" t="s">
        <v>9</v>
      </c>
      <c r="B51" s="543" t="s">
        <v>903</v>
      </c>
      <c r="C51" s="537">
        <v>1160</v>
      </c>
      <c r="D51" s="538" t="s">
        <v>75</v>
      </c>
      <c r="E51" s="622">
        <f>E49</f>
        <v>1450</v>
      </c>
      <c r="F51" s="540">
        <f>E51*C51</f>
        <v>1682000</v>
      </c>
    </row>
    <row r="52" spans="1:6" s="214" customFormat="1" ht="15" x14ac:dyDescent="0.3">
      <c r="A52" s="535" t="s">
        <v>10</v>
      </c>
      <c r="B52" s="543" t="s">
        <v>919</v>
      </c>
      <c r="C52" s="537"/>
      <c r="D52" s="538" t="s">
        <v>75</v>
      </c>
      <c r="E52" s="622">
        <f>E51</f>
        <v>1450</v>
      </c>
      <c r="F52" s="540">
        <f>E52*C52</f>
        <v>0</v>
      </c>
    </row>
    <row r="53" spans="1:6" s="214" customFormat="1" ht="15" x14ac:dyDescent="0.3">
      <c r="A53" s="535" t="s">
        <v>11</v>
      </c>
      <c r="B53" s="543" t="s">
        <v>922</v>
      </c>
      <c r="C53" s="537">
        <v>197</v>
      </c>
      <c r="D53" s="538" t="s">
        <v>75</v>
      </c>
      <c r="E53" s="622">
        <f>E52</f>
        <v>1450</v>
      </c>
      <c r="F53" s="540">
        <f>E53*C53</f>
        <v>285650</v>
      </c>
    </row>
    <row r="54" spans="1:6" s="214" customFormat="1" ht="12.4" customHeight="1" x14ac:dyDescent="0.3">
      <c r="A54" s="535"/>
      <c r="B54" s="543"/>
      <c r="C54" s="537"/>
      <c r="D54" s="538"/>
      <c r="E54" s="622"/>
      <c r="F54" s="540"/>
    </row>
    <row r="55" spans="1:6" s="214" customFormat="1" ht="15" x14ac:dyDescent="0.3">
      <c r="A55" s="535"/>
      <c r="B55" s="536" t="s">
        <v>67</v>
      </c>
      <c r="C55" s="537"/>
      <c r="D55" s="538"/>
      <c r="E55" s="622"/>
      <c r="F55" s="540"/>
    </row>
    <row r="56" spans="1:6" s="214" customFormat="1" ht="15" x14ac:dyDescent="0.3">
      <c r="A56" s="535"/>
      <c r="B56" s="536" t="s">
        <v>800</v>
      </c>
      <c r="C56" s="537"/>
      <c r="D56" s="538"/>
      <c r="E56" s="622"/>
      <c r="F56" s="540"/>
    </row>
    <row r="57" spans="1:6" s="214" customFormat="1" ht="13.9" customHeight="1" x14ac:dyDescent="0.3">
      <c r="A57" s="535"/>
      <c r="B57" s="543"/>
      <c r="C57" s="537"/>
      <c r="D57" s="538"/>
      <c r="E57" s="622"/>
      <c r="F57" s="540"/>
    </row>
    <row r="58" spans="1:6" s="214" customFormat="1" ht="15" x14ac:dyDescent="0.3">
      <c r="A58" s="535" t="s">
        <v>12</v>
      </c>
      <c r="B58" s="543" t="s">
        <v>920</v>
      </c>
      <c r="C58" s="537">
        <v>100</v>
      </c>
      <c r="D58" s="538" t="s">
        <v>35</v>
      </c>
      <c r="E58" s="622">
        <v>8500</v>
      </c>
      <c r="F58" s="540">
        <f>E58*C58</f>
        <v>850000</v>
      </c>
    </row>
    <row r="59" spans="1:6" s="214" customFormat="1" ht="15" x14ac:dyDescent="0.3">
      <c r="A59" s="535" t="s">
        <v>13</v>
      </c>
      <c r="B59" s="543" t="s">
        <v>921</v>
      </c>
      <c r="C59" s="537">
        <v>60</v>
      </c>
      <c r="D59" s="538" t="s">
        <v>35</v>
      </c>
      <c r="E59" s="622">
        <f>E58</f>
        <v>8500</v>
      </c>
      <c r="F59" s="540">
        <f>E59*C59</f>
        <v>510000</v>
      </c>
    </row>
    <row r="60" spans="1:6" s="214" customFormat="1" ht="15" x14ac:dyDescent="0.3">
      <c r="A60" s="535"/>
      <c r="B60" s="543"/>
      <c r="C60" s="537"/>
      <c r="D60" s="538"/>
      <c r="E60" s="622"/>
      <c r="F60" s="540"/>
    </row>
    <row r="61" spans="1:6" ht="49.5" customHeight="1" x14ac:dyDescent="0.25">
      <c r="B61" s="224" t="s">
        <v>524</v>
      </c>
    </row>
    <row r="62" spans="1:6" ht="20.25" customHeight="1" x14ac:dyDescent="0.25">
      <c r="A62" s="206" t="s">
        <v>14</v>
      </c>
      <c r="B62" s="218" t="s">
        <v>39</v>
      </c>
      <c r="C62" s="205">
        <v>369</v>
      </c>
      <c r="D62" s="206" t="s">
        <v>511</v>
      </c>
      <c r="E62" s="259">
        <v>2000</v>
      </c>
      <c r="F62" s="207">
        <f>C62*E62</f>
        <v>738000</v>
      </c>
    </row>
    <row r="63" spans="1:6" x14ac:dyDescent="0.25">
      <c r="B63" s="218"/>
    </row>
    <row r="64" spans="1:6" ht="21" customHeight="1" x14ac:dyDescent="0.25">
      <c r="B64" s="211" t="s">
        <v>67</v>
      </c>
    </row>
    <row r="65" spans="1:6" ht="24.75" customHeight="1" x14ac:dyDescent="0.25">
      <c r="B65" s="219" t="s">
        <v>120</v>
      </c>
    </row>
    <row r="66" spans="1:6" ht="21.75" customHeight="1" x14ac:dyDescent="0.25">
      <c r="A66" s="206" t="s">
        <v>15</v>
      </c>
      <c r="B66" s="214" t="s">
        <v>911</v>
      </c>
      <c r="C66" s="205">
        <v>89</v>
      </c>
      <c r="D66" s="206" t="s">
        <v>511</v>
      </c>
      <c r="E66" s="259">
        <v>8500</v>
      </c>
      <c r="F66" s="207">
        <f>C66*E66</f>
        <v>756500</v>
      </c>
    </row>
    <row r="67" spans="1:6" ht="21.75" customHeight="1" x14ac:dyDescent="0.25"/>
    <row r="68" spans="1:6" ht="21.75" customHeight="1" x14ac:dyDescent="0.25"/>
    <row r="69" spans="1:6" ht="23.25" customHeight="1" x14ac:dyDescent="0.25"/>
    <row r="72" spans="1:6" x14ac:dyDescent="0.25">
      <c r="B72" s="225" t="s">
        <v>525</v>
      </c>
      <c r="E72" s="621" t="s">
        <v>15</v>
      </c>
      <c r="F72" s="222">
        <f>SUM(F35:F71)</f>
        <v>20743550</v>
      </c>
    </row>
    <row r="73" spans="1:6" x14ac:dyDescent="0.25">
      <c r="A73" s="209" t="s">
        <v>796</v>
      </c>
      <c r="B73" s="209" t="s">
        <v>913</v>
      </c>
      <c r="C73" s="221" t="s">
        <v>773</v>
      </c>
      <c r="D73" s="209" t="s">
        <v>765</v>
      </c>
      <c r="E73" s="621" t="s">
        <v>914</v>
      </c>
      <c r="F73" s="273" t="s">
        <v>768</v>
      </c>
    </row>
    <row r="74" spans="1:6" x14ac:dyDescent="0.25">
      <c r="B74" s="210" t="s">
        <v>521</v>
      </c>
    </row>
    <row r="75" spans="1:6" x14ac:dyDescent="0.25">
      <c r="B75" s="210"/>
    </row>
    <row r="76" spans="1:6" x14ac:dyDescent="0.25">
      <c r="B76" s="211" t="s">
        <v>84</v>
      </c>
      <c r="C76" s="221"/>
      <c r="D76" s="209"/>
      <c r="E76" s="621"/>
      <c r="F76" s="286"/>
    </row>
    <row r="77" spans="1:6" x14ac:dyDescent="0.25">
      <c r="B77" s="226"/>
      <c r="C77" s="221"/>
      <c r="D77" s="209"/>
      <c r="E77" s="621"/>
      <c r="F77" s="286"/>
    </row>
    <row r="78" spans="1:6" ht="57.75" customHeight="1" x14ac:dyDescent="0.25">
      <c r="B78" s="224" t="s">
        <v>526</v>
      </c>
      <c r="C78" s="221"/>
      <c r="D78" s="209"/>
      <c r="E78" s="621"/>
      <c r="F78" s="286"/>
    </row>
    <row r="79" spans="1:6" x14ac:dyDescent="0.25">
      <c r="B79" s="224"/>
      <c r="C79" s="221"/>
      <c r="D79" s="209"/>
      <c r="E79" s="621"/>
      <c r="F79" s="286"/>
    </row>
    <row r="80" spans="1:6" x14ac:dyDescent="0.25">
      <c r="A80" s="206" t="s">
        <v>2</v>
      </c>
      <c r="B80" s="218" t="s">
        <v>527</v>
      </c>
      <c r="C80" s="205">
        <v>383</v>
      </c>
      <c r="D80" s="206" t="s">
        <v>511</v>
      </c>
      <c r="E80" s="259">
        <v>13000</v>
      </c>
      <c r="F80" s="207">
        <f>C80*E80</f>
        <v>4979000</v>
      </c>
    </row>
    <row r="82" spans="1:6" x14ac:dyDescent="0.25">
      <c r="B82" s="219" t="s">
        <v>528</v>
      </c>
      <c r="F82" s="227"/>
    </row>
    <row r="83" spans="1:6" x14ac:dyDescent="0.25">
      <c r="B83" s="219" t="s">
        <v>529</v>
      </c>
      <c r="F83" s="227"/>
    </row>
    <row r="84" spans="1:6" x14ac:dyDescent="0.25">
      <c r="F84" s="227"/>
    </row>
    <row r="85" spans="1:6" ht="29.25" customHeight="1" x14ac:dyDescent="0.25">
      <c r="A85" s="206" t="s">
        <v>4</v>
      </c>
      <c r="B85" s="215" t="s">
        <v>530</v>
      </c>
      <c r="C85" s="205">
        <v>388</v>
      </c>
      <c r="D85" s="206" t="s">
        <v>511</v>
      </c>
      <c r="E85" s="259">
        <v>650</v>
      </c>
      <c r="F85" s="207">
        <f>C85*E85</f>
        <v>252200</v>
      </c>
    </row>
    <row r="86" spans="1:6" x14ac:dyDescent="0.25">
      <c r="B86" s="215"/>
      <c r="F86" s="227"/>
    </row>
    <row r="87" spans="1:6" x14ac:dyDescent="0.25">
      <c r="B87" s="228"/>
      <c r="F87" s="227"/>
    </row>
    <row r="88" spans="1:6" ht="29.25" customHeight="1" x14ac:dyDescent="0.25">
      <c r="B88" s="228" t="s">
        <v>923</v>
      </c>
      <c r="C88" s="214"/>
      <c r="D88" s="389"/>
      <c r="E88" s="214"/>
    </row>
    <row r="89" spans="1:6" ht="29.25" customHeight="1" x14ac:dyDescent="0.25">
      <c r="A89" s="206" t="s">
        <v>5</v>
      </c>
      <c r="B89" s="215" t="s">
        <v>924</v>
      </c>
      <c r="C89" s="391">
        <f>0*2*1.57</f>
        <v>0</v>
      </c>
      <c r="D89" s="206" t="s">
        <v>511</v>
      </c>
      <c r="E89" s="623">
        <v>9500</v>
      </c>
      <c r="F89" s="207">
        <f>C89*E89</f>
        <v>0</v>
      </c>
    </row>
    <row r="90" spans="1:6" ht="29.25" customHeight="1" x14ac:dyDescent="0.25">
      <c r="A90" s="206" t="s">
        <v>6</v>
      </c>
      <c r="B90" s="215" t="s">
        <v>925</v>
      </c>
      <c r="C90" s="391">
        <f>0*2*0.15</f>
        <v>0</v>
      </c>
      <c r="D90" s="206" t="s">
        <v>511</v>
      </c>
      <c r="E90" s="623">
        <f>E89*0.3</f>
        <v>2850</v>
      </c>
      <c r="F90" s="207">
        <f>C90*E90</f>
        <v>0</v>
      </c>
    </row>
    <row r="91" spans="1:6" ht="35.25" customHeight="1" x14ac:dyDescent="0.25">
      <c r="B91" s="215"/>
      <c r="F91" s="229"/>
    </row>
    <row r="92" spans="1:6" x14ac:dyDescent="0.25">
      <c r="B92" s="215"/>
      <c r="F92" s="227"/>
    </row>
    <row r="93" spans="1:6" ht="18.75" customHeight="1" x14ac:dyDescent="0.25">
      <c r="B93" s="225" t="s">
        <v>525</v>
      </c>
      <c r="E93" s="621" t="s">
        <v>15</v>
      </c>
      <c r="F93" s="222">
        <f>SUM(F76:F92)</f>
        <v>5231200</v>
      </c>
    </row>
    <row r="94" spans="1:6" x14ac:dyDescent="0.25">
      <c r="B94" s="215"/>
      <c r="F94" s="227"/>
    </row>
    <row r="95" spans="1:6" x14ac:dyDescent="0.25">
      <c r="B95" s="225"/>
      <c r="E95" s="621"/>
      <c r="F95" s="285"/>
    </row>
    <row r="96" spans="1:6" x14ac:dyDescent="0.25">
      <c r="B96" s="211" t="s">
        <v>531</v>
      </c>
      <c r="E96" s="621"/>
      <c r="F96" s="285"/>
    </row>
    <row r="97" spans="1:6" x14ac:dyDescent="0.25">
      <c r="B97" s="231" t="s">
        <v>451</v>
      </c>
      <c r="E97" s="259">
        <f>F31</f>
        <v>4894600</v>
      </c>
      <c r="F97" s="230"/>
    </row>
    <row r="98" spans="1:6" x14ac:dyDescent="0.25">
      <c r="B98" s="232"/>
      <c r="F98" s="230"/>
    </row>
    <row r="99" spans="1:6" x14ac:dyDescent="0.25">
      <c r="B99" s="231" t="s">
        <v>452</v>
      </c>
      <c r="E99" s="259">
        <f>F72</f>
        <v>20743550</v>
      </c>
      <c r="F99" s="230"/>
    </row>
    <row r="100" spans="1:6" x14ac:dyDescent="0.25">
      <c r="B100" s="231"/>
      <c r="F100" s="230"/>
    </row>
    <row r="101" spans="1:6" x14ac:dyDescent="0.25">
      <c r="B101" s="231" t="s">
        <v>454</v>
      </c>
      <c r="E101" s="259">
        <f>F93</f>
        <v>5231200</v>
      </c>
      <c r="F101" s="230"/>
    </row>
    <row r="102" spans="1:6" x14ac:dyDescent="0.25">
      <c r="B102" s="233"/>
      <c r="F102" s="230"/>
    </row>
    <row r="103" spans="1:6" x14ac:dyDescent="0.25">
      <c r="B103" s="233"/>
      <c r="F103" s="230"/>
    </row>
    <row r="104" spans="1:6" x14ac:dyDescent="0.25">
      <c r="B104" s="233"/>
      <c r="F104" s="230"/>
    </row>
    <row r="105" spans="1:6" x14ac:dyDescent="0.25">
      <c r="B105" s="233"/>
      <c r="F105" s="230"/>
    </row>
    <row r="106" spans="1:6" x14ac:dyDescent="0.25">
      <c r="B106" s="233"/>
      <c r="F106" s="230"/>
    </row>
    <row r="107" spans="1:6" x14ac:dyDescent="0.25">
      <c r="B107" s="233"/>
      <c r="F107" s="230"/>
    </row>
    <row r="108" spans="1:6" x14ac:dyDescent="0.25">
      <c r="B108" s="233"/>
      <c r="F108" s="230"/>
    </row>
    <row r="109" spans="1:6" x14ac:dyDescent="0.25">
      <c r="B109" s="233"/>
      <c r="F109" s="230"/>
    </row>
    <row r="110" spans="1:6" x14ac:dyDescent="0.25">
      <c r="B110" s="234" t="s">
        <v>533</v>
      </c>
      <c r="C110" s="221"/>
      <c r="D110" s="209"/>
      <c r="F110" s="235"/>
    </row>
    <row r="111" spans="1:6" x14ac:dyDescent="0.25">
      <c r="B111" s="220" t="s">
        <v>534</v>
      </c>
      <c r="C111" s="221"/>
      <c r="D111" s="209"/>
      <c r="E111" s="621" t="s">
        <v>15</v>
      </c>
      <c r="F111" s="286">
        <f>SUM(E97:E102)</f>
        <v>30869350</v>
      </c>
    </row>
    <row r="112" spans="1:6" x14ac:dyDescent="0.25">
      <c r="A112" s="209" t="s">
        <v>796</v>
      </c>
      <c r="B112" s="209" t="s">
        <v>913</v>
      </c>
      <c r="C112" s="221" t="s">
        <v>773</v>
      </c>
      <c r="D112" s="209" t="s">
        <v>765</v>
      </c>
      <c r="E112" s="621" t="s">
        <v>914</v>
      </c>
      <c r="F112" s="273" t="s">
        <v>768</v>
      </c>
    </row>
    <row r="113" spans="1:6" x14ac:dyDescent="0.25">
      <c r="B113" s="204" t="s">
        <v>535</v>
      </c>
    </row>
    <row r="115" spans="1:6" x14ac:dyDescent="0.25">
      <c r="B115" s="210" t="s">
        <v>108</v>
      </c>
    </row>
    <row r="116" spans="1:6" x14ac:dyDescent="0.25">
      <c r="B116" s="210"/>
    </row>
    <row r="117" spans="1:6" x14ac:dyDescent="0.25">
      <c r="B117" s="211" t="s">
        <v>98</v>
      </c>
    </row>
    <row r="119" spans="1:6" x14ac:dyDescent="0.25">
      <c r="B119" s="219" t="s">
        <v>536</v>
      </c>
    </row>
    <row r="120" spans="1:6" x14ac:dyDescent="0.25">
      <c r="B120" s="219"/>
    </row>
    <row r="121" spans="1:6" x14ac:dyDescent="0.25">
      <c r="B121" s="219" t="s">
        <v>666</v>
      </c>
    </row>
    <row r="123" spans="1:6" x14ac:dyDescent="0.25">
      <c r="A123" s="206" t="s">
        <v>2</v>
      </c>
      <c r="B123" s="214" t="s">
        <v>65</v>
      </c>
      <c r="C123" s="205">
        <v>21</v>
      </c>
      <c r="D123" s="206" t="s">
        <v>513</v>
      </c>
      <c r="E123" s="259">
        <f>E42</f>
        <v>95000</v>
      </c>
      <c r="F123" s="207">
        <f>C123*E123</f>
        <v>1995000</v>
      </c>
    </row>
    <row r="125" spans="1:6" x14ac:dyDescent="0.25">
      <c r="A125" s="206" t="s">
        <v>4</v>
      </c>
      <c r="B125" s="214" t="s">
        <v>537</v>
      </c>
      <c r="C125" s="205">
        <v>39</v>
      </c>
      <c r="D125" s="206" t="s">
        <v>513</v>
      </c>
      <c r="E125" s="259">
        <f>E123</f>
        <v>95000</v>
      </c>
      <c r="F125" s="207">
        <f>C125*E125</f>
        <v>3705000</v>
      </c>
    </row>
    <row r="127" spans="1:6" x14ac:dyDescent="0.25">
      <c r="A127" s="206" t="s">
        <v>5</v>
      </c>
      <c r="B127" s="214" t="s">
        <v>669</v>
      </c>
      <c r="D127" s="206" t="s">
        <v>513</v>
      </c>
      <c r="E127" s="259">
        <f>E125</f>
        <v>95000</v>
      </c>
      <c r="F127" s="207">
        <f>C127*E127</f>
        <v>0</v>
      </c>
    </row>
    <row r="129" spans="1:6" ht="24.75" customHeight="1" x14ac:dyDescent="0.25">
      <c r="B129" s="211" t="s">
        <v>102</v>
      </c>
    </row>
    <row r="131" spans="1:6" ht="30" x14ac:dyDescent="0.25">
      <c r="B131" s="224" t="s">
        <v>926</v>
      </c>
    </row>
    <row r="132" spans="1:6" x14ac:dyDescent="0.25">
      <c r="B132" s="224"/>
    </row>
    <row r="133" spans="1:6" x14ac:dyDescent="0.25">
      <c r="A133" s="206" t="s">
        <v>6</v>
      </c>
      <c r="B133" s="214" t="s">
        <v>671</v>
      </c>
      <c r="D133" s="206" t="s">
        <v>75</v>
      </c>
      <c r="E133" s="259">
        <f>E49</f>
        <v>1450</v>
      </c>
      <c r="F133" s="207">
        <f>C133*E133</f>
        <v>0</v>
      </c>
    </row>
    <row r="135" spans="1:6" x14ac:dyDescent="0.25">
      <c r="A135" s="206" t="s">
        <v>7</v>
      </c>
      <c r="B135" s="214" t="s">
        <v>538</v>
      </c>
      <c r="C135" s="205">
        <v>6537</v>
      </c>
      <c r="D135" s="206" t="s">
        <v>75</v>
      </c>
      <c r="E135" s="259">
        <f>E133</f>
        <v>1450</v>
      </c>
      <c r="F135" s="207">
        <f>C135*E135</f>
        <v>9478650</v>
      </c>
    </row>
    <row r="137" spans="1:6" x14ac:dyDescent="0.25">
      <c r="A137" s="206" t="s">
        <v>8</v>
      </c>
      <c r="B137" s="214" t="s">
        <v>539</v>
      </c>
      <c r="C137" s="205">
        <v>6236</v>
      </c>
      <c r="D137" s="206" t="s">
        <v>75</v>
      </c>
      <c r="E137" s="259">
        <f>E135</f>
        <v>1450</v>
      </c>
      <c r="F137" s="207">
        <f>C137*E137</f>
        <v>9042200</v>
      </c>
    </row>
    <row r="139" spans="1:6" x14ac:dyDescent="0.25">
      <c r="A139" s="206" t="s">
        <v>9</v>
      </c>
      <c r="B139" s="214" t="s">
        <v>672</v>
      </c>
      <c r="C139" s="205">
        <v>0</v>
      </c>
      <c r="D139" s="206" t="s">
        <v>75</v>
      </c>
      <c r="E139" s="259">
        <f>E133</f>
        <v>1450</v>
      </c>
      <c r="F139" s="207">
        <f>C139*E139</f>
        <v>0</v>
      </c>
    </row>
    <row r="141" spans="1:6" x14ac:dyDescent="0.25">
      <c r="A141" s="206" t="s">
        <v>10</v>
      </c>
      <c r="B141" s="214" t="s">
        <v>523</v>
      </c>
      <c r="C141" s="205">
        <v>3954</v>
      </c>
      <c r="D141" s="206" t="s">
        <v>75</v>
      </c>
      <c r="E141" s="259">
        <f>E137</f>
        <v>1450</v>
      </c>
      <c r="F141" s="207">
        <f>C141*E141</f>
        <v>5733300</v>
      </c>
    </row>
    <row r="143" spans="1:6" x14ac:dyDescent="0.25">
      <c r="B143" s="211" t="s">
        <v>67</v>
      </c>
    </row>
    <row r="145" spans="1:6" x14ac:dyDescent="0.25">
      <c r="B145" s="219" t="s">
        <v>120</v>
      </c>
    </row>
    <row r="147" spans="1:6" x14ac:dyDescent="0.25">
      <c r="A147" s="206" t="s">
        <v>11</v>
      </c>
      <c r="B147" s="214" t="s">
        <v>540</v>
      </c>
      <c r="C147" s="205">
        <v>341</v>
      </c>
      <c r="D147" s="206" t="s">
        <v>511</v>
      </c>
      <c r="E147" s="259">
        <f>E66</f>
        <v>8500</v>
      </c>
      <c r="F147" s="207">
        <f>C147*E147</f>
        <v>2898500</v>
      </c>
    </row>
    <row r="149" spans="1:6" x14ac:dyDescent="0.25">
      <c r="A149" s="206" t="s">
        <v>12</v>
      </c>
      <c r="B149" s="214" t="s">
        <v>541</v>
      </c>
      <c r="C149" s="205">
        <v>472</v>
      </c>
      <c r="D149" s="206" t="s">
        <v>511</v>
      </c>
      <c r="E149" s="259">
        <f>E147</f>
        <v>8500</v>
      </c>
      <c r="F149" s="207">
        <f>C149*E149</f>
        <v>4012000</v>
      </c>
    </row>
    <row r="155" spans="1:6" x14ac:dyDescent="0.25">
      <c r="B155" s="210" t="s">
        <v>108</v>
      </c>
    </row>
    <row r="156" spans="1:6" x14ac:dyDescent="0.25">
      <c r="B156" s="220" t="s">
        <v>542</v>
      </c>
      <c r="E156" s="621" t="s">
        <v>15</v>
      </c>
      <c r="F156" s="285">
        <f>SUM(F115:F155)</f>
        <v>36864650</v>
      </c>
    </row>
    <row r="157" spans="1:6" x14ac:dyDescent="0.25">
      <c r="A157" s="209" t="s">
        <v>796</v>
      </c>
      <c r="B157" s="209" t="s">
        <v>913</v>
      </c>
      <c r="C157" s="221" t="s">
        <v>773</v>
      </c>
      <c r="D157" s="209" t="s">
        <v>765</v>
      </c>
      <c r="E157" s="621" t="s">
        <v>914</v>
      </c>
      <c r="F157" s="273" t="s">
        <v>768</v>
      </c>
    </row>
    <row r="158" spans="1:6" x14ac:dyDescent="0.25">
      <c r="B158" s="204" t="s">
        <v>543</v>
      </c>
    </row>
    <row r="160" spans="1:6" x14ac:dyDescent="0.25">
      <c r="B160" s="210" t="s">
        <v>544</v>
      </c>
      <c r="F160" s="227"/>
    </row>
    <row r="161" spans="1:6" s="236" customFormat="1" x14ac:dyDescent="0.25">
      <c r="A161" s="206"/>
      <c r="B161" s="214"/>
      <c r="C161" s="205"/>
      <c r="D161" s="206"/>
      <c r="E161" s="259"/>
      <c r="F161" s="227"/>
    </row>
    <row r="162" spans="1:6" x14ac:dyDescent="0.25">
      <c r="B162" s="211" t="s">
        <v>98</v>
      </c>
    </row>
    <row r="163" spans="1:6" s="236" customFormat="1" x14ac:dyDescent="0.25">
      <c r="A163" s="206"/>
      <c r="B163" s="214"/>
      <c r="C163" s="205"/>
      <c r="D163" s="206"/>
      <c r="E163" s="259"/>
      <c r="F163" s="207"/>
    </row>
    <row r="164" spans="1:6" s="236" customFormat="1" x14ac:dyDescent="0.25">
      <c r="A164" s="206"/>
      <c r="B164" s="219" t="s">
        <v>536</v>
      </c>
      <c r="C164" s="205"/>
      <c r="D164" s="206"/>
      <c r="E164" s="259"/>
      <c r="F164" s="207"/>
    </row>
    <row r="165" spans="1:6" s="236" customFormat="1" x14ac:dyDescent="0.25">
      <c r="A165" s="206"/>
      <c r="B165" s="219"/>
      <c r="C165" s="205"/>
      <c r="D165" s="206"/>
      <c r="E165" s="259"/>
      <c r="F165" s="207"/>
    </row>
    <row r="166" spans="1:6" x14ac:dyDescent="0.25">
      <c r="B166" s="219" t="s">
        <v>666</v>
      </c>
    </row>
    <row r="168" spans="1:6" x14ac:dyDescent="0.25">
      <c r="A168" s="206" t="s">
        <v>2</v>
      </c>
      <c r="B168" s="214" t="s">
        <v>545</v>
      </c>
      <c r="C168" s="205">
        <v>110</v>
      </c>
      <c r="D168" s="206" t="s">
        <v>513</v>
      </c>
      <c r="E168" s="259">
        <f>E123</f>
        <v>95000</v>
      </c>
      <c r="F168" s="207">
        <f>C168*E168</f>
        <v>10450000</v>
      </c>
    </row>
    <row r="169" spans="1:6" ht="17.25" customHeight="1" x14ac:dyDescent="0.25"/>
    <row r="170" spans="1:6" x14ac:dyDescent="0.25">
      <c r="F170" s="230"/>
    </row>
    <row r="171" spans="1:6" x14ac:dyDescent="0.25">
      <c r="B171" s="211" t="s">
        <v>102</v>
      </c>
    </row>
    <row r="173" spans="1:6" ht="30" x14ac:dyDescent="0.25">
      <c r="B173" s="224" t="s">
        <v>674</v>
      </c>
    </row>
    <row r="174" spans="1:6" x14ac:dyDescent="0.25">
      <c r="B174" s="224"/>
    </row>
    <row r="175" spans="1:6" x14ac:dyDescent="0.25">
      <c r="A175" s="206" t="s">
        <v>4</v>
      </c>
      <c r="B175" s="214" t="s">
        <v>988</v>
      </c>
      <c r="C175" s="205">
        <f>C168*105</f>
        <v>11550</v>
      </c>
      <c r="D175" s="206" t="s">
        <v>75</v>
      </c>
      <c r="E175" s="259">
        <f>E133</f>
        <v>1450</v>
      </c>
      <c r="F175" s="207">
        <f>C175*E175</f>
        <v>16747500</v>
      </c>
    </row>
    <row r="177" spans="1:6" x14ac:dyDescent="0.25">
      <c r="B177" s="211" t="s">
        <v>67</v>
      </c>
    </row>
    <row r="179" spans="1:6" x14ac:dyDescent="0.25">
      <c r="B179" s="219" t="s">
        <v>120</v>
      </c>
      <c r="E179" s="621"/>
      <c r="F179" s="285"/>
    </row>
    <row r="180" spans="1:6" x14ac:dyDescent="0.25">
      <c r="E180" s="621"/>
      <c r="F180" s="285"/>
    </row>
    <row r="181" spans="1:6" x14ac:dyDescent="0.25">
      <c r="A181" s="206" t="s">
        <v>6</v>
      </c>
      <c r="B181" s="214" t="s">
        <v>546</v>
      </c>
      <c r="C181" s="205">
        <v>655</v>
      </c>
      <c r="D181" s="206" t="s">
        <v>511</v>
      </c>
      <c r="E181" s="259">
        <f>E147</f>
        <v>8500</v>
      </c>
      <c r="F181" s="207">
        <f>C181*E181</f>
        <v>5567500</v>
      </c>
    </row>
    <row r="183" spans="1:6" x14ac:dyDescent="0.25">
      <c r="A183" s="206" t="s">
        <v>7</v>
      </c>
      <c r="B183" s="214" t="s">
        <v>547</v>
      </c>
      <c r="C183" s="205">
        <v>178</v>
      </c>
      <c r="D183" s="206" t="s">
        <v>22</v>
      </c>
      <c r="E183" s="259">
        <f>E181*0.15</f>
        <v>1275</v>
      </c>
      <c r="F183" s="207">
        <f>C183*E183</f>
        <v>226950</v>
      </c>
    </row>
    <row r="184" spans="1:6" x14ac:dyDescent="0.25">
      <c r="A184" s="209"/>
      <c r="C184" s="221"/>
      <c r="D184" s="209"/>
      <c r="E184" s="621"/>
      <c r="F184" s="285"/>
    </row>
    <row r="186" spans="1:6" x14ac:dyDescent="0.25">
      <c r="A186" s="209"/>
      <c r="C186" s="221"/>
      <c r="D186" s="209"/>
      <c r="E186" s="621"/>
      <c r="F186" s="285"/>
    </row>
    <row r="187" spans="1:6" x14ac:dyDescent="0.25">
      <c r="A187" s="209"/>
      <c r="D187" s="209"/>
      <c r="E187" s="621"/>
      <c r="F187" s="285"/>
    </row>
    <row r="188" spans="1:6" x14ac:dyDescent="0.25">
      <c r="A188" s="209"/>
      <c r="C188" s="221"/>
      <c r="D188" s="209"/>
      <c r="E188" s="621"/>
      <c r="F188" s="285"/>
    </row>
    <row r="189" spans="1:6" x14ac:dyDescent="0.25">
      <c r="A189" s="209"/>
      <c r="C189" s="221"/>
      <c r="D189" s="209"/>
      <c r="E189" s="621"/>
      <c r="F189" s="285"/>
    </row>
    <row r="190" spans="1:6" x14ac:dyDescent="0.25">
      <c r="A190" s="209"/>
      <c r="C190" s="221"/>
      <c r="D190" s="209"/>
      <c r="E190" s="621"/>
      <c r="F190" s="285"/>
    </row>
    <row r="191" spans="1:6" x14ac:dyDescent="0.25">
      <c r="A191" s="209"/>
      <c r="C191" s="221"/>
      <c r="D191" s="209"/>
      <c r="E191" s="621"/>
      <c r="F191" s="285"/>
    </row>
    <row r="192" spans="1:6" x14ac:dyDescent="0.25">
      <c r="A192" s="209"/>
      <c r="C192" s="221"/>
      <c r="D192" s="209"/>
      <c r="E192" s="621"/>
      <c r="F192" s="285"/>
    </row>
    <row r="193" spans="1:6" x14ac:dyDescent="0.25">
      <c r="A193" s="209"/>
      <c r="C193" s="221"/>
      <c r="D193" s="209"/>
      <c r="E193" s="621"/>
      <c r="F193" s="285"/>
    </row>
    <row r="194" spans="1:6" x14ac:dyDescent="0.25">
      <c r="A194" s="209"/>
      <c r="C194" s="221"/>
      <c r="D194" s="209"/>
      <c r="E194" s="621"/>
      <c r="F194" s="285"/>
    </row>
    <row r="195" spans="1:6" x14ac:dyDescent="0.25">
      <c r="A195" s="209"/>
      <c r="C195" s="221"/>
      <c r="D195" s="209"/>
      <c r="E195" s="621"/>
      <c r="F195" s="285"/>
    </row>
    <row r="196" spans="1:6" x14ac:dyDescent="0.25">
      <c r="A196" s="209"/>
      <c r="C196" s="221"/>
      <c r="D196" s="209"/>
      <c r="E196" s="621"/>
      <c r="F196" s="285"/>
    </row>
    <row r="197" spans="1:6" x14ac:dyDescent="0.25">
      <c r="A197" s="209"/>
      <c r="C197" s="221"/>
      <c r="D197" s="209"/>
      <c r="E197" s="621"/>
      <c r="F197" s="285"/>
    </row>
    <row r="198" spans="1:6" x14ac:dyDescent="0.25">
      <c r="A198" s="209"/>
      <c r="C198" s="221"/>
      <c r="D198" s="209"/>
      <c r="E198" s="621"/>
      <c r="F198" s="285"/>
    </row>
    <row r="199" spans="1:6" x14ac:dyDescent="0.25">
      <c r="A199" s="209"/>
      <c r="C199" s="221"/>
      <c r="D199" s="209"/>
      <c r="E199" s="621"/>
      <c r="F199" s="285"/>
    </row>
    <row r="200" spans="1:6" x14ac:dyDescent="0.25">
      <c r="B200" s="210" t="s">
        <v>453</v>
      </c>
    </row>
    <row r="201" spans="1:6" x14ac:dyDescent="0.25">
      <c r="B201" s="220" t="s">
        <v>534</v>
      </c>
      <c r="E201" s="621" t="s">
        <v>15</v>
      </c>
      <c r="F201" s="285">
        <f>SUM(F160:F200)</f>
        <v>32991950</v>
      </c>
    </row>
    <row r="202" spans="1:6" x14ac:dyDescent="0.25">
      <c r="A202" s="209" t="s">
        <v>796</v>
      </c>
      <c r="B202" s="209" t="s">
        <v>913</v>
      </c>
      <c r="C202" s="221" t="s">
        <v>773</v>
      </c>
      <c r="D202" s="209" t="s">
        <v>765</v>
      </c>
      <c r="E202" s="621" t="s">
        <v>914</v>
      </c>
      <c r="F202" s="273" t="s">
        <v>768</v>
      </c>
    </row>
    <row r="203" spans="1:6" x14ac:dyDescent="0.25">
      <c r="B203" s="204" t="s">
        <v>548</v>
      </c>
      <c r="F203" s="230"/>
    </row>
    <row r="204" spans="1:6" x14ac:dyDescent="0.25">
      <c r="B204" s="206"/>
      <c r="F204" s="230"/>
    </row>
    <row r="205" spans="1:6" x14ac:dyDescent="0.25">
      <c r="B205" s="210" t="s">
        <v>549</v>
      </c>
      <c r="F205" s="230"/>
    </row>
    <row r="206" spans="1:6" ht="10.5" customHeight="1" x14ac:dyDescent="0.25">
      <c r="A206" s="237"/>
      <c r="B206" s="210"/>
      <c r="F206" s="230"/>
    </row>
    <row r="207" spans="1:6" x14ac:dyDescent="0.25">
      <c r="A207" s="237"/>
      <c r="B207" s="211" t="s">
        <v>98</v>
      </c>
      <c r="F207" s="230"/>
    </row>
    <row r="208" spans="1:6" x14ac:dyDescent="0.25">
      <c r="A208" s="237"/>
      <c r="F208" s="230"/>
    </row>
    <row r="209" spans="1:6" x14ac:dyDescent="0.25">
      <c r="B209" s="219" t="s">
        <v>536</v>
      </c>
      <c r="E209" s="259" t="s">
        <v>20</v>
      </c>
      <c r="F209" s="230"/>
    </row>
    <row r="210" spans="1:6" ht="11.25" customHeight="1" x14ac:dyDescent="0.25">
      <c r="A210" s="237"/>
      <c r="B210" s="219"/>
      <c r="F210" s="230"/>
    </row>
    <row r="211" spans="1:6" x14ac:dyDescent="0.25">
      <c r="A211" s="237"/>
      <c r="B211" s="219" t="s">
        <v>666</v>
      </c>
      <c r="F211" s="230"/>
    </row>
    <row r="212" spans="1:6" ht="9" customHeight="1" x14ac:dyDescent="0.25">
      <c r="A212" s="237"/>
      <c r="F212" s="230"/>
    </row>
    <row r="213" spans="1:6" x14ac:dyDescent="0.25">
      <c r="A213" s="206" t="s">
        <v>2</v>
      </c>
      <c r="B213" s="214" t="s">
        <v>550</v>
      </c>
      <c r="C213" s="205">
        <f>5*2</f>
        <v>10</v>
      </c>
      <c r="D213" s="206" t="s">
        <v>513</v>
      </c>
      <c r="E213" s="259">
        <f>E123</f>
        <v>95000</v>
      </c>
      <c r="F213" s="287">
        <f>C213*E213</f>
        <v>950000</v>
      </c>
    </row>
    <row r="214" spans="1:6" ht="10.5" customHeight="1" x14ac:dyDescent="0.25">
      <c r="F214" s="287"/>
    </row>
    <row r="215" spans="1:6" ht="12.75" customHeight="1" x14ac:dyDescent="0.25">
      <c r="A215" s="237"/>
      <c r="B215" s="211" t="s">
        <v>102</v>
      </c>
      <c r="F215" s="230"/>
    </row>
    <row r="216" spans="1:6" ht="9.75" customHeight="1" x14ac:dyDescent="0.25">
      <c r="F216" s="230"/>
    </row>
    <row r="217" spans="1:6" ht="30" x14ac:dyDescent="0.25">
      <c r="B217" s="224" t="s">
        <v>551</v>
      </c>
    </row>
    <row r="218" spans="1:6" ht="15.75" customHeight="1" x14ac:dyDescent="0.25">
      <c r="B218" s="224"/>
    </row>
    <row r="219" spans="1:6" ht="17.25" customHeight="1" x14ac:dyDescent="0.25">
      <c r="A219" s="206" t="s">
        <v>4</v>
      </c>
      <c r="B219" s="214" t="s">
        <v>672</v>
      </c>
      <c r="C219" s="205">
        <f>685*2</f>
        <v>1370</v>
      </c>
      <c r="D219" s="206" t="s">
        <v>75</v>
      </c>
      <c r="E219" s="259">
        <f>E175</f>
        <v>1450</v>
      </c>
      <c r="F219" s="207">
        <f>C219*E219</f>
        <v>1986500</v>
      </c>
    </row>
    <row r="220" spans="1:6" x14ac:dyDescent="0.25">
      <c r="B220" s="224"/>
    </row>
    <row r="221" spans="1:6" s="236" customFormat="1" x14ac:dyDescent="0.25">
      <c r="A221" s="238"/>
      <c r="B221" s="218"/>
      <c r="C221" s="239"/>
      <c r="D221" s="240"/>
      <c r="E221" s="624"/>
      <c r="F221" s="241"/>
    </row>
    <row r="222" spans="1:6" x14ac:dyDescent="0.25">
      <c r="A222" s="237"/>
      <c r="B222" s="211" t="s">
        <v>67</v>
      </c>
      <c r="F222" s="230"/>
    </row>
    <row r="223" spans="1:6" x14ac:dyDescent="0.25">
      <c r="F223" s="230"/>
    </row>
    <row r="224" spans="1:6" x14ac:dyDescent="0.25">
      <c r="B224" s="219" t="s">
        <v>120</v>
      </c>
      <c r="F224" s="230"/>
    </row>
    <row r="225" spans="1:6" x14ac:dyDescent="0.25">
      <c r="F225" s="230"/>
    </row>
    <row r="226" spans="1:6" x14ac:dyDescent="0.25">
      <c r="A226" s="206" t="s">
        <v>5</v>
      </c>
      <c r="B226" s="214" t="s">
        <v>552</v>
      </c>
      <c r="C226" s="205">
        <f>21*2</f>
        <v>42</v>
      </c>
      <c r="D226" s="206" t="s">
        <v>511</v>
      </c>
      <c r="E226" s="259">
        <f>E66</f>
        <v>8500</v>
      </c>
      <c r="F226" s="207">
        <f>C226*E226</f>
        <v>357000</v>
      </c>
    </row>
    <row r="227" spans="1:6" x14ac:dyDescent="0.25">
      <c r="F227" s="230"/>
    </row>
    <row r="228" spans="1:6" x14ac:dyDescent="0.25">
      <c r="A228" s="206" t="s">
        <v>6</v>
      </c>
      <c r="B228" s="214" t="s">
        <v>553</v>
      </c>
      <c r="C228" s="205">
        <f>5*2</f>
        <v>10</v>
      </c>
      <c r="D228" s="206" t="s">
        <v>511</v>
      </c>
      <c r="E228" s="259">
        <f>E226</f>
        <v>8500</v>
      </c>
      <c r="F228" s="207">
        <f>C228*E228</f>
        <v>85000</v>
      </c>
    </row>
    <row r="230" spans="1:6" x14ac:dyDescent="0.25">
      <c r="A230" s="206" t="s">
        <v>7</v>
      </c>
      <c r="B230" s="214" t="s">
        <v>554</v>
      </c>
      <c r="C230" s="205">
        <f>18*2</f>
        <v>36</v>
      </c>
      <c r="D230" s="206" t="s">
        <v>511</v>
      </c>
      <c r="E230" s="259">
        <f>E228</f>
        <v>8500</v>
      </c>
      <c r="F230" s="207">
        <f>C230*E230</f>
        <v>306000</v>
      </c>
    </row>
    <row r="231" spans="1:6" x14ac:dyDescent="0.25">
      <c r="F231" s="230"/>
    </row>
    <row r="232" spans="1:6" ht="30" x14ac:dyDescent="0.25">
      <c r="A232" s="206" t="s">
        <v>8</v>
      </c>
      <c r="B232" s="215" t="s">
        <v>555</v>
      </c>
      <c r="C232" s="205">
        <v>6</v>
      </c>
      <c r="D232" s="206" t="s">
        <v>511</v>
      </c>
      <c r="E232" s="259">
        <f>E228</f>
        <v>8500</v>
      </c>
      <c r="F232" s="207">
        <f>C232*E232</f>
        <v>51000</v>
      </c>
    </row>
    <row r="233" spans="1:6" x14ac:dyDescent="0.25">
      <c r="B233" s="215"/>
      <c r="F233" s="230"/>
    </row>
    <row r="234" spans="1:6" x14ac:dyDescent="0.25">
      <c r="A234" s="206" t="s">
        <v>9</v>
      </c>
      <c r="B234" s="214" t="s">
        <v>133</v>
      </c>
      <c r="C234" s="205">
        <v>66</v>
      </c>
      <c r="D234" s="206" t="s">
        <v>22</v>
      </c>
      <c r="E234" s="259">
        <f>E183</f>
        <v>1275</v>
      </c>
      <c r="F234" s="207">
        <f>C234*E234</f>
        <v>84150</v>
      </c>
    </row>
    <row r="236" spans="1:6" x14ac:dyDescent="0.25">
      <c r="A236" s="206" t="s">
        <v>10</v>
      </c>
      <c r="B236" s="214" t="s">
        <v>556</v>
      </c>
      <c r="C236" s="205">
        <v>16</v>
      </c>
      <c r="D236" s="206" t="s">
        <v>22</v>
      </c>
      <c r="E236" s="259">
        <f>E234</f>
        <v>1275</v>
      </c>
      <c r="F236" s="207">
        <f>C236*E236</f>
        <v>20400</v>
      </c>
    </row>
    <row r="247" spans="1:6" ht="19.5" customHeight="1" x14ac:dyDescent="0.25">
      <c r="B247" s="220" t="s">
        <v>520</v>
      </c>
      <c r="C247" s="221"/>
      <c r="D247" s="209"/>
      <c r="E247" s="621" t="s">
        <v>15</v>
      </c>
      <c r="F247" s="207">
        <f>SUM(F205:F246)</f>
        <v>3840050</v>
      </c>
    </row>
    <row r="248" spans="1:6" x14ac:dyDescent="0.25">
      <c r="A248" s="209" t="s">
        <v>796</v>
      </c>
      <c r="B248" s="209"/>
      <c r="C248" s="221" t="s">
        <v>773</v>
      </c>
      <c r="D248" s="209" t="s">
        <v>765</v>
      </c>
      <c r="E248" s="621" t="s">
        <v>914</v>
      </c>
      <c r="F248" s="273" t="s">
        <v>768</v>
      </c>
    </row>
    <row r="249" spans="1:6" x14ac:dyDescent="0.25">
      <c r="B249" s="210" t="s">
        <v>557</v>
      </c>
    </row>
    <row r="250" spans="1:6" x14ac:dyDescent="0.25">
      <c r="B250" s="210"/>
    </row>
    <row r="251" spans="1:6" x14ac:dyDescent="0.25">
      <c r="B251" s="211" t="s">
        <v>137</v>
      </c>
      <c r="F251" s="288"/>
    </row>
    <row r="252" spans="1:6" x14ac:dyDescent="0.25">
      <c r="F252" s="288"/>
    </row>
    <row r="253" spans="1:6" x14ac:dyDescent="0.25">
      <c r="B253" s="242" t="s">
        <v>702</v>
      </c>
      <c r="F253" s="230"/>
    </row>
    <row r="254" spans="1:6" x14ac:dyDescent="0.25">
      <c r="B254" s="211"/>
      <c r="F254" s="230"/>
    </row>
    <row r="255" spans="1:6" x14ac:dyDescent="0.25">
      <c r="A255" s="206" t="s">
        <v>2</v>
      </c>
      <c r="B255" s="233" t="s">
        <v>558</v>
      </c>
      <c r="C255" s="205">
        <v>14</v>
      </c>
      <c r="D255" s="206" t="s">
        <v>511</v>
      </c>
      <c r="E255" s="625">
        <v>23000</v>
      </c>
      <c r="F255" s="207">
        <f>C255*E255</f>
        <v>322000</v>
      </c>
    </row>
    <row r="256" spans="1:6" x14ac:dyDescent="0.25">
      <c r="B256" s="233"/>
      <c r="F256" s="230"/>
    </row>
    <row r="257" spans="1:6" x14ac:dyDescent="0.25">
      <c r="A257" s="206" t="s">
        <v>4</v>
      </c>
      <c r="B257" s="214" t="s">
        <v>139</v>
      </c>
      <c r="C257" s="205">
        <v>20</v>
      </c>
      <c r="D257" s="206" t="s">
        <v>22</v>
      </c>
      <c r="E257" s="625">
        <f>E255*0.3</f>
        <v>6900</v>
      </c>
      <c r="F257" s="207">
        <f>C257*E257</f>
        <v>138000</v>
      </c>
    </row>
    <row r="258" spans="1:6" x14ac:dyDescent="0.25">
      <c r="E258" s="625"/>
    </row>
    <row r="259" spans="1:6" x14ac:dyDescent="0.25">
      <c r="A259" s="206" t="s">
        <v>5</v>
      </c>
      <c r="B259" s="214" t="s">
        <v>140</v>
      </c>
      <c r="C259" s="205">
        <v>68</v>
      </c>
      <c r="D259" s="206" t="s">
        <v>22</v>
      </c>
      <c r="E259" s="625">
        <f>E255*0.15</f>
        <v>3450</v>
      </c>
      <c r="F259" s="207">
        <f>C259*E259</f>
        <v>234600</v>
      </c>
    </row>
    <row r="260" spans="1:6" x14ac:dyDescent="0.25">
      <c r="F260" s="230"/>
    </row>
    <row r="261" spans="1:6" s="223" customFormat="1" ht="15" customHeight="1" x14ac:dyDescent="0.25">
      <c r="A261" s="206" t="s">
        <v>6</v>
      </c>
      <c r="B261" s="218" t="s">
        <v>141</v>
      </c>
      <c r="C261" s="205">
        <f>18*2</f>
        <v>36</v>
      </c>
      <c r="D261" s="206" t="s">
        <v>22</v>
      </c>
      <c r="E261" s="625">
        <f>E255*0.08</f>
        <v>1840</v>
      </c>
      <c r="F261" s="207">
        <f>C261*E261</f>
        <v>66240</v>
      </c>
    </row>
    <row r="262" spans="1:6" s="223" customFormat="1" ht="15" customHeight="1" x14ac:dyDescent="0.25">
      <c r="A262" s="206"/>
      <c r="B262" s="218"/>
      <c r="C262" s="205"/>
      <c r="D262" s="206"/>
      <c r="E262" s="259"/>
      <c r="F262" s="207"/>
    </row>
    <row r="263" spans="1:6" ht="35.25" customHeight="1" x14ac:dyDescent="0.25">
      <c r="B263" s="242" t="s">
        <v>559</v>
      </c>
      <c r="C263" s="221"/>
      <c r="D263" s="209"/>
      <c r="E263" s="621"/>
      <c r="F263" s="286"/>
    </row>
    <row r="264" spans="1:6" x14ac:dyDescent="0.25">
      <c r="B264" s="220"/>
      <c r="C264" s="221"/>
      <c r="D264" s="209"/>
      <c r="E264" s="621"/>
      <c r="F264" s="286"/>
    </row>
    <row r="265" spans="1:6" x14ac:dyDescent="0.25">
      <c r="B265" s="219" t="s">
        <v>560</v>
      </c>
      <c r="F265" s="230"/>
    </row>
    <row r="266" spans="1:6" x14ac:dyDescent="0.25">
      <c r="B266" s="219"/>
      <c r="F266" s="230"/>
    </row>
    <row r="267" spans="1:6" x14ac:dyDescent="0.25">
      <c r="A267" s="206" t="s">
        <v>7</v>
      </c>
      <c r="B267" s="233" t="s">
        <v>561</v>
      </c>
      <c r="C267" s="205">
        <f>C255</f>
        <v>14</v>
      </c>
      <c r="D267" s="206" t="s">
        <v>511</v>
      </c>
      <c r="E267" s="259">
        <v>4500</v>
      </c>
      <c r="F267" s="207">
        <f>C267*E267</f>
        <v>63000</v>
      </c>
    </row>
    <row r="268" spans="1:6" x14ac:dyDescent="0.25">
      <c r="B268" s="219"/>
      <c r="F268" s="230"/>
    </row>
    <row r="269" spans="1:6" ht="15" x14ac:dyDescent="0.25">
      <c r="A269" s="206" t="s">
        <v>8</v>
      </c>
      <c r="B269" s="233" t="s">
        <v>145</v>
      </c>
      <c r="C269" s="205">
        <f>C259</f>
        <v>68</v>
      </c>
      <c r="D269" s="206" t="s">
        <v>22</v>
      </c>
      <c r="E269" s="259">
        <v>1500</v>
      </c>
      <c r="F269" s="212">
        <f>C269*E269</f>
        <v>102000</v>
      </c>
    </row>
    <row r="270" spans="1:6" x14ac:dyDescent="0.25">
      <c r="B270" s="233"/>
    </row>
    <row r="271" spans="1:6" ht="15" x14ac:dyDescent="0.25">
      <c r="A271" s="206" t="s">
        <v>9</v>
      </c>
      <c r="B271" s="233" t="s">
        <v>562</v>
      </c>
      <c r="C271" s="205">
        <f>C257</f>
        <v>20</v>
      </c>
      <c r="D271" s="206" t="s">
        <v>22</v>
      </c>
      <c r="E271" s="259">
        <v>2500</v>
      </c>
      <c r="F271" s="212">
        <f>C271*E271</f>
        <v>50000</v>
      </c>
    </row>
    <row r="272" spans="1:6" ht="15" x14ac:dyDescent="0.25">
      <c r="B272" s="233"/>
      <c r="F272" s="212"/>
    </row>
    <row r="273" spans="1:6" ht="15" x14ac:dyDescent="0.25">
      <c r="A273" s="206" t="s">
        <v>10</v>
      </c>
      <c r="B273" s="233" t="s">
        <v>146</v>
      </c>
      <c r="C273" s="205">
        <f>C261</f>
        <v>36</v>
      </c>
      <c r="D273" s="206" t="s">
        <v>22</v>
      </c>
      <c r="E273" s="259">
        <f>E267*0.15</f>
        <v>675</v>
      </c>
      <c r="F273" s="212">
        <f>C273*E273</f>
        <v>24300</v>
      </c>
    </row>
    <row r="274" spans="1:6" x14ac:dyDescent="0.25">
      <c r="F274" s="230"/>
    </row>
    <row r="275" spans="1:6" x14ac:dyDescent="0.25">
      <c r="B275" s="211" t="s">
        <v>147</v>
      </c>
      <c r="F275" s="230"/>
    </row>
    <row r="276" spans="1:6" x14ac:dyDescent="0.25">
      <c r="F276" s="230"/>
    </row>
    <row r="277" spans="1:6" ht="30" x14ac:dyDescent="0.25">
      <c r="B277" s="224" t="s">
        <v>563</v>
      </c>
      <c r="F277" s="230"/>
    </row>
    <row r="278" spans="1:6" x14ac:dyDescent="0.25">
      <c r="B278" s="224"/>
      <c r="F278" s="230"/>
    </row>
    <row r="279" spans="1:6" x14ac:dyDescent="0.25">
      <c r="A279" s="206" t="s">
        <v>11</v>
      </c>
      <c r="B279" s="233" t="s">
        <v>149</v>
      </c>
      <c r="C279" s="205">
        <f>C226</f>
        <v>42</v>
      </c>
      <c r="D279" s="206" t="s">
        <v>511</v>
      </c>
      <c r="E279" s="259">
        <v>3500</v>
      </c>
      <c r="F279" s="207">
        <f>C279*E279</f>
        <v>147000</v>
      </c>
    </row>
    <row r="280" spans="1:6" x14ac:dyDescent="0.25">
      <c r="B280" s="233"/>
    </row>
    <row r="281" spans="1:6" x14ac:dyDescent="0.25">
      <c r="A281" s="206" t="s">
        <v>12</v>
      </c>
      <c r="B281" s="214" t="s">
        <v>38</v>
      </c>
      <c r="C281" s="205">
        <f>C228</f>
        <v>10</v>
      </c>
      <c r="D281" s="206" t="s">
        <v>511</v>
      </c>
      <c r="E281" s="259">
        <f>E279</f>
        <v>3500</v>
      </c>
      <c r="F281" s="207">
        <f>C281*E281</f>
        <v>35000</v>
      </c>
    </row>
    <row r="283" spans="1:6" x14ac:dyDescent="0.25">
      <c r="A283" s="206" t="s">
        <v>13</v>
      </c>
      <c r="B283" s="214" t="s">
        <v>37</v>
      </c>
      <c r="C283" s="205">
        <f>C232</f>
        <v>6</v>
      </c>
      <c r="D283" s="206" t="s">
        <v>511</v>
      </c>
      <c r="E283" s="259">
        <f>E281</f>
        <v>3500</v>
      </c>
      <c r="F283" s="207">
        <f>C283*E283</f>
        <v>21000</v>
      </c>
    </row>
    <row r="284" spans="1:6" x14ac:dyDescent="0.25">
      <c r="F284" s="230"/>
    </row>
    <row r="285" spans="1:6" x14ac:dyDescent="0.25">
      <c r="F285" s="230"/>
    </row>
    <row r="286" spans="1:6" x14ac:dyDescent="0.25">
      <c r="F286" s="230"/>
    </row>
    <row r="287" spans="1:6" x14ac:dyDescent="0.25">
      <c r="F287" s="230"/>
    </row>
    <row r="288" spans="1:6" x14ac:dyDescent="0.25">
      <c r="F288" s="230"/>
    </row>
    <row r="289" spans="1:6" x14ac:dyDescent="0.25">
      <c r="F289" s="230"/>
    </row>
    <row r="290" spans="1:6" x14ac:dyDescent="0.25">
      <c r="F290" s="230"/>
    </row>
    <row r="291" spans="1:6" x14ac:dyDescent="0.25">
      <c r="F291" s="230"/>
    </row>
    <row r="292" spans="1:6" x14ac:dyDescent="0.25">
      <c r="B292" s="220" t="s">
        <v>520</v>
      </c>
      <c r="C292" s="221"/>
      <c r="D292" s="209"/>
      <c r="E292" s="621" t="s">
        <v>15</v>
      </c>
      <c r="F292" s="235">
        <f>SUM(F251:F291)</f>
        <v>1203140</v>
      </c>
    </row>
    <row r="293" spans="1:6" x14ac:dyDescent="0.25">
      <c r="A293" s="209" t="s">
        <v>796</v>
      </c>
      <c r="B293" s="209"/>
      <c r="C293" s="221" t="s">
        <v>773</v>
      </c>
      <c r="D293" s="209" t="s">
        <v>765</v>
      </c>
      <c r="E293" s="621" t="s">
        <v>914</v>
      </c>
      <c r="F293" s="273" t="s">
        <v>768</v>
      </c>
    </row>
    <row r="294" spans="1:6" x14ac:dyDescent="0.25">
      <c r="B294" s="210" t="s">
        <v>557</v>
      </c>
      <c r="F294" s="230"/>
    </row>
    <row r="295" spans="1:6" x14ac:dyDescent="0.25">
      <c r="F295" s="230"/>
    </row>
    <row r="296" spans="1:6" x14ac:dyDescent="0.25">
      <c r="B296" s="210" t="s">
        <v>564</v>
      </c>
      <c r="F296" s="230"/>
    </row>
    <row r="297" spans="1:6" x14ac:dyDescent="0.25">
      <c r="F297" s="230"/>
    </row>
    <row r="298" spans="1:6" ht="30" x14ac:dyDescent="0.25">
      <c r="B298" s="224" t="s">
        <v>565</v>
      </c>
      <c r="F298" s="230"/>
    </row>
    <row r="299" spans="1:6" x14ac:dyDescent="0.25">
      <c r="F299" s="230"/>
    </row>
    <row r="300" spans="1:6" x14ac:dyDescent="0.25">
      <c r="A300" s="206" t="s">
        <v>2</v>
      </c>
      <c r="B300" s="233" t="s">
        <v>149</v>
      </c>
      <c r="C300" s="205">
        <f>C279</f>
        <v>42</v>
      </c>
      <c r="D300" s="206" t="s">
        <v>511</v>
      </c>
      <c r="E300" s="259">
        <v>1400</v>
      </c>
      <c r="F300" s="207">
        <f>C300*E300</f>
        <v>58800</v>
      </c>
    </row>
    <row r="301" spans="1:6" x14ac:dyDescent="0.25">
      <c r="B301" s="233"/>
    </row>
    <row r="302" spans="1:6" x14ac:dyDescent="0.25">
      <c r="A302" s="206" t="s">
        <v>4</v>
      </c>
      <c r="B302" s="214" t="s">
        <v>38</v>
      </c>
      <c r="C302" s="205">
        <f>C281</f>
        <v>10</v>
      </c>
      <c r="D302" s="206" t="s">
        <v>511</v>
      </c>
      <c r="E302" s="259">
        <f>E300</f>
        <v>1400</v>
      </c>
      <c r="F302" s="207">
        <f>C302*E302</f>
        <v>14000</v>
      </c>
    </row>
    <row r="304" spans="1:6" x14ac:dyDescent="0.25">
      <c r="A304" s="206" t="s">
        <v>5</v>
      </c>
      <c r="B304" s="214" t="s">
        <v>37</v>
      </c>
      <c r="C304" s="205">
        <f>C283</f>
        <v>6</v>
      </c>
      <c r="D304" s="206" t="s">
        <v>511</v>
      </c>
      <c r="E304" s="259">
        <f>E302</f>
        <v>1400</v>
      </c>
      <c r="F304" s="207">
        <f>C304*E304</f>
        <v>8400</v>
      </c>
    </row>
    <row r="305" spans="1:6" x14ac:dyDescent="0.25">
      <c r="B305" s="233"/>
      <c r="F305" s="230"/>
    </row>
    <row r="306" spans="1:6" x14ac:dyDescent="0.25">
      <c r="B306" s="211" t="s">
        <v>152</v>
      </c>
      <c r="F306" s="230"/>
    </row>
    <row r="307" spans="1:6" x14ac:dyDescent="0.25">
      <c r="F307" s="230"/>
    </row>
    <row r="308" spans="1:6" ht="30" x14ac:dyDescent="0.25">
      <c r="B308" s="224" t="s">
        <v>675</v>
      </c>
      <c r="F308" s="230"/>
    </row>
    <row r="309" spans="1:6" x14ac:dyDescent="0.25">
      <c r="F309" s="230"/>
    </row>
    <row r="310" spans="1:6" x14ac:dyDescent="0.25">
      <c r="A310" s="206" t="s">
        <v>6</v>
      </c>
      <c r="B310" s="233" t="s">
        <v>149</v>
      </c>
      <c r="C310" s="205">
        <f>C300</f>
        <v>42</v>
      </c>
      <c r="D310" s="206" t="s">
        <v>511</v>
      </c>
      <c r="E310" s="259">
        <v>2200</v>
      </c>
      <c r="F310" s="207">
        <f>C310*E310</f>
        <v>92400</v>
      </c>
    </row>
    <row r="311" spans="1:6" x14ac:dyDescent="0.25">
      <c r="B311" s="233"/>
    </row>
    <row r="312" spans="1:6" x14ac:dyDescent="0.25">
      <c r="A312" s="206" t="s">
        <v>7</v>
      </c>
      <c r="B312" s="214" t="s">
        <v>38</v>
      </c>
      <c r="C312" s="205">
        <f>C302</f>
        <v>10</v>
      </c>
      <c r="D312" s="206" t="s">
        <v>511</v>
      </c>
      <c r="E312" s="259">
        <f>E310</f>
        <v>2200</v>
      </c>
      <c r="F312" s="207">
        <f>C312*E312</f>
        <v>22000</v>
      </c>
    </row>
    <row r="314" spans="1:6" x14ac:dyDescent="0.25">
      <c r="A314" s="206" t="s">
        <v>8</v>
      </c>
      <c r="B314" s="214" t="s">
        <v>37</v>
      </c>
      <c r="C314" s="205">
        <f>C304</f>
        <v>6</v>
      </c>
      <c r="D314" s="206" t="s">
        <v>511</v>
      </c>
      <c r="E314" s="259">
        <f>E312</f>
        <v>2200</v>
      </c>
      <c r="F314" s="207">
        <f>C314*E314</f>
        <v>13200</v>
      </c>
    </row>
    <row r="316" spans="1:6" x14ac:dyDescent="0.25">
      <c r="F316" s="230"/>
    </row>
    <row r="317" spans="1:6" x14ac:dyDescent="0.25">
      <c r="B317" s="220" t="s">
        <v>520</v>
      </c>
      <c r="E317" s="621" t="s">
        <v>15</v>
      </c>
      <c r="F317" s="222">
        <f>SUM(F297:F316)</f>
        <v>208800</v>
      </c>
    </row>
    <row r="319" spans="1:6" x14ac:dyDescent="0.25">
      <c r="B319" s="219" t="s">
        <v>531</v>
      </c>
      <c r="F319" s="230"/>
    </row>
    <row r="320" spans="1:6" x14ac:dyDescent="0.25">
      <c r="B320" s="231" t="s">
        <v>566</v>
      </c>
      <c r="E320" s="259">
        <f>F247</f>
        <v>3840050</v>
      </c>
      <c r="F320" s="230"/>
    </row>
    <row r="321" spans="2:6" x14ac:dyDescent="0.25">
      <c r="B321" s="243"/>
      <c r="F321" s="230"/>
    </row>
    <row r="322" spans="2:6" x14ac:dyDescent="0.25">
      <c r="B322" s="231" t="s">
        <v>567</v>
      </c>
      <c r="E322" s="259">
        <f>F292</f>
        <v>1203140</v>
      </c>
      <c r="F322" s="230"/>
    </row>
    <row r="323" spans="2:6" x14ac:dyDescent="0.25">
      <c r="B323" s="244"/>
      <c r="F323" s="230"/>
    </row>
    <row r="324" spans="2:6" x14ac:dyDescent="0.25">
      <c r="B324" s="231" t="s">
        <v>568</v>
      </c>
      <c r="E324" s="259">
        <f>F317</f>
        <v>208800</v>
      </c>
      <c r="F324" s="230"/>
    </row>
    <row r="325" spans="2:6" x14ac:dyDescent="0.25">
      <c r="B325" s="231"/>
      <c r="F325" s="230"/>
    </row>
    <row r="326" spans="2:6" x14ac:dyDescent="0.25">
      <c r="B326" s="231"/>
      <c r="F326" s="230"/>
    </row>
    <row r="327" spans="2:6" x14ac:dyDescent="0.25">
      <c r="B327" s="231"/>
      <c r="F327" s="230"/>
    </row>
    <row r="328" spans="2:6" x14ac:dyDescent="0.25">
      <c r="B328" s="231"/>
      <c r="F328" s="230"/>
    </row>
    <row r="329" spans="2:6" x14ac:dyDescent="0.25">
      <c r="B329" s="231"/>
      <c r="F329" s="230"/>
    </row>
    <row r="330" spans="2:6" x14ac:dyDescent="0.25">
      <c r="B330" s="231"/>
      <c r="F330" s="230"/>
    </row>
    <row r="331" spans="2:6" x14ac:dyDescent="0.25">
      <c r="B331" s="231"/>
      <c r="F331" s="230"/>
    </row>
    <row r="332" spans="2:6" x14ac:dyDescent="0.25">
      <c r="B332" s="231"/>
      <c r="F332" s="230"/>
    </row>
    <row r="333" spans="2:6" x14ac:dyDescent="0.25">
      <c r="B333" s="231"/>
      <c r="F333" s="230"/>
    </row>
    <row r="334" spans="2:6" x14ac:dyDescent="0.25">
      <c r="B334" s="231"/>
      <c r="F334" s="230"/>
    </row>
    <row r="335" spans="2:6" x14ac:dyDescent="0.25">
      <c r="B335" s="231"/>
      <c r="F335" s="230"/>
    </row>
    <row r="336" spans="2:6" x14ac:dyDescent="0.25">
      <c r="B336" s="210" t="s">
        <v>125</v>
      </c>
      <c r="F336" s="230"/>
    </row>
    <row r="337" spans="1:6" x14ac:dyDescent="0.25">
      <c r="B337" s="220" t="s">
        <v>534</v>
      </c>
      <c r="E337" s="621" t="s">
        <v>15</v>
      </c>
      <c r="F337" s="286">
        <f>SUM(E319:E326)</f>
        <v>5251990</v>
      </c>
    </row>
    <row r="338" spans="1:6" x14ac:dyDescent="0.25">
      <c r="A338" s="209" t="s">
        <v>796</v>
      </c>
      <c r="B338" s="209"/>
      <c r="C338" s="221" t="s">
        <v>773</v>
      </c>
      <c r="D338" s="209" t="s">
        <v>765</v>
      </c>
      <c r="E338" s="621" t="s">
        <v>914</v>
      </c>
      <c r="F338" s="273" t="s">
        <v>768</v>
      </c>
    </row>
    <row r="339" spans="1:6" x14ac:dyDescent="0.25">
      <c r="B339" s="210"/>
      <c r="F339" s="230"/>
    </row>
    <row r="340" spans="1:6" x14ac:dyDescent="0.25">
      <c r="B340" s="204" t="s">
        <v>569</v>
      </c>
      <c r="F340" s="230"/>
    </row>
    <row r="341" spans="1:6" x14ac:dyDescent="0.25">
      <c r="F341" s="230"/>
    </row>
    <row r="342" spans="1:6" x14ac:dyDescent="0.25">
      <c r="B342" s="210" t="s">
        <v>163</v>
      </c>
      <c r="F342" s="230"/>
    </row>
    <row r="343" spans="1:6" x14ac:dyDescent="0.25">
      <c r="F343" s="230"/>
    </row>
    <row r="344" spans="1:6" x14ac:dyDescent="0.25">
      <c r="B344" s="211" t="s">
        <v>98</v>
      </c>
      <c r="F344" s="230"/>
    </row>
    <row r="345" spans="1:6" x14ac:dyDescent="0.25">
      <c r="F345" s="230"/>
    </row>
    <row r="346" spans="1:6" x14ac:dyDescent="0.25">
      <c r="B346" s="219" t="s">
        <v>536</v>
      </c>
      <c r="F346" s="230"/>
    </row>
    <row r="347" spans="1:6" x14ac:dyDescent="0.25">
      <c r="B347" s="219"/>
      <c r="F347" s="230"/>
    </row>
    <row r="348" spans="1:6" x14ac:dyDescent="0.25">
      <c r="B348" s="219" t="s">
        <v>666</v>
      </c>
      <c r="F348" s="230"/>
    </row>
    <row r="349" spans="1:6" x14ac:dyDescent="0.25">
      <c r="F349" s="230"/>
    </row>
    <row r="350" spans="1:6" x14ac:dyDescent="0.25">
      <c r="A350" s="206" t="s">
        <v>2</v>
      </c>
      <c r="B350" s="214" t="s">
        <v>537</v>
      </c>
      <c r="C350" s="205">
        <v>31</v>
      </c>
      <c r="D350" s="206" t="s">
        <v>513</v>
      </c>
      <c r="E350" s="259">
        <f>E123</f>
        <v>95000</v>
      </c>
      <c r="F350" s="230">
        <f>C350*E350</f>
        <v>2945000</v>
      </c>
    </row>
    <row r="351" spans="1:6" x14ac:dyDescent="0.25">
      <c r="F351" s="230"/>
    </row>
    <row r="352" spans="1:6" x14ac:dyDescent="0.25">
      <c r="A352" s="206" t="s">
        <v>4</v>
      </c>
      <c r="B352" s="214" t="s">
        <v>1034</v>
      </c>
      <c r="C352" s="205">
        <v>8</v>
      </c>
      <c r="D352" s="206" t="s">
        <v>513</v>
      </c>
      <c r="E352" s="259">
        <f>E125</f>
        <v>95000</v>
      </c>
      <c r="F352" s="230">
        <f>C352*E352</f>
        <v>760000</v>
      </c>
    </row>
    <row r="353" spans="1:6" x14ac:dyDescent="0.25">
      <c r="F353" s="230"/>
    </row>
    <row r="354" spans="1:6" x14ac:dyDescent="0.25">
      <c r="A354" s="237"/>
      <c r="B354" s="211" t="s">
        <v>102</v>
      </c>
      <c r="F354" s="230"/>
    </row>
    <row r="355" spans="1:6" x14ac:dyDescent="0.25">
      <c r="B355" s="219"/>
      <c r="F355" s="230"/>
    </row>
    <row r="356" spans="1:6" ht="30" x14ac:dyDescent="0.25">
      <c r="B356" s="224" t="s">
        <v>570</v>
      </c>
      <c r="F356" s="230"/>
    </row>
    <row r="357" spans="1:6" x14ac:dyDescent="0.25">
      <c r="B357" s="218"/>
      <c r="C357" s="239"/>
      <c r="D357" s="240"/>
      <c r="E357" s="624"/>
      <c r="F357" s="245"/>
    </row>
    <row r="358" spans="1:6" x14ac:dyDescent="0.25">
      <c r="A358" s="206" t="s">
        <v>5</v>
      </c>
      <c r="B358" s="214" t="s">
        <v>927</v>
      </c>
      <c r="D358" s="206" t="s">
        <v>75</v>
      </c>
      <c r="E358" s="259">
        <f>E362</f>
        <v>1450</v>
      </c>
      <c r="F358" s="287">
        <f>C358*E358</f>
        <v>0</v>
      </c>
    </row>
    <row r="359" spans="1:6" x14ac:dyDescent="0.25">
      <c r="B359" s="218"/>
      <c r="C359" s="239"/>
      <c r="D359" s="240"/>
      <c r="E359" s="624"/>
      <c r="F359" s="245"/>
    </row>
    <row r="360" spans="1:6" x14ac:dyDescent="0.25">
      <c r="A360" s="206" t="s">
        <v>6</v>
      </c>
      <c r="B360" s="214" t="s">
        <v>928</v>
      </c>
      <c r="D360" s="206" t="s">
        <v>75</v>
      </c>
      <c r="E360" s="259">
        <f>E358</f>
        <v>1450</v>
      </c>
      <c r="F360" s="287">
        <f>C360*E360</f>
        <v>0</v>
      </c>
    </row>
    <row r="361" spans="1:6" x14ac:dyDescent="0.25">
      <c r="B361" s="218"/>
      <c r="C361" s="239"/>
      <c r="D361" s="240"/>
      <c r="E361" s="624"/>
      <c r="F361" s="245"/>
    </row>
    <row r="362" spans="1:6" x14ac:dyDescent="0.25">
      <c r="A362" s="206" t="s">
        <v>7</v>
      </c>
      <c r="B362" s="214" t="s">
        <v>806</v>
      </c>
      <c r="C362" s="205">
        <v>1970</v>
      </c>
      <c r="D362" s="206" t="s">
        <v>75</v>
      </c>
      <c r="E362" s="259">
        <f>E219</f>
        <v>1450</v>
      </c>
      <c r="F362" s="287">
        <f>C362*E362</f>
        <v>2856500</v>
      </c>
    </row>
    <row r="363" spans="1:6" x14ac:dyDescent="0.25">
      <c r="A363" s="238"/>
      <c r="F363" s="287"/>
    </row>
    <row r="364" spans="1:6" x14ac:dyDescent="0.25">
      <c r="A364" s="206" t="s">
        <v>8</v>
      </c>
      <c r="B364" s="214" t="s">
        <v>571</v>
      </c>
      <c r="C364" s="205">
        <v>231</v>
      </c>
      <c r="D364" s="206" t="s">
        <v>75</v>
      </c>
      <c r="E364" s="259">
        <f>E362</f>
        <v>1450</v>
      </c>
      <c r="F364" s="287">
        <f>C364*E364</f>
        <v>334950</v>
      </c>
    </row>
    <row r="365" spans="1:6" x14ac:dyDescent="0.25">
      <c r="F365" s="287"/>
    </row>
    <row r="366" spans="1:6" x14ac:dyDescent="0.25">
      <c r="A366" s="206" t="s">
        <v>9</v>
      </c>
      <c r="B366" s="214" t="s">
        <v>804</v>
      </c>
      <c r="C366" s="205">
        <v>1404</v>
      </c>
      <c r="D366" s="206" t="s">
        <v>75</v>
      </c>
      <c r="E366" s="259">
        <f>E364</f>
        <v>1450</v>
      </c>
      <c r="F366" s="287">
        <f>C366*E366</f>
        <v>2035800</v>
      </c>
    </row>
    <row r="367" spans="1:6" x14ac:dyDescent="0.25">
      <c r="B367" s="211" t="s">
        <v>67</v>
      </c>
      <c r="F367" s="230"/>
    </row>
    <row r="368" spans="1:6" x14ac:dyDescent="0.25">
      <c r="F368" s="230"/>
    </row>
    <row r="369" spans="1:6" x14ac:dyDescent="0.25">
      <c r="B369" s="219" t="s">
        <v>120</v>
      </c>
      <c r="F369" s="230"/>
    </row>
    <row r="370" spans="1:6" x14ac:dyDescent="0.25">
      <c r="F370" s="230"/>
    </row>
    <row r="371" spans="1:6" x14ac:dyDescent="0.25">
      <c r="A371" s="206" t="s">
        <v>10</v>
      </c>
      <c r="B371" s="214" t="s">
        <v>572</v>
      </c>
      <c r="C371" s="205">
        <v>207</v>
      </c>
      <c r="D371" s="206" t="s">
        <v>511</v>
      </c>
      <c r="E371" s="259">
        <f>E181</f>
        <v>8500</v>
      </c>
      <c r="F371" s="230">
        <f>C371*E371</f>
        <v>1759500</v>
      </c>
    </row>
    <row r="372" spans="1:6" x14ac:dyDescent="0.25">
      <c r="F372" s="230"/>
    </row>
    <row r="373" spans="1:6" x14ac:dyDescent="0.25">
      <c r="A373" s="206" t="s">
        <v>11</v>
      </c>
      <c r="B373" s="214" t="s">
        <v>1033</v>
      </c>
      <c r="C373" s="205">
        <v>58</v>
      </c>
      <c r="D373" s="206" t="s">
        <v>511</v>
      </c>
      <c r="E373" s="259">
        <f>E183</f>
        <v>1275</v>
      </c>
      <c r="F373" s="230">
        <f>C373*E373</f>
        <v>73950</v>
      </c>
    </row>
    <row r="374" spans="1:6" x14ac:dyDescent="0.25">
      <c r="F374" s="230"/>
    </row>
    <row r="375" spans="1:6" x14ac:dyDescent="0.25">
      <c r="F375" s="230"/>
    </row>
    <row r="376" spans="1:6" x14ac:dyDescent="0.25">
      <c r="F376" s="230"/>
    </row>
    <row r="377" spans="1:6" x14ac:dyDescent="0.25">
      <c r="F377" s="230"/>
    </row>
    <row r="378" spans="1:6" x14ac:dyDescent="0.25">
      <c r="F378" s="230"/>
    </row>
    <row r="379" spans="1:6" x14ac:dyDescent="0.25">
      <c r="F379" s="230"/>
    </row>
    <row r="380" spans="1:6" x14ac:dyDescent="0.25">
      <c r="F380" s="230"/>
    </row>
    <row r="381" spans="1:6" x14ac:dyDescent="0.25">
      <c r="F381" s="230"/>
    </row>
    <row r="382" spans="1:6" x14ac:dyDescent="0.25">
      <c r="F382" s="230"/>
    </row>
    <row r="383" spans="1:6" x14ac:dyDescent="0.25">
      <c r="B383" s="220" t="s">
        <v>520</v>
      </c>
      <c r="C383" s="221"/>
      <c r="D383" s="209"/>
      <c r="E383" s="621" t="s">
        <v>15</v>
      </c>
      <c r="F383" s="235">
        <f>SUM(F343:F375)</f>
        <v>10765700</v>
      </c>
    </row>
    <row r="384" spans="1:6" x14ac:dyDescent="0.25">
      <c r="A384" s="209" t="s">
        <v>796</v>
      </c>
      <c r="B384" s="209"/>
      <c r="C384" s="221" t="s">
        <v>773</v>
      </c>
      <c r="D384" s="209" t="s">
        <v>765</v>
      </c>
      <c r="E384" s="621" t="s">
        <v>914</v>
      </c>
      <c r="F384" s="273" t="s">
        <v>768</v>
      </c>
    </row>
    <row r="385" spans="1:7" x14ac:dyDescent="0.25">
      <c r="B385" s="210" t="s">
        <v>573</v>
      </c>
      <c r="F385" s="230"/>
    </row>
    <row r="386" spans="1:7" ht="8.4499999999999993" customHeight="1" x14ac:dyDescent="0.25">
      <c r="F386" s="230"/>
    </row>
    <row r="387" spans="1:7" ht="49.5" x14ac:dyDescent="0.25">
      <c r="B387" s="242" t="s">
        <v>909</v>
      </c>
    </row>
    <row r="388" spans="1:7" x14ac:dyDescent="0.25">
      <c r="B388" s="233"/>
      <c r="G388" s="223"/>
    </row>
    <row r="389" spans="1:7" x14ac:dyDescent="0.25">
      <c r="A389" s="206" t="s">
        <v>2</v>
      </c>
      <c r="B389" s="246" t="s">
        <v>575</v>
      </c>
      <c r="C389" s="205">
        <v>453</v>
      </c>
      <c r="D389" s="206" t="s">
        <v>511</v>
      </c>
      <c r="E389" s="259">
        <v>10100</v>
      </c>
      <c r="F389" s="289">
        <f>E389*C389</f>
        <v>4575300</v>
      </c>
      <c r="G389" s="223"/>
    </row>
    <row r="390" spans="1:7" ht="10.9" customHeight="1" x14ac:dyDescent="0.25">
      <c r="B390" s="246"/>
      <c r="F390" s="289"/>
    </row>
    <row r="391" spans="1:7" x14ac:dyDescent="0.25">
      <c r="F391" s="289"/>
    </row>
    <row r="392" spans="1:7" x14ac:dyDescent="0.25">
      <c r="B392" s="211" t="s">
        <v>577</v>
      </c>
    </row>
    <row r="393" spans="1:7" ht="12.6" customHeight="1" x14ac:dyDescent="0.25"/>
    <row r="394" spans="1:7" ht="14.25" customHeight="1" x14ac:dyDescent="0.25">
      <c r="B394" s="224" t="s">
        <v>187</v>
      </c>
    </row>
    <row r="396" spans="1:7" s="202" customFormat="1" ht="17.100000000000001" customHeight="1" x14ac:dyDescent="0.25">
      <c r="A396" s="197" t="s">
        <v>4</v>
      </c>
      <c r="B396" s="214" t="s">
        <v>578</v>
      </c>
      <c r="C396" s="247"/>
      <c r="D396" s="197" t="s">
        <v>579</v>
      </c>
      <c r="E396" s="249"/>
      <c r="F396" s="248"/>
    </row>
    <row r="398" spans="1:7" x14ac:dyDescent="0.25">
      <c r="A398" s="206" t="s">
        <v>5</v>
      </c>
      <c r="B398" s="214" t="s">
        <v>678</v>
      </c>
      <c r="C398" s="205">
        <v>121</v>
      </c>
      <c r="D398" s="206" t="s">
        <v>22</v>
      </c>
      <c r="E398" s="259">
        <v>800</v>
      </c>
      <c r="F398" s="289">
        <f>C398*E398</f>
        <v>96800</v>
      </c>
    </row>
    <row r="400" spans="1:7" x14ac:dyDescent="0.25">
      <c r="A400" s="206" t="s">
        <v>6</v>
      </c>
      <c r="B400" s="214" t="s">
        <v>580</v>
      </c>
      <c r="C400" s="205">
        <v>304</v>
      </c>
      <c r="D400" s="206" t="s">
        <v>22</v>
      </c>
      <c r="E400" s="259">
        <v>800</v>
      </c>
      <c r="F400" s="289">
        <f>C400*E400</f>
        <v>243200</v>
      </c>
    </row>
    <row r="401" spans="1:6" ht="12.75" customHeight="1" x14ac:dyDescent="0.25">
      <c r="F401" s="289"/>
    </row>
    <row r="402" spans="1:6" x14ac:dyDescent="0.25">
      <c r="A402" s="206" t="s">
        <v>7</v>
      </c>
      <c r="B402" s="214" t="s">
        <v>188</v>
      </c>
      <c r="C402" s="205">
        <v>199</v>
      </c>
      <c r="D402" s="206" t="s">
        <v>22</v>
      </c>
      <c r="E402" s="259">
        <f>E400</f>
        <v>800</v>
      </c>
      <c r="F402" s="289">
        <f>C402*E402</f>
        <v>159200</v>
      </c>
    </row>
    <row r="403" spans="1:6" ht="12.75" customHeight="1" x14ac:dyDescent="0.25"/>
    <row r="404" spans="1:6" x14ac:dyDescent="0.25">
      <c r="A404" s="206" t="s">
        <v>8</v>
      </c>
      <c r="B404" s="214" t="s">
        <v>581</v>
      </c>
      <c r="C404" s="205">
        <v>380</v>
      </c>
      <c r="D404" s="206" t="s">
        <v>22</v>
      </c>
      <c r="E404" s="259">
        <f>E402</f>
        <v>800</v>
      </c>
      <c r="F404" s="289">
        <f>C404*E404</f>
        <v>304000</v>
      </c>
    </row>
    <row r="405" spans="1:6" ht="12.75" customHeight="1" x14ac:dyDescent="0.25">
      <c r="F405" s="289"/>
    </row>
    <row r="406" spans="1:6" x14ac:dyDescent="0.25">
      <c r="A406" s="206" t="s">
        <v>9</v>
      </c>
      <c r="B406" s="214" t="s">
        <v>191</v>
      </c>
      <c r="C406" s="205">
        <v>411</v>
      </c>
      <c r="D406" s="206" t="s">
        <v>22</v>
      </c>
      <c r="E406" s="259">
        <v>550</v>
      </c>
      <c r="F406" s="289">
        <f>C406*E406</f>
        <v>226050</v>
      </c>
    </row>
    <row r="407" spans="1:6" ht="12.6" customHeight="1" x14ac:dyDescent="0.25">
      <c r="F407" s="289"/>
    </row>
    <row r="408" spans="1:6" x14ac:dyDescent="0.25">
      <c r="B408" s="211" t="s">
        <v>84</v>
      </c>
      <c r="C408" s="221"/>
      <c r="D408" s="209"/>
      <c r="E408" s="621"/>
      <c r="F408" s="286"/>
    </row>
    <row r="409" spans="1:6" x14ac:dyDescent="0.25">
      <c r="B409" s="226"/>
      <c r="C409" s="221"/>
      <c r="D409" s="209"/>
      <c r="E409" s="621"/>
      <c r="F409" s="286"/>
    </row>
    <row r="410" spans="1:6" ht="32.25" customHeight="1" x14ac:dyDescent="0.25">
      <c r="B410" s="224" t="s">
        <v>582</v>
      </c>
      <c r="C410" s="221"/>
      <c r="D410" s="209"/>
      <c r="E410" s="621"/>
      <c r="F410" s="286"/>
    </row>
    <row r="411" spans="1:6" x14ac:dyDescent="0.25">
      <c r="B411" s="224"/>
      <c r="C411" s="221"/>
      <c r="D411" s="209"/>
      <c r="E411" s="621"/>
      <c r="F411" s="286"/>
    </row>
    <row r="412" spans="1:6" x14ac:dyDescent="0.25">
      <c r="A412" s="206" t="s">
        <v>10</v>
      </c>
      <c r="B412" s="218" t="s">
        <v>680</v>
      </c>
      <c r="C412" s="205">
        <v>259</v>
      </c>
      <c r="D412" s="206" t="s">
        <v>511</v>
      </c>
      <c r="E412" s="259">
        <v>10300</v>
      </c>
      <c r="F412" s="207">
        <f>C412*E412</f>
        <v>2667700</v>
      </c>
    </row>
    <row r="414" spans="1:6" x14ac:dyDescent="0.25">
      <c r="B414" s="211" t="s">
        <v>147</v>
      </c>
      <c r="F414" s="230"/>
    </row>
    <row r="415" spans="1:6" ht="12.95" customHeight="1" x14ac:dyDescent="0.25">
      <c r="F415" s="230"/>
    </row>
    <row r="416" spans="1:6" ht="30" x14ac:dyDescent="0.25">
      <c r="B416" s="224" t="s">
        <v>583</v>
      </c>
      <c r="F416" s="230"/>
    </row>
    <row r="417" spans="1:6" ht="16.5" customHeight="1" x14ac:dyDescent="0.25">
      <c r="B417" s="224"/>
      <c r="F417" s="230"/>
    </row>
    <row r="418" spans="1:6" ht="19.5" customHeight="1" x14ac:dyDescent="0.25">
      <c r="A418" s="206" t="s">
        <v>11</v>
      </c>
      <c r="B418" s="233" t="s">
        <v>24</v>
      </c>
      <c r="C418" s="205">
        <f>C412*2</f>
        <v>518</v>
      </c>
      <c r="D418" s="206" t="s">
        <v>511</v>
      </c>
      <c r="E418" s="259">
        <f>E279</f>
        <v>3500</v>
      </c>
      <c r="F418" s="207">
        <f>C418*E418</f>
        <v>1813000</v>
      </c>
    </row>
    <row r="419" spans="1:6" x14ac:dyDescent="0.25">
      <c r="B419" s="233"/>
    </row>
    <row r="420" spans="1:6" x14ac:dyDescent="0.25">
      <c r="A420" s="206" t="s">
        <v>12</v>
      </c>
      <c r="B420" s="214" t="s">
        <v>1032</v>
      </c>
      <c r="C420" s="205">
        <v>42</v>
      </c>
      <c r="D420" s="206" t="s">
        <v>511</v>
      </c>
      <c r="E420" s="259">
        <f>E418</f>
        <v>3500</v>
      </c>
      <c r="F420" s="207">
        <f>C420*E420</f>
        <v>147000</v>
      </c>
    </row>
    <row r="421" spans="1:6" ht="14.25" customHeight="1" x14ac:dyDescent="0.25"/>
    <row r="422" spans="1:6" x14ac:dyDescent="0.25">
      <c r="B422" s="211" t="s">
        <v>585</v>
      </c>
    </row>
    <row r="424" spans="1:6" x14ac:dyDescent="0.25">
      <c r="B424" s="219" t="s">
        <v>560</v>
      </c>
      <c r="F424" s="230"/>
    </row>
    <row r="425" spans="1:6" x14ac:dyDescent="0.25">
      <c r="B425" s="219"/>
      <c r="F425" s="230"/>
    </row>
    <row r="426" spans="1:6" x14ac:dyDescent="0.25">
      <c r="A426" s="206" t="s">
        <v>13</v>
      </c>
      <c r="B426" s="233" t="s">
        <v>586</v>
      </c>
      <c r="C426" s="205">
        <v>26</v>
      </c>
      <c r="D426" s="206" t="s">
        <v>511</v>
      </c>
      <c r="E426" s="259">
        <v>3200</v>
      </c>
      <c r="F426" s="207">
        <f>C426*E426</f>
        <v>83200</v>
      </c>
    </row>
    <row r="427" spans="1:6" x14ac:dyDescent="0.25">
      <c r="B427" s="233"/>
    </row>
    <row r="428" spans="1:6" x14ac:dyDescent="0.25">
      <c r="B428" s="220" t="s">
        <v>520</v>
      </c>
      <c r="C428" s="221"/>
      <c r="D428" s="209"/>
      <c r="E428" s="621" t="s">
        <v>15</v>
      </c>
      <c r="F428" s="222">
        <f>SUM(F387:F427)</f>
        <v>10315450</v>
      </c>
    </row>
    <row r="429" spans="1:6" x14ac:dyDescent="0.25">
      <c r="A429" s="209" t="s">
        <v>796</v>
      </c>
      <c r="B429" s="209"/>
      <c r="C429" s="221" t="s">
        <v>773</v>
      </c>
      <c r="D429" s="209" t="s">
        <v>765</v>
      </c>
      <c r="E429" s="621" t="s">
        <v>914</v>
      </c>
      <c r="F429" s="273" t="s">
        <v>768</v>
      </c>
    </row>
    <row r="430" spans="1:6" x14ac:dyDescent="0.25">
      <c r="B430" s="210" t="s">
        <v>573</v>
      </c>
    </row>
    <row r="431" spans="1:6" x14ac:dyDescent="0.25">
      <c r="B431" s="233"/>
    </row>
    <row r="432" spans="1:6" x14ac:dyDescent="0.25">
      <c r="B432" s="210" t="s">
        <v>587</v>
      </c>
    </row>
    <row r="433" spans="1:6" x14ac:dyDescent="0.25">
      <c r="B433" s="219"/>
    </row>
    <row r="434" spans="1:6" x14ac:dyDescent="0.25">
      <c r="B434" s="252" t="s">
        <v>588</v>
      </c>
    </row>
    <row r="435" spans="1:6" x14ac:dyDescent="0.25">
      <c r="B435" s="244"/>
    </row>
    <row r="436" spans="1:6" x14ac:dyDescent="0.25">
      <c r="A436" s="206" t="s">
        <v>2</v>
      </c>
      <c r="B436" s="253" t="s">
        <v>589</v>
      </c>
      <c r="C436" s="205">
        <v>0</v>
      </c>
      <c r="D436" s="206" t="s">
        <v>511</v>
      </c>
      <c r="E436" s="259">
        <v>7100</v>
      </c>
      <c r="F436" s="207">
        <f>C436*E436</f>
        <v>0</v>
      </c>
    </row>
    <row r="437" spans="1:6" ht="14.25" customHeight="1" x14ac:dyDescent="0.25">
      <c r="B437" s="254"/>
    </row>
    <row r="438" spans="1:6" x14ac:dyDescent="0.25">
      <c r="A438" s="206" t="s">
        <v>4</v>
      </c>
      <c r="B438" s="233" t="s">
        <v>590</v>
      </c>
      <c r="C438" s="205">
        <v>0</v>
      </c>
      <c r="D438" s="206" t="s">
        <v>511</v>
      </c>
      <c r="E438" s="259">
        <f>E436</f>
        <v>7100</v>
      </c>
      <c r="F438" s="207">
        <f>C438*E438</f>
        <v>0</v>
      </c>
    </row>
    <row r="439" spans="1:6" ht="12" customHeight="1" x14ac:dyDescent="0.25">
      <c r="B439" s="233"/>
    </row>
    <row r="440" spans="1:6" x14ac:dyDescent="0.25">
      <c r="A440" s="206" t="s">
        <v>5</v>
      </c>
      <c r="B440" s="233" t="s">
        <v>591</v>
      </c>
      <c r="D440" s="206" t="s">
        <v>3</v>
      </c>
      <c r="E440" s="259">
        <v>24000</v>
      </c>
      <c r="F440" s="207">
        <f>C440*E440</f>
        <v>0</v>
      </c>
    </row>
    <row r="441" spans="1:6" x14ac:dyDescent="0.25">
      <c r="B441" s="233"/>
    </row>
    <row r="442" spans="1:6" s="269" customFormat="1" x14ac:dyDescent="0.25">
      <c r="A442" s="265"/>
      <c r="B442" s="266" t="s">
        <v>615</v>
      </c>
      <c r="C442" s="267"/>
      <c r="D442" s="265"/>
      <c r="E442" s="259"/>
      <c r="F442" s="268"/>
    </row>
    <row r="443" spans="1:6" s="269" customFormat="1" ht="30" x14ac:dyDescent="0.25">
      <c r="A443" s="265"/>
      <c r="B443" s="270" t="s">
        <v>616</v>
      </c>
      <c r="C443" s="267"/>
      <c r="D443" s="265"/>
      <c r="E443" s="259"/>
      <c r="F443" s="268"/>
    </row>
    <row r="444" spans="1:6" s="269" customFormat="1" x14ac:dyDescent="0.25">
      <c r="A444" s="265" t="s">
        <v>6</v>
      </c>
      <c r="B444" s="233" t="s">
        <v>24</v>
      </c>
      <c r="C444" s="262">
        <f>C412</f>
        <v>259</v>
      </c>
      <c r="D444" s="265" t="s">
        <v>35</v>
      </c>
      <c r="E444" s="259">
        <v>1400</v>
      </c>
      <c r="F444" s="268">
        <f>E444*C444</f>
        <v>362600</v>
      </c>
    </row>
    <row r="445" spans="1:6" s="269" customFormat="1" x14ac:dyDescent="0.25">
      <c r="A445" s="265"/>
      <c r="B445" s="233"/>
      <c r="C445" s="262"/>
      <c r="D445" s="265"/>
      <c r="E445" s="259"/>
      <c r="F445" s="268"/>
    </row>
    <row r="446" spans="1:6" s="269" customFormat="1" ht="24" customHeight="1" x14ac:dyDescent="0.25">
      <c r="A446" s="265" t="s">
        <v>7</v>
      </c>
      <c r="B446" s="214" t="s">
        <v>584</v>
      </c>
      <c r="C446" s="262">
        <v>36</v>
      </c>
      <c r="D446" s="265" t="s">
        <v>22</v>
      </c>
      <c r="E446" s="259">
        <v>590</v>
      </c>
      <c r="F446" s="268">
        <f>E446*C446</f>
        <v>21240</v>
      </c>
    </row>
    <row r="447" spans="1:6" x14ac:dyDescent="0.25">
      <c r="B447" s="211" t="s">
        <v>592</v>
      </c>
    </row>
    <row r="449" spans="1:6" ht="30" x14ac:dyDescent="0.25">
      <c r="B449" s="224" t="s">
        <v>681</v>
      </c>
    </row>
    <row r="451" spans="1:6" x14ac:dyDescent="0.25">
      <c r="A451" s="206" t="s">
        <v>8</v>
      </c>
      <c r="B451" s="233" t="s">
        <v>24</v>
      </c>
      <c r="C451" s="205">
        <f>C418</f>
        <v>518</v>
      </c>
      <c r="D451" s="206" t="s">
        <v>35</v>
      </c>
      <c r="E451" s="259">
        <v>2200</v>
      </c>
      <c r="F451" s="289">
        <f>C451*E451</f>
        <v>1139600</v>
      </c>
    </row>
    <row r="452" spans="1:6" x14ac:dyDescent="0.25">
      <c r="B452" s="233"/>
      <c r="F452" s="289"/>
    </row>
    <row r="453" spans="1:6" x14ac:dyDescent="0.25">
      <c r="A453" s="206" t="s">
        <v>9</v>
      </c>
      <c r="B453" s="214" t="s">
        <v>584</v>
      </c>
      <c r="C453" s="205">
        <f>C446</f>
        <v>36</v>
      </c>
      <c r="D453" s="206" t="s">
        <v>35</v>
      </c>
      <c r="E453" s="259">
        <f>E451</f>
        <v>2200</v>
      </c>
      <c r="F453" s="289">
        <f>C453*E453</f>
        <v>79200</v>
      </c>
    </row>
    <row r="454" spans="1:6" x14ac:dyDescent="0.25">
      <c r="F454" s="289"/>
    </row>
    <row r="455" spans="1:6" x14ac:dyDescent="0.25">
      <c r="B455" s="220" t="s">
        <v>520</v>
      </c>
      <c r="C455" s="221"/>
      <c r="D455" s="209"/>
      <c r="E455" s="621" t="s">
        <v>15</v>
      </c>
      <c r="F455" s="286">
        <f>SUM(F432:F454)</f>
        <v>1602640</v>
      </c>
    </row>
    <row r="456" spans="1:6" x14ac:dyDescent="0.25">
      <c r="B456" s="220"/>
      <c r="C456" s="221"/>
      <c r="D456" s="209"/>
      <c r="E456" s="621"/>
      <c r="F456" s="286"/>
    </row>
    <row r="457" spans="1:6" x14ac:dyDescent="0.25">
      <c r="B457" s="220"/>
      <c r="C457" s="221"/>
      <c r="D457" s="209"/>
      <c r="E457" s="621"/>
      <c r="F457" s="286"/>
    </row>
    <row r="458" spans="1:6" x14ac:dyDescent="0.25">
      <c r="B458" s="210" t="s">
        <v>531</v>
      </c>
      <c r="F458" s="230"/>
    </row>
    <row r="459" spans="1:6" x14ac:dyDescent="0.25">
      <c r="B459" s="219"/>
      <c r="F459" s="230"/>
    </row>
    <row r="460" spans="1:6" x14ac:dyDescent="0.25">
      <c r="B460" s="231" t="s">
        <v>457</v>
      </c>
      <c r="E460" s="259">
        <f>F383</f>
        <v>10765700</v>
      </c>
      <c r="F460" s="230"/>
    </row>
    <row r="461" spans="1:6" x14ac:dyDescent="0.25">
      <c r="B461" s="231"/>
      <c r="F461" s="230"/>
    </row>
    <row r="462" spans="1:6" x14ac:dyDescent="0.25">
      <c r="B462" s="231" t="s">
        <v>458</v>
      </c>
      <c r="E462" s="259">
        <f>F428</f>
        <v>10315450</v>
      </c>
      <c r="F462" s="230"/>
    </row>
    <row r="463" spans="1:6" x14ac:dyDescent="0.25">
      <c r="B463" s="231"/>
    </row>
    <row r="464" spans="1:6" x14ac:dyDescent="0.25">
      <c r="B464" s="231" t="s">
        <v>459</v>
      </c>
      <c r="E464" s="259">
        <f>F455</f>
        <v>1602640</v>
      </c>
    </row>
    <row r="465" spans="1:6" x14ac:dyDescent="0.25">
      <c r="B465" s="233"/>
    </row>
    <row r="466" spans="1:6" x14ac:dyDescent="0.25">
      <c r="B466" s="233"/>
    </row>
    <row r="467" spans="1:6" x14ac:dyDescent="0.25">
      <c r="B467" s="233"/>
    </row>
    <row r="468" spans="1:6" x14ac:dyDescent="0.25">
      <c r="B468" s="233"/>
    </row>
    <row r="469" spans="1:6" x14ac:dyDescent="0.25">
      <c r="B469" s="233"/>
    </row>
    <row r="470" spans="1:6" x14ac:dyDescent="0.25">
      <c r="B470" s="233"/>
    </row>
    <row r="471" spans="1:6" x14ac:dyDescent="0.25">
      <c r="B471" s="210" t="s">
        <v>163</v>
      </c>
      <c r="F471" s="230"/>
    </row>
    <row r="472" spans="1:6" x14ac:dyDescent="0.25">
      <c r="B472" s="220" t="s">
        <v>534</v>
      </c>
      <c r="C472" s="221"/>
      <c r="D472" s="209"/>
      <c r="E472" s="621" t="s">
        <v>15</v>
      </c>
      <c r="F472" s="286">
        <f>SUM(E458:E465)</f>
        <v>22683790</v>
      </c>
    </row>
    <row r="473" spans="1:6" x14ac:dyDescent="0.25">
      <c r="A473" s="209" t="s">
        <v>796</v>
      </c>
      <c r="B473" s="209"/>
      <c r="C473" s="221" t="s">
        <v>773</v>
      </c>
      <c r="D473" s="209" t="s">
        <v>765</v>
      </c>
      <c r="E473" s="621" t="s">
        <v>914</v>
      </c>
      <c r="F473" s="273" t="s">
        <v>768</v>
      </c>
    </row>
    <row r="474" spans="1:6" x14ac:dyDescent="0.25">
      <c r="B474" s="204" t="s">
        <v>593</v>
      </c>
      <c r="F474" s="230"/>
    </row>
    <row r="475" spans="1:6" x14ac:dyDescent="0.25">
      <c r="F475" s="230"/>
    </row>
    <row r="476" spans="1:6" x14ac:dyDescent="0.25">
      <c r="B476" s="210" t="s">
        <v>195</v>
      </c>
      <c r="F476" s="230"/>
    </row>
    <row r="477" spans="1:6" x14ac:dyDescent="0.25">
      <c r="B477" s="210"/>
      <c r="F477" s="230"/>
    </row>
    <row r="478" spans="1:6" x14ac:dyDescent="0.25">
      <c r="B478" s="211" t="s">
        <v>84</v>
      </c>
      <c r="C478" s="221"/>
      <c r="D478" s="209"/>
      <c r="E478" s="621"/>
      <c r="F478" s="286"/>
    </row>
    <row r="479" spans="1:6" x14ac:dyDescent="0.25">
      <c r="B479" s="226"/>
      <c r="C479" s="221"/>
      <c r="D479" s="209"/>
      <c r="E479" s="621"/>
      <c r="F479" s="286"/>
    </row>
    <row r="480" spans="1:6" ht="30" x14ac:dyDescent="0.25">
      <c r="B480" s="224" t="s">
        <v>594</v>
      </c>
      <c r="C480" s="221"/>
      <c r="D480" s="209"/>
      <c r="E480" s="621"/>
      <c r="F480" s="286"/>
    </row>
    <row r="481" spans="1:6" x14ac:dyDescent="0.25">
      <c r="B481" s="224"/>
      <c r="C481" s="221"/>
      <c r="D481" s="209"/>
      <c r="E481" s="621"/>
      <c r="F481" s="286"/>
    </row>
    <row r="482" spans="1:6" x14ac:dyDescent="0.25">
      <c r="A482" s="206" t="s">
        <v>2</v>
      </c>
      <c r="B482" s="214" t="s">
        <v>595</v>
      </c>
      <c r="C482" s="205">
        <v>959</v>
      </c>
      <c r="D482" s="206" t="s">
        <v>511</v>
      </c>
      <c r="E482" s="259">
        <f>E412</f>
        <v>10300</v>
      </c>
      <c r="F482" s="289">
        <f>C482*E482</f>
        <v>9877700</v>
      </c>
    </row>
    <row r="483" spans="1:6" x14ac:dyDescent="0.25">
      <c r="B483" s="210"/>
      <c r="F483" s="291"/>
    </row>
    <row r="484" spans="1:6" x14ac:dyDescent="0.25">
      <c r="A484" s="206" t="s">
        <v>4</v>
      </c>
      <c r="B484" s="214" t="s">
        <v>596</v>
      </c>
      <c r="D484" s="206" t="s">
        <v>511</v>
      </c>
      <c r="E484" s="259">
        <v>9500</v>
      </c>
      <c r="F484" s="289">
        <f>C484*E484</f>
        <v>0</v>
      </c>
    </row>
    <row r="485" spans="1:6" x14ac:dyDescent="0.25">
      <c r="C485" s="256"/>
      <c r="F485" s="257"/>
    </row>
    <row r="486" spans="1:6" ht="29.25" customHeight="1" x14ac:dyDescent="0.25">
      <c r="B486" s="228" t="s">
        <v>923</v>
      </c>
      <c r="C486" s="214"/>
      <c r="D486" s="389"/>
      <c r="E486" s="214"/>
    </row>
    <row r="487" spans="1:6" ht="29.25" customHeight="1" x14ac:dyDescent="0.25">
      <c r="A487" s="206" t="s">
        <v>5</v>
      </c>
      <c r="B487" s="215" t="s">
        <v>924</v>
      </c>
      <c r="C487" s="391"/>
      <c r="D487" s="206" t="s">
        <v>511</v>
      </c>
      <c r="E487" s="623">
        <v>9500</v>
      </c>
      <c r="F487" s="207">
        <f>C487*E487</f>
        <v>0</v>
      </c>
    </row>
    <row r="488" spans="1:6" x14ac:dyDescent="0.25">
      <c r="B488" s="211" t="s">
        <v>98</v>
      </c>
      <c r="F488" s="230"/>
    </row>
    <row r="489" spans="1:6" x14ac:dyDescent="0.25">
      <c r="F489" s="230"/>
    </row>
    <row r="490" spans="1:6" ht="17.25" customHeight="1" x14ac:dyDescent="0.25">
      <c r="B490" s="219" t="s">
        <v>666</v>
      </c>
      <c r="F490" s="230"/>
    </row>
    <row r="491" spans="1:6" ht="14.25" customHeight="1" x14ac:dyDescent="0.25">
      <c r="B491" s="219"/>
      <c r="F491" s="230"/>
    </row>
    <row r="492" spans="1:6" x14ac:dyDescent="0.25">
      <c r="A492" s="206" t="s">
        <v>6</v>
      </c>
      <c r="B492" s="214" t="s">
        <v>597</v>
      </c>
      <c r="C492" s="205">
        <v>3</v>
      </c>
      <c r="D492" s="206" t="s">
        <v>513</v>
      </c>
      <c r="E492" s="259">
        <f>E123</f>
        <v>95000</v>
      </c>
      <c r="F492" s="230">
        <f>C492*E492</f>
        <v>285000</v>
      </c>
    </row>
    <row r="493" spans="1:6" x14ac:dyDescent="0.25">
      <c r="C493" s="205" t="s">
        <v>20</v>
      </c>
      <c r="F493" s="230"/>
    </row>
    <row r="494" spans="1:6" x14ac:dyDescent="0.25">
      <c r="B494" s="211" t="s">
        <v>102</v>
      </c>
      <c r="F494" s="230"/>
    </row>
    <row r="495" spans="1:6" ht="14.25" customHeight="1" x14ac:dyDescent="0.25">
      <c r="B495" s="219"/>
      <c r="F495" s="230"/>
    </row>
    <row r="496" spans="1:6" x14ac:dyDescent="0.25">
      <c r="B496" s="219" t="s">
        <v>598</v>
      </c>
      <c r="F496" s="230"/>
    </row>
    <row r="497" spans="1:6" ht="12.75" customHeight="1" x14ac:dyDescent="0.25">
      <c r="F497" s="230"/>
    </row>
    <row r="498" spans="1:6" x14ac:dyDescent="0.25">
      <c r="A498" s="206" t="s">
        <v>6</v>
      </c>
      <c r="B498" s="214" t="s">
        <v>571</v>
      </c>
      <c r="C498" s="205">
        <v>168</v>
      </c>
      <c r="D498" s="206" t="s">
        <v>75</v>
      </c>
      <c r="E498" s="259">
        <f>E362</f>
        <v>1450</v>
      </c>
      <c r="F498" s="230">
        <f>C498*E498</f>
        <v>243600</v>
      </c>
    </row>
    <row r="499" spans="1:6" x14ac:dyDescent="0.25">
      <c r="F499" s="230"/>
    </row>
    <row r="500" spans="1:6" x14ac:dyDescent="0.25">
      <c r="A500" s="206" t="s">
        <v>7</v>
      </c>
      <c r="B500" s="214" t="s">
        <v>599</v>
      </c>
      <c r="C500" s="205">
        <v>89</v>
      </c>
      <c r="D500" s="206" t="s">
        <v>75</v>
      </c>
      <c r="E500" s="259">
        <f>E498</f>
        <v>1450</v>
      </c>
      <c r="F500" s="230">
        <f>C500*E500</f>
        <v>129050</v>
      </c>
    </row>
    <row r="501" spans="1:6" ht="14.25" customHeight="1" x14ac:dyDescent="0.25">
      <c r="F501" s="230"/>
    </row>
    <row r="502" spans="1:6" x14ac:dyDescent="0.25">
      <c r="B502" s="211" t="s">
        <v>67</v>
      </c>
      <c r="F502" s="230"/>
    </row>
    <row r="503" spans="1:6" ht="15" customHeight="1" x14ac:dyDescent="0.25">
      <c r="F503" s="230"/>
    </row>
    <row r="504" spans="1:6" x14ac:dyDescent="0.25">
      <c r="B504" s="219" t="s">
        <v>120</v>
      </c>
      <c r="F504" s="230"/>
    </row>
    <row r="505" spans="1:6" ht="9.75" customHeight="1" x14ac:dyDescent="0.25">
      <c r="F505" s="230"/>
    </row>
    <row r="506" spans="1:6" x14ac:dyDescent="0.25">
      <c r="A506" s="206" t="s">
        <v>8</v>
      </c>
      <c r="B506" s="214" t="s">
        <v>600</v>
      </c>
      <c r="C506" s="205">
        <v>31</v>
      </c>
      <c r="D506" s="206" t="s">
        <v>511</v>
      </c>
      <c r="E506" s="259">
        <f>E371</f>
        <v>8500</v>
      </c>
      <c r="F506" s="230">
        <f>C506*E506</f>
        <v>263500</v>
      </c>
    </row>
    <row r="507" spans="1:6" x14ac:dyDescent="0.25">
      <c r="B507" s="219"/>
      <c r="F507" s="227"/>
    </row>
    <row r="508" spans="1:6" x14ac:dyDescent="0.25">
      <c r="F508" s="261"/>
    </row>
    <row r="509" spans="1:6" x14ac:dyDescent="0.25">
      <c r="F509" s="227"/>
    </row>
    <row r="510" spans="1:6" x14ac:dyDescent="0.25">
      <c r="B510" s="219"/>
      <c r="F510" s="230"/>
    </row>
    <row r="511" spans="1:6" x14ac:dyDescent="0.25">
      <c r="B511" s="219"/>
      <c r="F511" s="230"/>
    </row>
    <row r="512" spans="1:6" x14ac:dyDescent="0.25">
      <c r="B512" s="224"/>
      <c r="F512" s="230"/>
    </row>
    <row r="513" spans="1:13" x14ac:dyDescent="0.25">
      <c r="F513" s="257"/>
    </row>
    <row r="514" spans="1:13" x14ac:dyDescent="0.25">
      <c r="F514" s="257"/>
    </row>
    <row r="515" spans="1:13" x14ac:dyDescent="0.25">
      <c r="B515" s="210" t="s">
        <v>195</v>
      </c>
      <c r="C515" s="221"/>
      <c r="D515" s="209"/>
      <c r="E515" s="621"/>
      <c r="F515" s="235"/>
    </row>
    <row r="516" spans="1:13" ht="18.75" customHeight="1" x14ac:dyDescent="0.25">
      <c r="B516" s="220" t="s">
        <v>534</v>
      </c>
      <c r="C516" s="221"/>
      <c r="D516" s="209"/>
      <c r="E516" s="621" t="s">
        <v>15</v>
      </c>
      <c r="F516" s="235">
        <f>SUM(F480:F515)</f>
        <v>10798850</v>
      </c>
    </row>
    <row r="517" spans="1:13" x14ac:dyDescent="0.25">
      <c r="A517" s="209" t="s">
        <v>796</v>
      </c>
      <c r="B517" s="209"/>
      <c r="C517" s="221" t="s">
        <v>773</v>
      </c>
      <c r="D517" s="209" t="s">
        <v>765</v>
      </c>
      <c r="E517" s="621" t="s">
        <v>914</v>
      </c>
      <c r="F517" s="273" t="s">
        <v>768</v>
      </c>
    </row>
    <row r="518" spans="1:13" x14ac:dyDescent="0.25">
      <c r="B518" s="210" t="s">
        <v>601</v>
      </c>
      <c r="F518" s="230"/>
    </row>
    <row r="519" spans="1:13" ht="8.25" customHeight="1" x14ac:dyDescent="0.25">
      <c r="B519" s="220"/>
      <c r="F519" s="230"/>
    </row>
    <row r="520" spans="1:13" x14ac:dyDescent="0.25">
      <c r="B520" s="210" t="s">
        <v>602</v>
      </c>
      <c r="F520" s="230"/>
    </row>
    <row r="521" spans="1:13" ht="10.5" customHeight="1" x14ac:dyDescent="0.25">
      <c r="F521" s="230"/>
    </row>
    <row r="522" spans="1:13" x14ac:dyDescent="0.25">
      <c r="B522" s="211" t="s">
        <v>203</v>
      </c>
      <c r="C522" s="221"/>
      <c r="D522" s="209"/>
      <c r="E522" s="621"/>
      <c r="F522" s="286"/>
    </row>
    <row r="523" spans="1:13" ht="9" customHeight="1" x14ac:dyDescent="0.25">
      <c r="B523" s="220"/>
      <c r="C523" s="221"/>
      <c r="D523" s="209"/>
      <c r="E523" s="621"/>
      <c r="F523" s="286"/>
    </row>
    <row r="524" spans="1:13" x14ac:dyDescent="0.25">
      <c r="B524" s="214" t="s">
        <v>603</v>
      </c>
      <c r="F524" s="230"/>
    </row>
    <row r="525" spans="1:13" ht="91.5" customHeight="1" x14ac:dyDescent="0.25">
      <c r="B525" s="218" t="s">
        <v>708</v>
      </c>
      <c r="G525" s="206"/>
      <c r="I525" s="214"/>
      <c r="J525" s="214"/>
      <c r="K525" s="214"/>
      <c r="L525" s="214"/>
      <c r="M525" s="214"/>
    </row>
    <row r="526" spans="1:13" ht="14.25" customHeight="1" x14ac:dyDescent="0.25">
      <c r="A526" s="206" t="s">
        <v>2</v>
      </c>
      <c r="B526" s="214" t="s">
        <v>1090</v>
      </c>
      <c r="C526" s="205">
        <v>24</v>
      </c>
      <c r="D526" s="206" t="s">
        <v>3</v>
      </c>
      <c r="E526" s="259">
        <v>210000</v>
      </c>
      <c r="F526" s="230">
        <f>E526*C526</f>
        <v>5040000</v>
      </c>
      <c r="G526" s="214"/>
      <c r="H526" s="258"/>
      <c r="I526" s="259"/>
      <c r="J526" s="259"/>
      <c r="K526" s="214"/>
    </row>
    <row r="527" spans="1:13" x14ac:dyDescent="0.25">
      <c r="B527" s="218"/>
      <c r="G527" s="206"/>
      <c r="I527" s="214"/>
      <c r="J527" s="214"/>
      <c r="K527" s="214"/>
      <c r="L527" s="214"/>
      <c r="M527" s="214"/>
    </row>
    <row r="528" spans="1:13" ht="14.25" customHeight="1" x14ac:dyDescent="0.25">
      <c r="A528" s="206" t="s">
        <v>2</v>
      </c>
      <c r="B528" s="214" t="s">
        <v>1014</v>
      </c>
      <c r="C528" s="205">
        <v>18</v>
      </c>
      <c r="D528" s="206" t="s">
        <v>3</v>
      </c>
      <c r="E528" s="259">
        <v>175500</v>
      </c>
      <c r="F528" s="230">
        <f>E528*C528</f>
        <v>3159000</v>
      </c>
      <c r="G528" s="214"/>
      <c r="H528" s="258"/>
      <c r="I528" s="259"/>
      <c r="J528" s="259"/>
      <c r="K528" s="214"/>
    </row>
    <row r="529" spans="1:13" x14ac:dyDescent="0.25">
      <c r="F529" s="230"/>
      <c r="G529" s="214"/>
      <c r="H529" s="258"/>
      <c r="I529" s="259"/>
      <c r="J529" s="259"/>
      <c r="K529" s="214"/>
    </row>
    <row r="530" spans="1:13" ht="14.25" customHeight="1" x14ac:dyDescent="0.25">
      <c r="A530" s="206" t="s">
        <v>4</v>
      </c>
      <c r="B530" s="214" t="s">
        <v>1015</v>
      </c>
      <c r="C530" s="205">
        <v>6</v>
      </c>
      <c r="D530" s="206" t="s">
        <v>3</v>
      </c>
      <c r="E530" s="259">
        <v>140400</v>
      </c>
      <c r="F530" s="230">
        <f>E530*C530</f>
        <v>842400</v>
      </c>
      <c r="G530" s="214"/>
      <c r="H530" s="258"/>
      <c r="I530" s="259"/>
      <c r="J530" s="259"/>
      <c r="K530" s="214"/>
    </row>
    <row r="531" spans="1:13" ht="14.25" customHeight="1" x14ac:dyDescent="0.25">
      <c r="F531" s="230"/>
      <c r="G531" s="214"/>
      <c r="H531" s="214"/>
      <c r="I531" s="259"/>
      <c r="J531" s="259"/>
      <c r="K531" s="214"/>
    </row>
    <row r="532" spans="1:13" ht="14.25" customHeight="1" x14ac:dyDescent="0.25">
      <c r="A532" s="206" t="s">
        <v>5</v>
      </c>
      <c r="B532" s="214" t="s">
        <v>1104</v>
      </c>
      <c r="C532" s="205">
        <v>24</v>
      </c>
      <c r="D532" s="206" t="s">
        <v>3</v>
      </c>
      <c r="E532" s="259">
        <v>87750</v>
      </c>
      <c r="F532" s="230">
        <f>E532*C532</f>
        <v>2106000</v>
      </c>
      <c r="G532" s="214"/>
      <c r="H532" s="258"/>
      <c r="I532" s="259"/>
      <c r="J532" s="259"/>
      <c r="K532" s="214"/>
    </row>
    <row r="533" spans="1:13" ht="14.25" customHeight="1" x14ac:dyDescent="0.25">
      <c r="F533" s="230"/>
      <c r="G533" s="214"/>
      <c r="H533" s="214"/>
      <c r="I533" s="259"/>
      <c r="J533" s="259"/>
      <c r="K533" s="214"/>
    </row>
    <row r="534" spans="1:13" ht="22.5" customHeight="1" x14ac:dyDescent="0.25">
      <c r="A534" s="206" t="s">
        <v>6</v>
      </c>
      <c r="B534" s="214" t="s">
        <v>997</v>
      </c>
      <c r="C534" s="205">
        <v>6</v>
      </c>
      <c r="D534" s="206" t="s">
        <v>3</v>
      </c>
      <c r="E534" s="259">
        <v>122850</v>
      </c>
      <c r="F534" s="207">
        <f>E534*C534</f>
        <v>737100</v>
      </c>
    </row>
    <row r="535" spans="1:13" ht="14.25" customHeight="1" x14ac:dyDescent="0.25">
      <c r="F535" s="230"/>
      <c r="G535" s="214"/>
      <c r="H535" s="214"/>
      <c r="I535" s="259"/>
      <c r="J535" s="259"/>
      <c r="K535" s="214"/>
    </row>
    <row r="536" spans="1:13" ht="22.5" customHeight="1" x14ac:dyDescent="0.25">
      <c r="A536" s="206" t="s">
        <v>7</v>
      </c>
      <c r="B536" s="214" t="s">
        <v>929</v>
      </c>
      <c r="C536" s="205">
        <v>24</v>
      </c>
      <c r="D536" s="206" t="s">
        <v>3</v>
      </c>
      <c r="E536" s="259">
        <v>46800</v>
      </c>
      <c r="F536" s="207">
        <f>E536*C536</f>
        <v>1123200</v>
      </c>
    </row>
    <row r="537" spans="1:13" ht="14.25" customHeight="1" x14ac:dyDescent="0.25">
      <c r="F537" s="230"/>
      <c r="G537" s="214"/>
      <c r="H537" s="214"/>
      <c r="I537" s="259"/>
      <c r="J537" s="259"/>
      <c r="K537" s="214"/>
    </row>
    <row r="538" spans="1:13" ht="11.45" customHeight="1" x14ac:dyDescent="0.25">
      <c r="E538" s="259">
        <v>0</v>
      </c>
      <c r="F538" s="230"/>
      <c r="H538" s="223"/>
    </row>
    <row r="539" spans="1:13" x14ac:dyDescent="0.25">
      <c r="B539" s="234" t="s">
        <v>682</v>
      </c>
      <c r="G539" s="206"/>
      <c r="I539" s="214"/>
      <c r="J539" s="214"/>
      <c r="K539" s="214"/>
      <c r="L539" s="214"/>
      <c r="M539" s="214"/>
    </row>
    <row r="540" spans="1:13" ht="19.149999999999999" customHeight="1" x14ac:dyDescent="0.25">
      <c r="A540" s="206" t="s">
        <v>8</v>
      </c>
      <c r="B540" s="214" t="s">
        <v>1090</v>
      </c>
      <c r="C540" s="205">
        <f>C526</f>
        <v>24</v>
      </c>
      <c r="D540" s="206" t="s">
        <v>3</v>
      </c>
      <c r="E540" s="259">
        <v>21060</v>
      </c>
      <c r="F540" s="230">
        <f>E540*C540</f>
        <v>505440</v>
      </c>
      <c r="G540" s="214"/>
      <c r="H540" s="258"/>
      <c r="I540" s="259"/>
      <c r="J540" s="259"/>
      <c r="K540" s="214"/>
    </row>
    <row r="541" spans="1:13" x14ac:dyDescent="0.25">
      <c r="B541" s="234"/>
      <c r="G541" s="206"/>
      <c r="I541" s="214"/>
      <c r="J541" s="214"/>
      <c r="K541" s="214"/>
      <c r="L541" s="214"/>
      <c r="M541" s="214"/>
    </row>
    <row r="542" spans="1:13" ht="19.149999999999999" customHeight="1" x14ac:dyDescent="0.25">
      <c r="A542" s="206" t="s">
        <v>8</v>
      </c>
      <c r="B542" s="214" t="s">
        <v>1014</v>
      </c>
      <c r="C542" s="205">
        <f>C528</f>
        <v>18</v>
      </c>
      <c r="D542" s="206" t="s">
        <v>3</v>
      </c>
      <c r="E542" s="259">
        <v>17550</v>
      </c>
      <c r="F542" s="230">
        <f>E542*C542</f>
        <v>315900</v>
      </c>
      <c r="G542" s="214"/>
      <c r="H542" s="258"/>
      <c r="I542" s="259"/>
      <c r="J542" s="259"/>
      <c r="K542" s="214"/>
    </row>
    <row r="543" spans="1:13" ht="14.25" customHeight="1" x14ac:dyDescent="0.25">
      <c r="F543" s="230"/>
      <c r="G543" s="214"/>
      <c r="H543" s="258"/>
      <c r="I543" s="259"/>
      <c r="J543" s="259"/>
      <c r="K543" s="214"/>
    </row>
    <row r="544" spans="1:13" ht="14.25" customHeight="1" x14ac:dyDescent="0.25">
      <c r="A544" s="206" t="s">
        <v>9</v>
      </c>
      <c r="B544" s="214" t="s">
        <v>1015</v>
      </c>
      <c r="C544" s="205">
        <f>C530</f>
        <v>6</v>
      </c>
      <c r="D544" s="206" t="s">
        <v>3</v>
      </c>
      <c r="E544" s="259">
        <v>14040</v>
      </c>
      <c r="F544" s="230">
        <f>E544*C544</f>
        <v>84240</v>
      </c>
      <c r="G544" s="214"/>
      <c r="H544" s="258"/>
      <c r="I544" s="259"/>
      <c r="J544" s="259"/>
      <c r="K544" s="214"/>
    </row>
    <row r="545" spans="1:11" ht="14.25" customHeight="1" x14ac:dyDescent="0.25">
      <c r="F545" s="230"/>
      <c r="G545" s="214"/>
      <c r="H545" s="258"/>
      <c r="I545" s="259"/>
      <c r="J545" s="259"/>
      <c r="K545" s="214"/>
    </row>
    <row r="546" spans="1:11" ht="14.25" customHeight="1" x14ac:dyDescent="0.25">
      <c r="A546" s="206" t="s">
        <v>10</v>
      </c>
      <c r="B546" s="214" t="s">
        <v>1104</v>
      </c>
      <c r="C546" s="205">
        <f>C532</f>
        <v>24</v>
      </c>
      <c r="D546" s="206" t="s">
        <v>3</v>
      </c>
      <c r="E546" s="259">
        <v>8775</v>
      </c>
      <c r="F546" s="230">
        <f>E546*C546</f>
        <v>210600</v>
      </c>
      <c r="G546" s="214"/>
      <c r="H546" s="258"/>
      <c r="I546" s="259"/>
      <c r="J546" s="259"/>
      <c r="K546" s="214"/>
    </row>
    <row r="547" spans="1:11" ht="10.9" customHeight="1" x14ac:dyDescent="0.25">
      <c r="F547" s="230"/>
      <c r="G547" s="214"/>
      <c r="H547" s="258"/>
      <c r="I547" s="259"/>
      <c r="J547" s="259"/>
      <c r="K547" s="214"/>
    </row>
    <row r="548" spans="1:11" ht="22.5" customHeight="1" x14ac:dyDescent="0.25">
      <c r="A548" s="206" t="s">
        <v>11</v>
      </c>
      <c r="B548" s="214" t="s">
        <v>997</v>
      </c>
      <c r="C548" s="205">
        <f>C534</f>
        <v>6</v>
      </c>
      <c r="D548" s="206" t="s">
        <v>3</v>
      </c>
      <c r="E548" s="259">
        <v>7020</v>
      </c>
      <c r="F548" s="207">
        <f>E548*C548</f>
        <v>42120</v>
      </c>
    </row>
    <row r="549" spans="1:11" x14ac:dyDescent="0.25">
      <c r="F549" s="230"/>
      <c r="H549" s="223"/>
    </row>
    <row r="550" spans="1:11" ht="22.5" customHeight="1" x14ac:dyDescent="0.25">
      <c r="A550" s="206" t="s">
        <v>12</v>
      </c>
      <c r="B550" s="214" t="s">
        <v>929</v>
      </c>
      <c r="C550" s="205">
        <f>C536</f>
        <v>24</v>
      </c>
      <c r="D550" s="206" t="s">
        <v>3</v>
      </c>
      <c r="E550" s="259">
        <v>4680</v>
      </c>
      <c r="F550" s="207">
        <f>E550*C550</f>
        <v>112320</v>
      </c>
    </row>
    <row r="551" spans="1:11" x14ac:dyDescent="0.25">
      <c r="B551" s="224"/>
      <c r="F551" s="230"/>
      <c r="H551" s="223"/>
    </row>
    <row r="552" spans="1:11" x14ac:dyDescent="0.25">
      <c r="E552" s="625"/>
    </row>
    <row r="553" spans="1:11" ht="30" x14ac:dyDescent="0.25">
      <c r="B553" s="224" t="s">
        <v>704</v>
      </c>
      <c r="F553" s="230"/>
      <c r="H553" s="223"/>
    </row>
    <row r="554" spans="1:11" x14ac:dyDescent="0.25">
      <c r="B554" s="224"/>
      <c r="F554" s="230"/>
      <c r="H554" s="223"/>
    </row>
    <row r="555" spans="1:11" x14ac:dyDescent="0.25">
      <c r="A555" s="206" t="s">
        <v>13</v>
      </c>
      <c r="B555" s="214" t="s">
        <v>998</v>
      </c>
      <c r="C555" s="205">
        <v>6</v>
      </c>
      <c r="D555" s="206" t="s">
        <v>3</v>
      </c>
      <c r="E555" s="625">
        <v>486000</v>
      </c>
      <c r="F555" s="207">
        <f>E555*C555</f>
        <v>2916000</v>
      </c>
    </row>
    <row r="556" spans="1:11" x14ac:dyDescent="0.25">
      <c r="B556" s="210"/>
      <c r="E556" s="625"/>
    </row>
    <row r="557" spans="1:11" x14ac:dyDescent="0.25">
      <c r="A557" s="206" t="s">
        <v>14</v>
      </c>
      <c r="B557" s="214" t="s">
        <v>1018</v>
      </c>
      <c r="C557" s="205">
        <v>12</v>
      </c>
      <c r="D557" s="206" t="s">
        <v>3</v>
      </c>
      <c r="E557" s="625">
        <v>365500</v>
      </c>
      <c r="F557" s="207">
        <f>E557*C557</f>
        <v>4386000</v>
      </c>
    </row>
    <row r="558" spans="1:11" x14ac:dyDescent="0.25">
      <c r="E558" s="625"/>
    </row>
    <row r="559" spans="1:11" x14ac:dyDescent="0.25">
      <c r="E559" s="625"/>
    </row>
    <row r="560" spans="1:11" ht="22.5" customHeight="1" x14ac:dyDescent="0.25">
      <c r="E560" s="625"/>
    </row>
    <row r="561" spans="1:6" ht="22.5" customHeight="1" x14ac:dyDescent="0.25">
      <c r="E561" s="625"/>
    </row>
    <row r="562" spans="1:6" ht="22.5" customHeight="1" x14ac:dyDescent="0.25">
      <c r="E562" s="625"/>
    </row>
    <row r="563" spans="1:6" x14ac:dyDescent="0.25">
      <c r="E563" s="625"/>
    </row>
    <row r="564" spans="1:6" x14ac:dyDescent="0.25">
      <c r="B564" s="210" t="s">
        <v>200</v>
      </c>
      <c r="F564" s="230"/>
    </row>
    <row r="565" spans="1:6" x14ac:dyDescent="0.25">
      <c r="B565" s="220" t="s">
        <v>534</v>
      </c>
      <c r="C565" s="221"/>
      <c r="D565" s="209"/>
      <c r="E565" s="621" t="s">
        <v>15</v>
      </c>
      <c r="F565" s="235">
        <f>SUM(F522:F564)</f>
        <v>21580320</v>
      </c>
    </row>
    <row r="566" spans="1:6" x14ac:dyDescent="0.25">
      <c r="A566" s="209" t="s">
        <v>796</v>
      </c>
      <c r="B566" s="209"/>
      <c r="C566" s="221" t="s">
        <v>773</v>
      </c>
      <c r="D566" s="209" t="s">
        <v>765</v>
      </c>
      <c r="E566" s="621" t="s">
        <v>914</v>
      </c>
      <c r="F566" s="273" t="s">
        <v>768</v>
      </c>
    </row>
    <row r="567" spans="1:6" x14ac:dyDescent="0.25">
      <c r="B567" s="204" t="s">
        <v>604</v>
      </c>
      <c r="F567" s="230"/>
    </row>
    <row r="568" spans="1:6" x14ac:dyDescent="0.25">
      <c r="F568" s="230"/>
    </row>
    <row r="569" spans="1:6" x14ac:dyDescent="0.25">
      <c r="B569" s="210" t="s">
        <v>210</v>
      </c>
      <c r="F569" s="230"/>
    </row>
    <row r="570" spans="1:6" ht="21" customHeight="1" x14ac:dyDescent="0.25">
      <c r="B570" s="210"/>
      <c r="F570" s="230"/>
    </row>
    <row r="571" spans="1:6" x14ac:dyDescent="0.25">
      <c r="B571" s="211" t="s">
        <v>84</v>
      </c>
      <c r="C571" s="221"/>
      <c r="D571" s="209"/>
      <c r="E571" s="621"/>
      <c r="F571" s="286"/>
    </row>
    <row r="572" spans="1:6" x14ac:dyDescent="0.25">
      <c r="B572" s="226"/>
      <c r="C572" s="221"/>
      <c r="D572" s="209"/>
      <c r="E572" s="621"/>
      <c r="F572" s="286"/>
    </row>
    <row r="573" spans="1:6" ht="30" x14ac:dyDescent="0.25">
      <c r="B573" s="224" t="s">
        <v>594</v>
      </c>
      <c r="C573" s="221"/>
      <c r="D573" s="209"/>
      <c r="E573" s="621"/>
      <c r="F573" s="286"/>
    </row>
    <row r="574" spans="1:6" x14ac:dyDescent="0.25">
      <c r="B574" s="224"/>
      <c r="C574" s="221"/>
      <c r="D574" s="209"/>
      <c r="E574" s="621"/>
      <c r="F574" s="286"/>
    </row>
    <row r="575" spans="1:6" x14ac:dyDescent="0.25">
      <c r="A575" s="206" t="s">
        <v>2</v>
      </c>
      <c r="B575" s="214" t="s">
        <v>595</v>
      </c>
      <c r="C575" s="205">
        <v>886</v>
      </c>
      <c r="D575" s="206" t="s">
        <v>511</v>
      </c>
      <c r="E575" s="259">
        <f>E482</f>
        <v>10300</v>
      </c>
      <c r="F575" s="289">
        <f>C575*E575</f>
        <v>9125800</v>
      </c>
    </row>
    <row r="576" spans="1:6" x14ac:dyDescent="0.25">
      <c r="B576" s="210"/>
      <c r="F576" s="291"/>
    </row>
    <row r="577" spans="1:6" x14ac:dyDescent="0.25">
      <c r="A577" s="206" t="s">
        <v>4</v>
      </c>
      <c r="B577" s="214" t="s">
        <v>596</v>
      </c>
      <c r="C577" s="205">
        <v>252</v>
      </c>
      <c r="D577" s="206" t="s">
        <v>511</v>
      </c>
      <c r="E577" s="259">
        <f>E484</f>
        <v>9500</v>
      </c>
      <c r="F577" s="289">
        <f>C577*E577</f>
        <v>2394000</v>
      </c>
    </row>
    <row r="578" spans="1:6" x14ac:dyDescent="0.25">
      <c r="C578" s="256"/>
      <c r="F578" s="257"/>
    </row>
    <row r="579" spans="1:6" x14ac:dyDescent="0.25">
      <c r="B579" s="211" t="s">
        <v>98</v>
      </c>
      <c r="F579" s="230"/>
    </row>
    <row r="580" spans="1:6" x14ac:dyDescent="0.25">
      <c r="F580" s="230"/>
    </row>
    <row r="581" spans="1:6" x14ac:dyDescent="0.25">
      <c r="B581" s="219" t="s">
        <v>666</v>
      </c>
      <c r="F581" s="230"/>
    </row>
    <row r="582" spans="1:6" x14ac:dyDescent="0.25">
      <c r="F582" s="230"/>
    </row>
    <row r="583" spans="1:6" x14ac:dyDescent="0.25">
      <c r="A583" s="206" t="s">
        <v>5</v>
      </c>
      <c r="B583" s="214" t="s">
        <v>597</v>
      </c>
      <c r="C583" s="205">
        <v>3</v>
      </c>
      <c r="D583" s="206" t="s">
        <v>513</v>
      </c>
      <c r="E583" s="259">
        <f>E492</f>
        <v>95000</v>
      </c>
      <c r="F583" s="230">
        <f>C583*E583</f>
        <v>285000</v>
      </c>
    </row>
    <row r="584" spans="1:6" x14ac:dyDescent="0.25">
      <c r="C584" s="205" t="s">
        <v>20</v>
      </c>
      <c r="F584" s="230"/>
    </row>
    <row r="585" spans="1:6" x14ac:dyDescent="0.25">
      <c r="B585" s="211" t="s">
        <v>102</v>
      </c>
      <c r="F585" s="230"/>
    </row>
    <row r="586" spans="1:6" x14ac:dyDescent="0.25">
      <c r="B586" s="219"/>
      <c r="F586" s="230"/>
    </row>
    <row r="587" spans="1:6" x14ac:dyDescent="0.25">
      <c r="B587" s="219" t="s">
        <v>598</v>
      </c>
      <c r="F587" s="230"/>
    </row>
    <row r="588" spans="1:6" x14ac:dyDescent="0.25">
      <c r="F588" s="230"/>
    </row>
    <row r="589" spans="1:6" x14ac:dyDescent="0.25">
      <c r="A589" s="206" t="s">
        <v>6</v>
      </c>
      <c r="B589" s="214" t="s">
        <v>571</v>
      </c>
      <c r="C589" s="205">
        <v>168</v>
      </c>
      <c r="D589" s="206" t="s">
        <v>75</v>
      </c>
      <c r="E589" s="259">
        <f>E498</f>
        <v>1450</v>
      </c>
      <c r="F589" s="230">
        <f>C589*E589</f>
        <v>243600</v>
      </c>
    </row>
    <row r="590" spans="1:6" x14ac:dyDescent="0.25">
      <c r="F590" s="230"/>
    </row>
    <row r="591" spans="1:6" x14ac:dyDescent="0.25">
      <c r="A591" s="206" t="s">
        <v>7</v>
      </c>
      <c r="B591" s="214" t="s">
        <v>599</v>
      </c>
      <c r="C591" s="205">
        <v>89</v>
      </c>
      <c r="D591" s="206" t="s">
        <v>75</v>
      </c>
      <c r="E591" s="259">
        <f>E589</f>
        <v>1450</v>
      </c>
      <c r="F591" s="230">
        <f>C591*E591</f>
        <v>129050</v>
      </c>
    </row>
    <row r="592" spans="1:6" x14ac:dyDescent="0.25">
      <c r="F592" s="230"/>
    </row>
    <row r="593" spans="1:6" x14ac:dyDescent="0.25">
      <c r="B593" s="211" t="s">
        <v>67</v>
      </c>
      <c r="F593" s="230"/>
    </row>
    <row r="594" spans="1:6" x14ac:dyDescent="0.25">
      <c r="F594" s="230"/>
    </row>
    <row r="595" spans="1:6" x14ac:dyDescent="0.25">
      <c r="B595" s="219" t="s">
        <v>120</v>
      </c>
      <c r="F595" s="230"/>
    </row>
    <row r="596" spans="1:6" x14ac:dyDescent="0.25">
      <c r="F596" s="230"/>
    </row>
    <row r="597" spans="1:6" x14ac:dyDescent="0.25">
      <c r="A597" s="206" t="s">
        <v>8</v>
      </c>
      <c r="B597" s="214" t="s">
        <v>600</v>
      </c>
      <c r="C597" s="205">
        <v>31</v>
      </c>
      <c r="D597" s="206" t="s">
        <v>511</v>
      </c>
      <c r="E597" s="259">
        <f>E506</f>
        <v>8500</v>
      </c>
      <c r="F597" s="230">
        <f>C597*E597</f>
        <v>263500</v>
      </c>
    </row>
    <row r="598" spans="1:6" x14ac:dyDescent="0.25">
      <c r="B598" s="219"/>
      <c r="F598" s="227"/>
    </row>
    <row r="599" spans="1:6" x14ac:dyDescent="0.25">
      <c r="F599" s="227"/>
    </row>
    <row r="600" spans="1:6" x14ac:dyDescent="0.25">
      <c r="F600" s="227"/>
    </row>
    <row r="601" spans="1:6" x14ac:dyDescent="0.25">
      <c r="F601" s="227"/>
    </row>
    <row r="602" spans="1:6" x14ac:dyDescent="0.25">
      <c r="B602" s="219"/>
      <c r="F602" s="230"/>
    </row>
    <row r="603" spans="1:6" x14ac:dyDescent="0.25">
      <c r="B603" s="219"/>
      <c r="F603" s="230"/>
    </row>
    <row r="604" spans="1:6" x14ac:dyDescent="0.25">
      <c r="B604" s="224"/>
      <c r="F604" s="230"/>
    </row>
    <row r="605" spans="1:6" x14ac:dyDescent="0.25">
      <c r="B605" s="224"/>
      <c r="F605" s="257"/>
    </row>
    <row r="606" spans="1:6" x14ac:dyDescent="0.25">
      <c r="B606" s="224"/>
      <c r="F606" s="257"/>
    </row>
    <row r="607" spans="1:6" x14ac:dyDescent="0.25">
      <c r="B607" s="224"/>
      <c r="F607" s="257"/>
    </row>
    <row r="608" spans="1:6" x14ac:dyDescent="0.25">
      <c r="B608" s="224"/>
      <c r="F608" s="257"/>
    </row>
    <row r="609" spans="1:6" x14ac:dyDescent="0.25">
      <c r="B609" s="210" t="s">
        <v>210</v>
      </c>
      <c r="C609" s="221"/>
      <c r="D609" s="209"/>
      <c r="E609" s="621"/>
      <c r="F609" s="235"/>
    </row>
    <row r="610" spans="1:6" x14ac:dyDescent="0.25">
      <c r="B610" s="220" t="s">
        <v>534</v>
      </c>
      <c r="C610" s="221"/>
      <c r="D610" s="209"/>
      <c r="E610" s="621" t="s">
        <v>15</v>
      </c>
      <c r="F610" s="235">
        <f>SUM(F571:F609)</f>
        <v>12440950</v>
      </c>
    </row>
    <row r="611" spans="1:6" x14ac:dyDescent="0.25">
      <c r="A611" s="209" t="s">
        <v>796</v>
      </c>
      <c r="B611" s="209"/>
      <c r="C611" s="221" t="s">
        <v>773</v>
      </c>
      <c r="D611" s="209" t="s">
        <v>765</v>
      </c>
      <c r="E611" s="621" t="s">
        <v>914</v>
      </c>
      <c r="F611" s="273" t="s">
        <v>768</v>
      </c>
    </row>
    <row r="612" spans="1:6" x14ac:dyDescent="0.25">
      <c r="B612" s="210" t="s">
        <v>605</v>
      </c>
      <c r="F612" s="230"/>
    </row>
    <row r="613" spans="1:6" x14ac:dyDescent="0.25">
      <c r="B613" s="220"/>
      <c r="F613" s="230"/>
    </row>
    <row r="614" spans="1:6" x14ac:dyDescent="0.25">
      <c r="B614" s="210" t="s">
        <v>213</v>
      </c>
      <c r="F614" s="230"/>
    </row>
    <row r="615" spans="1:6" x14ac:dyDescent="0.25">
      <c r="F615" s="230"/>
    </row>
    <row r="616" spans="1:6" x14ac:dyDescent="0.25">
      <c r="B616" s="210" t="s">
        <v>606</v>
      </c>
      <c r="F616" s="230"/>
    </row>
    <row r="617" spans="1:6" x14ac:dyDescent="0.25">
      <c r="F617" s="230"/>
    </row>
    <row r="618" spans="1:6" ht="63" customHeight="1" x14ac:dyDescent="0.25">
      <c r="B618" s="224" t="s">
        <v>683</v>
      </c>
      <c r="F618" s="230"/>
    </row>
    <row r="619" spans="1:6" x14ac:dyDescent="0.25">
      <c r="F619" s="289"/>
    </row>
    <row r="620" spans="1:6" x14ac:dyDescent="0.25">
      <c r="A620" s="206" t="s">
        <v>2</v>
      </c>
      <c r="B620" s="214" t="s">
        <v>894</v>
      </c>
      <c r="C620" s="205">
        <v>30</v>
      </c>
      <c r="D620" s="206" t="s">
        <v>3</v>
      </c>
      <c r="E620" s="625">
        <v>170100</v>
      </c>
      <c r="F620" s="207">
        <f>E620*C620</f>
        <v>5103000</v>
      </c>
    </row>
    <row r="621" spans="1:6" x14ac:dyDescent="0.25">
      <c r="B621" s="219"/>
      <c r="E621" s="625"/>
      <c r="F621" s="230"/>
    </row>
    <row r="622" spans="1:6" x14ac:dyDescent="0.25">
      <c r="A622" s="206" t="s">
        <v>4</v>
      </c>
      <c r="B622" s="214" t="s">
        <v>1019</v>
      </c>
      <c r="D622" s="206" t="s">
        <v>3</v>
      </c>
      <c r="E622" s="625">
        <v>318938</v>
      </c>
      <c r="F622" s="207">
        <f>E622*C622</f>
        <v>0</v>
      </c>
    </row>
    <row r="623" spans="1:6" x14ac:dyDescent="0.25">
      <c r="B623" s="219"/>
      <c r="E623" s="625"/>
      <c r="F623" s="230"/>
    </row>
    <row r="624" spans="1:6" x14ac:dyDescent="0.25">
      <c r="A624" s="206" t="s">
        <v>5</v>
      </c>
      <c r="B624" s="214" t="s">
        <v>1020</v>
      </c>
      <c r="C624" s="205">
        <v>30</v>
      </c>
      <c r="D624" s="206" t="s">
        <v>3</v>
      </c>
      <c r="E624" s="625">
        <v>141750</v>
      </c>
      <c r="F624" s="207">
        <f>E624*C624</f>
        <v>4252500</v>
      </c>
    </row>
    <row r="625" spans="1:19" x14ac:dyDescent="0.25">
      <c r="E625" s="625"/>
    </row>
    <row r="626" spans="1:19" x14ac:dyDescent="0.25">
      <c r="E626" s="625"/>
    </row>
    <row r="627" spans="1:19" x14ac:dyDescent="0.25">
      <c r="E627" s="625"/>
    </row>
    <row r="628" spans="1:19" x14ac:dyDescent="0.25">
      <c r="E628" s="625"/>
    </row>
    <row r="629" spans="1:19" s="207" customFormat="1" x14ac:dyDescent="0.25">
      <c r="A629" s="206"/>
      <c r="B629" s="214"/>
      <c r="C629" s="205"/>
      <c r="D629" s="206"/>
      <c r="E629" s="625"/>
      <c r="G629" s="208"/>
      <c r="H629" s="208"/>
      <c r="I629" s="208"/>
      <c r="J629" s="208"/>
      <c r="K629" s="208"/>
      <c r="L629" s="208"/>
      <c r="M629" s="208"/>
      <c r="N629" s="208"/>
      <c r="O629" s="208"/>
      <c r="P629" s="208"/>
      <c r="Q629" s="208"/>
      <c r="R629" s="208"/>
      <c r="S629" s="208"/>
    </row>
    <row r="630" spans="1:19" s="207" customFormat="1" x14ac:dyDescent="0.25">
      <c r="A630" s="206"/>
      <c r="B630" s="214"/>
      <c r="C630" s="205"/>
      <c r="D630" s="206"/>
      <c r="E630" s="625"/>
      <c r="G630" s="208"/>
      <c r="H630" s="208"/>
      <c r="I630" s="208"/>
      <c r="J630" s="208"/>
      <c r="K630" s="208"/>
      <c r="L630" s="208"/>
      <c r="M630" s="208"/>
      <c r="N630" s="208"/>
      <c r="O630" s="208"/>
      <c r="P630" s="208"/>
      <c r="Q630" s="208"/>
      <c r="R630" s="208"/>
      <c r="S630" s="208"/>
    </row>
    <row r="631" spans="1:19" s="207" customFormat="1" x14ac:dyDescent="0.25">
      <c r="A631" s="206"/>
      <c r="B631" s="214"/>
      <c r="C631" s="205"/>
      <c r="D631" s="206"/>
      <c r="E631" s="625"/>
      <c r="G631" s="208"/>
      <c r="H631" s="208"/>
      <c r="I631" s="208"/>
      <c r="J631" s="208"/>
      <c r="K631" s="208"/>
      <c r="L631" s="208"/>
      <c r="M631" s="208"/>
      <c r="N631" s="208"/>
      <c r="O631" s="208"/>
      <c r="P631" s="208"/>
      <c r="Q631" s="208"/>
      <c r="R631" s="208"/>
      <c r="S631" s="208"/>
    </row>
    <row r="632" spans="1:19" s="207" customFormat="1" x14ac:dyDescent="0.25">
      <c r="A632" s="206"/>
      <c r="B632" s="214"/>
      <c r="C632" s="205"/>
      <c r="D632" s="206"/>
      <c r="E632" s="625"/>
      <c r="G632" s="208"/>
      <c r="H632" s="208"/>
      <c r="I632" s="208"/>
      <c r="J632" s="208"/>
      <c r="K632" s="208"/>
      <c r="L632" s="208"/>
      <c r="M632" s="208"/>
      <c r="N632" s="208"/>
      <c r="O632" s="208"/>
      <c r="P632" s="208"/>
      <c r="Q632" s="208"/>
      <c r="R632" s="208"/>
      <c r="S632" s="208"/>
    </row>
    <row r="633" spans="1:19" s="207" customFormat="1" x14ac:dyDescent="0.25">
      <c r="A633" s="206"/>
      <c r="B633" s="214"/>
      <c r="C633" s="205"/>
      <c r="D633" s="206"/>
      <c r="E633" s="625"/>
      <c r="G633" s="208"/>
      <c r="H633" s="208"/>
      <c r="I633" s="208"/>
      <c r="J633" s="208"/>
      <c r="K633" s="208"/>
      <c r="L633" s="208"/>
      <c r="M633" s="208"/>
      <c r="N633" s="208"/>
      <c r="O633" s="208"/>
      <c r="P633" s="208"/>
      <c r="Q633" s="208"/>
      <c r="R633" s="208"/>
      <c r="S633" s="208"/>
    </row>
    <row r="634" spans="1:19" s="207" customFormat="1" x14ac:dyDescent="0.25">
      <c r="A634" s="206"/>
      <c r="B634" s="214"/>
      <c r="C634" s="205"/>
      <c r="D634" s="206"/>
      <c r="E634" s="625"/>
      <c r="G634" s="208"/>
      <c r="H634" s="208"/>
      <c r="I634" s="208"/>
      <c r="J634" s="208"/>
      <c r="K634" s="208"/>
      <c r="L634" s="208"/>
      <c r="M634" s="208"/>
      <c r="N634" s="208"/>
      <c r="O634" s="208"/>
      <c r="P634" s="208"/>
      <c r="Q634" s="208"/>
      <c r="R634" s="208"/>
      <c r="S634" s="208"/>
    </row>
    <row r="635" spans="1:19" s="207" customFormat="1" x14ac:dyDescent="0.25">
      <c r="A635" s="206"/>
      <c r="B635" s="214"/>
      <c r="C635" s="205"/>
      <c r="D635" s="206"/>
      <c r="E635" s="625"/>
      <c r="G635" s="208"/>
      <c r="H635" s="208"/>
      <c r="I635" s="208"/>
      <c r="J635" s="208"/>
      <c r="K635" s="208"/>
      <c r="L635" s="208"/>
      <c r="M635" s="208"/>
      <c r="N635" s="208"/>
      <c r="O635" s="208"/>
      <c r="P635" s="208"/>
      <c r="Q635" s="208"/>
      <c r="R635" s="208"/>
      <c r="S635" s="208"/>
    </row>
    <row r="636" spans="1:19" s="207" customFormat="1" x14ac:dyDescent="0.25">
      <c r="A636" s="206"/>
      <c r="B636" s="214"/>
      <c r="C636" s="205"/>
      <c r="D636" s="206"/>
      <c r="E636" s="625"/>
      <c r="G636" s="208"/>
      <c r="H636" s="208"/>
      <c r="I636" s="208"/>
      <c r="J636" s="208"/>
      <c r="K636" s="208"/>
      <c r="L636" s="208"/>
      <c r="M636" s="208"/>
      <c r="N636" s="208"/>
      <c r="O636" s="208"/>
      <c r="P636" s="208"/>
      <c r="Q636" s="208"/>
      <c r="R636" s="208"/>
      <c r="S636" s="208"/>
    </row>
    <row r="637" spans="1:19" s="207" customFormat="1" x14ac:dyDescent="0.25">
      <c r="A637" s="206"/>
      <c r="B637" s="214"/>
      <c r="C637" s="205"/>
      <c r="D637" s="206"/>
      <c r="E637" s="625"/>
      <c r="G637" s="208"/>
      <c r="H637" s="208"/>
      <c r="I637" s="208"/>
      <c r="J637" s="208"/>
      <c r="K637" s="208"/>
      <c r="L637" s="208"/>
      <c r="M637" s="208"/>
      <c r="N637" s="208"/>
      <c r="O637" s="208"/>
      <c r="P637" s="208"/>
      <c r="Q637" s="208"/>
      <c r="R637" s="208"/>
      <c r="S637" s="208"/>
    </row>
    <row r="638" spans="1:19" s="207" customFormat="1" x14ac:dyDescent="0.25">
      <c r="A638" s="206"/>
      <c r="B638" s="214"/>
      <c r="C638" s="205"/>
      <c r="D638" s="206"/>
      <c r="E638" s="625"/>
      <c r="G638" s="208"/>
      <c r="H638" s="208"/>
      <c r="I638" s="208"/>
      <c r="J638" s="208"/>
      <c r="K638" s="208"/>
      <c r="L638" s="208"/>
      <c r="M638" s="208"/>
      <c r="N638" s="208"/>
      <c r="O638" s="208"/>
      <c r="P638" s="208"/>
      <c r="Q638" s="208"/>
      <c r="R638" s="208"/>
      <c r="S638" s="208"/>
    </row>
    <row r="639" spans="1:19" s="207" customFormat="1" x14ac:dyDescent="0.25">
      <c r="A639" s="206"/>
      <c r="B639" s="214"/>
      <c r="C639" s="205"/>
      <c r="D639" s="206"/>
      <c r="E639" s="625"/>
      <c r="G639" s="208"/>
      <c r="H639" s="208"/>
      <c r="I639" s="208"/>
      <c r="J639" s="208"/>
      <c r="K639" s="208"/>
      <c r="L639" s="208"/>
      <c r="M639" s="208"/>
      <c r="N639" s="208"/>
      <c r="O639" s="208"/>
      <c r="P639" s="208"/>
      <c r="Q639" s="208"/>
      <c r="R639" s="208"/>
      <c r="S639" s="208"/>
    </row>
    <row r="640" spans="1:19" s="207" customFormat="1" x14ac:dyDescent="0.25">
      <c r="A640" s="206"/>
      <c r="B640" s="214"/>
      <c r="C640" s="205"/>
      <c r="D640" s="206"/>
      <c r="E640" s="625"/>
      <c r="G640" s="208"/>
      <c r="H640" s="208"/>
      <c r="I640" s="208"/>
      <c r="J640" s="208"/>
      <c r="K640" s="208"/>
      <c r="L640" s="208"/>
      <c r="M640" s="208"/>
      <c r="N640" s="208"/>
      <c r="O640" s="208"/>
      <c r="P640" s="208"/>
      <c r="Q640" s="208"/>
      <c r="R640" s="208"/>
      <c r="S640" s="208"/>
    </row>
    <row r="641" spans="1:19" s="207" customFormat="1" x14ac:dyDescent="0.25">
      <c r="A641" s="206"/>
      <c r="B641" s="214"/>
      <c r="C641" s="205"/>
      <c r="D641" s="206"/>
      <c r="E641" s="625"/>
      <c r="G641" s="208"/>
      <c r="H641" s="208"/>
      <c r="I641" s="208"/>
      <c r="J641" s="208"/>
      <c r="K641" s="208"/>
      <c r="L641" s="208"/>
      <c r="M641" s="208"/>
      <c r="N641" s="208"/>
      <c r="O641" s="208"/>
      <c r="P641" s="208"/>
      <c r="Q641" s="208"/>
      <c r="R641" s="208"/>
      <c r="S641" s="208"/>
    </row>
    <row r="642" spans="1:19" s="207" customFormat="1" x14ac:dyDescent="0.25">
      <c r="A642" s="206"/>
      <c r="B642" s="214"/>
      <c r="C642" s="205"/>
      <c r="D642" s="206"/>
      <c r="E642" s="625"/>
      <c r="G642" s="208"/>
      <c r="H642" s="208"/>
      <c r="I642" s="208"/>
      <c r="J642" s="208"/>
      <c r="K642" s="208"/>
      <c r="L642" s="208"/>
      <c r="M642" s="208"/>
      <c r="N642" s="208"/>
      <c r="O642" s="208"/>
      <c r="P642" s="208"/>
      <c r="Q642" s="208"/>
      <c r="R642" s="208"/>
      <c r="S642" s="208"/>
    </row>
    <row r="643" spans="1:19" s="207" customFormat="1" x14ac:dyDescent="0.25">
      <c r="A643" s="206"/>
      <c r="B643" s="214"/>
      <c r="C643" s="205"/>
      <c r="D643" s="206"/>
      <c r="E643" s="625"/>
      <c r="G643" s="208"/>
      <c r="H643" s="208"/>
      <c r="I643" s="208"/>
      <c r="J643" s="208"/>
      <c r="K643" s="208"/>
      <c r="L643" s="208"/>
      <c r="M643" s="208"/>
      <c r="N643" s="208"/>
      <c r="O643" s="208"/>
      <c r="P643" s="208"/>
      <c r="Q643" s="208"/>
      <c r="R643" s="208"/>
      <c r="S643" s="208"/>
    </row>
    <row r="644" spans="1:19" s="207" customFormat="1" x14ac:dyDescent="0.25">
      <c r="A644" s="206"/>
      <c r="B644" s="214"/>
      <c r="C644" s="205"/>
      <c r="D644" s="206"/>
      <c r="E644" s="625"/>
      <c r="G644" s="208"/>
      <c r="H644" s="208"/>
      <c r="I644" s="208"/>
      <c r="J644" s="208"/>
      <c r="K644" s="208"/>
      <c r="L644" s="208"/>
      <c r="M644" s="208"/>
      <c r="N644" s="208"/>
      <c r="O644" s="208"/>
      <c r="P644" s="208"/>
      <c r="Q644" s="208"/>
      <c r="R644" s="208"/>
      <c r="S644" s="208"/>
    </row>
    <row r="645" spans="1:19" x14ac:dyDescent="0.25">
      <c r="E645" s="625"/>
    </row>
    <row r="646" spans="1:19" x14ac:dyDescent="0.25">
      <c r="B646" s="219"/>
      <c r="F646" s="230"/>
    </row>
    <row r="647" spans="1:19" x14ac:dyDescent="0.25">
      <c r="B647" s="219"/>
      <c r="F647" s="230"/>
    </row>
    <row r="648" spans="1:19" x14ac:dyDescent="0.25">
      <c r="B648" s="210" t="s">
        <v>607</v>
      </c>
      <c r="C648" s="221"/>
      <c r="D648" s="209"/>
      <c r="E648" s="621"/>
      <c r="F648" s="235"/>
    </row>
    <row r="649" spans="1:19" x14ac:dyDescent="0.25">
      <c r="B649" s="220" t="s">
        <v>534</v>
      </c>
      <c r="C649" s="221"/>
      <c r="D649" s="209"/>
      <c r="E649" s="621" t="s">
        <v>15</v>
      </c>
      <c r="F649" s="286">
        <f>SUM(F615:F648)</f>
        <v>9355500</v>
      </c>
    </row>
    <row r="650" spans="1:19" x14ac:dyDescent="0.25">
      <c r="A650" s="209" t="s">
        <v>796</v>
      </c>
      <c r="B650" s="209"/>
      <c r="C650" s="221" t="s">
        <v>773</v>
      </c>
      <c r="D650" s="209" t="s">
        <v>765</v>
      </c>
      <c r="E650" s="621" t="s">
        <v>914</v>
      </c>
      <c r="F650" s="273" t="s">
        <v>768</v>
      </c>
    </row>
    <row r="651" spans="1:19" s="497" customFormat="1" ht="16.5" customHeight="1" x14ac:dyDescent="0.3">
      <c r="A651" s="373"/>
      <c r="B651" s="374" t="s">
        <v>608</v>
      </c>
      <c r="C651" s="373"/>
      <c r="D651" s="373"/>
      <c r="E651" s="375"/>
      <c r="F651" s="376"/>
      <c r="G651" s="377"/>
      <c r="H651" s="377"/>
      <c r="I651" s="377"/>
      <c r="J651" s="377"/>
      <c r="K651" s="377"/>
      <c r="L651" s="377"/>
      <c r="M651" s="377"/>
      <c r="N651" s="377"/>
      <c r="O651" s="377"/>
      <c r="P651" s="377"/>
      <c r="Q651" s="377"/>
      <c r="R651" s="377"/>
      <c r="S651" s="377"/>
    </row>
    <row r="652" spans="1:19" s="497" customFormat="1" ht="12" customHeight="1" x14ac:dyDescent="0.3">
      <c r="A652" s="373"/>
      <c r="B652" s="374"/>
      <c r="C652" s="373"/>
      <c r="D652" s="373"/>
      <c r="E652" s="375"/>
      <c r="F652" s="376"/>
      <c r="G652" s="377"/>
      <c r="H652" s="377"/>
      <c r="I652" s="377"/>
      <c r="J652" s="377"/>
      <c r="K652" s="377"/>
      <c r="L652" s="377"/>
      <c r="M652" s="377"/>
      <c r="N652" s="377"/>
      <c r="O652" s="377"/>
      <c r="P652" s="377"/>
      <c r="Q652" s="377"/>
      <c r="R652" s="377"/>
      <c r="S652" s="377"/>
    </row>
    <row r="653" spans="1:19" s="497" customFormat="1" ht="16.5" customHeight="1" x14ac:dyDescent="0.3">
      <c r="A653" s="373"/>
      <c r="B653" s="374" t="s">
        <v>781</v>
      </c>
      <c r="C653" s="373"/>
      <c r="D653" s="373"/>
      <c r="E653" s="375"/>
      <c r="F653" s="376"/>
      <c r="G653" s="377"/>
      <c r="H653" s="377"/>
      <c r="I653" s="377"/>
      <c r="J653" s="377"/>
      <c r="K653" s="377"/>
      <c r="L653" s="377"/>
      <c r="M653" s="377"/>
      <c r="N653" s="377"/>
      <c r="O653" s="377"/>
      <c r="P653" s="377"/>
      <c r="Q653" s="377"/>
      <c r="R653" s="377"/>
      <c r="S653" s="377"/>
    </row>
    <row r="654" spans="1:19" s="497" customFormat="1" ht="12" customHeight="1" x14ac:dyDescent="0.3">
      <c r="A654" s="373"/>
      <c r="B654" s="374"/>
      <c r="C654" s="373"/>
      <c r="D654" s="373"/>
      <c r="E654" s="375"/>
      <c r="F654" s="376"/>
      <c r="G654" s="377"/>
      <c r="H654" s="377"/>
      <c r="I654" s="377"/>
      <c r="J654" s="377"/>
      <c r="K654" s="377"/>
      <c r="L654" s="377"/>
      <c r="M654" s="377"/>
      <c r="N654" s="377"/>
      <c r="O654" s="377"/>
      <c r="P654" s="377"/>
      <c r="Q654" s="377"/>
      <c r="R654" s="377"/>
      <c r="S654" s="377"/>
    </row>
    <row r="655" spans="1:19" s="497" customFormat="1" ht="16.5" customHeight="1" x14ac:dyDescent="0.3">
      <c r="A655" s="373"/>
      <c r="B655" s="378" t="s">
        <v>226</v>
      </c>
      <c r="C655" s="373"/>
      <c r="D655" s="373"/>
      <c r="E655" s="375"/>
      <c r="F655" s="376"/>
      <c r="G655" s="377"/>
      <c r="H655" s="377"/>
      <c r="I655" s="377"/>
      <c r="J655" s="377"/>
      <c r="K655" s="377"/>
      <c r="L655" s="377"/>
      <c r="M655" s="377"/>
      <c r="N655" s="377"/>
      <c r="O655" s="377"/>
      <c r="P655" s="377"/>
      <c r="Q655" s="377"/>
      <c r="R655" s="377"/>
      <c r="S655" s="377"/>
    </row>
    <row r="656" spans="1:19" s="497" customFormat="1" ht="12" customHeight="1" x14ac:dyDescent="0.3">
      <c r="A656" s="373"/>
      <c r="B656" s="379"/>
      <c r="C656" s="373"/>
      <c r="D656" s="373"/>
      <c r="E656" s="375"/>
      <c r="F656" s="376"/>
      <c r="G656" s="377"/>
      <c r="H656" s="377"/>
      <c r="I656" s="377"/>
      <c r="J656" s="377"/>
      <c r="K656" s="377"/>
      <c r="L656" s="377"/>
      <c r="M656" s="377"/>
      <c r="N656" s="377"/>
      <c r="O656" s="377"/>
      <c r="P656" s="377"/>
      <c r="Q656" s="377"/>
      <c r="R656" s="377"/>
      <c r="S656" s="377"/>
    </row>
    <row r="657" spans="1:19" s="497" customFormat="1" ht="30" x14ac:dyDescent="0.3">
      <c r="A657" s="516"/>
      <c r="B657" s="517" t="s">
        <v>782</v>
      </c>
      <c r="C657" s="516"/>
      <c r="D657" s="516"/>
      <c r="E657" s="626"/>
      <c r="F657" s="518"/>
      <c r="G657" s="518"/>
      <c r="H657" s="518"/>
      <c r="I657" s="518"/>
      <c r="J657" s="518"/>
      <c r="K657" s="518"/>
      <c r="L657" s="518"/>
      <c r="M657" s="518"/>
      <c r="N657" s="518"/>
      <c r="O657" s="518"/>
      <c r="P657" s="518"/>
      <c r="Q657" s="518"/>
      <c r="R657" s="518"/>
      <c r="S657" s="518"/>
    </row>
    <row r="658" spans="1:19" s="497" customFormat="1" ht="30" customHeight="1" x14ac:dyDescent="0.3">
      <c r="A658" s="516" t="s">
        <v>2</v>
      </c>
      <c r="B658" s="520" t="s">
        <v>1031</v>
      </c>
      <c r="C658" s="516"/>
      <c r="D658" s="516" t="s">
        <v>3</v>
      </c>
      <c r="E658" s="627">
        <f>150000*6.6</f>
        <v>990000</v>
      </c>
      <c r="F658" s="522">
        <f>E658*C658</f>
        <v>0</v>
      </c>
      <c r="G658" s="518"/>
      <c r="H658" s="518"/>
      <c r="I658" s="518"/>
      <c r="J658" s="518"/>
      <c r="K658" s="518"/>
      <c r="L658" s="518"/>
      <c r="M658" s="518"/>
      <c r="N658" s="518"/>
      <c r="O658" s="518"/>
      <c r="P658" s="518"/>
      <c r="Q658" s="518"/>
      <c r="R658" s="518"/>
      <c r="S658" s="518"/>
    </row>
    <row r="659" spans="1:19" s="497" customFormat="1" ht="30" x14ac:dyDescent="0.3">
      <c r="A659" s="516" t="s">
        <v>4</v>
      </c>
      <c r="B659" s="520" t="s">
        <v>1105</v>
      </c>
      <c r="C659" s="516"/>
      <c r="D659" s="516" t="s">
        <v>3</v>
      </c>
      <c r="E659" s="627">
        <f>3.6*150000</f>
        <v>540000</v>
      </c>
      <c r="F659" s="522">
        <f>E659*C659</f>
        <v>0</v>
      </c>
      <c r="G659" s="518"/>
      <c r="H659" s="518"/>
      <c r="I659" s="518"/>
      <c r="J659" s="518"/>
      <c r="K659" s="518"/>
      <c r="L659" s="518"/>
      <c r="M659" s="518"/>
      <c r="N659" s="518"/>
      <c r="O659" s="518"/>
      <c r="P659" s="518"/>
      <c r="Q659" s="518"/>
      <c r="R659" s="518"/>
      <c r="S659" s="518"/>
    </row>
    <row r="660" spans="1:19" s="497" customFormat="1" ht="21" customHeight="1" x14ac:dyDescent="0.3">
      <c r="A660" s="516" t="s">
        <v>5</v>
      </c>
      <c r="B660" s="520" t="s">
        <v>1106</v>
      </c>
      <c r="C660" s="516"/>
      <c r="D660" s="516" t="s">
        <v>3</v>
      </c>
      <c r="E660" s="627">
        <f>2.15*150000</f>
        <v>322500</v>
      </c>
      <c r="F660" s="522">
        <f>E660*C660</f>
        <v>0</v>
      </c>
      <c r="G660" s="518"/>
      <c r="H660" s="518"/>
      <c r="I660" s="518"/>
      <c r="J660" s="518"/>
      <c r="K660" s="518"/>
      <c r="L660" s="518"/>
      <c r="M660" s="518"/>
      <c r="N660" s="518"/>
      <c r="O660" s="518"/>
      <c r="P660" s="518"/>
      <c r="Q660" s="518"/>
      <c r="R660" s="518"/>
      <c r="S660" s="518"/>
    </row>
    <row r="661" spans="1:19" s="497" customFormat="1" ht="21" customHeight="1" x14ac:dyDescent="0.3">
      <c r="A661" s="516" t="s">
        <v>6</v>
      </c>
      <c r="B661" s="520" t="s">
        <v>1028</v>
      </c>
      <c r="C661" s="516"/>
      <c r="D661" s="516" t="s">
        <v>3</v>
      </c>
      <c r="E661" s="627">
        <f>1.2*150000</f>
        <v>180000</v>
      </c>
      <c r="F661" s="522">
        <f>E661*C661</f>
        <v>0</v>
      </c>
      <c r="G661" s="518"/>
      <c r="H661" s="518"/>
      <c r="I661" s="518"/>
      <c r="J661" s="518"/>
      <c r="K661" s="518"/>
      <c r="L661" s="518"/>
      <c r="M661" s="518"/>
      <c r="N661" s="518"/>
      <c r="O661" s="518"/>
      <c r="P661" s="518"/>
      <c r="Q661" s="518"/>
      <c r="R661" s="518"/>
      <c r="S661" s="518"/>
    </row>
    <row r="662" spans="1:19" s="497" customFormat="1" ht="21" customHeight="1" x14ac:dyDescent="0.3">
      <c r="A662" s="516"/>
      <c r="B662" s="520"/>
      <c r="C662" s="516"/>
      <c r="D662" s="516"/>
      <c r="E662" s="628"/>
      <c r="F662" s="522"/>
      <c r="G662" s="518"/>
      <c r="H662" s="518"/>
      <c r="I662" s="518"/>
      <c r="J662" s="518"/>
      <c r="K662" s="518"/>
      <c r="L662" s="518"/>
      <c r="M662" s="518"/>
      <c r="N662" s="518"/>
      <c r="O662" s="518"/>
      <c r="P662" s="518"/>
      <c r="Q662" s="518"/>
      <c r="R662" s="518"/>
      <c r="S662" s="518"/>
    </row>
    <row r="663" spans="1:19" s="497" customFormat="1" ht="17.25" customHeight="1" x14ac:dyDescent="0.35">
      <c r="A663" s="516"/>
      <c r="B663" s="523" t="s">
        <v>783</v>
      </c>
      <c r="C663" s="516"/>
      <c r="D663" s="516"/>
      <c r="E663" s="628"/>
      <c r="F663" s="522"/>
      <c r="G663" s="518"/>
      <c r="H663" s="518"/>
      <c r="I663" s="518"/>
      <c r="J663" s="518"/>
      <c r="K663" s="518"/>
      <c r="L663" s="518"/>
      <c r="M663" s="518"/>
      <c r="N663" s="518"/>
      <c r="O663" s="518"/>
      <c r="P663" s="518"/>
      <c r="Q663" s="518"/>
      <c r="R663" s="518"/>
      <c r="S663" s="518"/>
    </row>
    <row r="664" spans="1:19" s="497" customFormat="1" ht="30" x14ac:dyDescent="0.3">
      <c r="A664" s="516"/>
      <c r="B664" s="524" t="s">
        <v>784</v>
      </c>
      <c r="C664" s="516"/>
      <c r="D664" s="516"/>
      <c r="E664" s="628"/>
      <c r="F664" s="522"/>
      <c r="G664" s="518"/>
      <c r="H664" s="518"/>
      <c r="I664" s="518"/>
      <c r="J664" s="518"/>
      <c r="K664" s="518"/>
      <c r="L664" s="518"/>
      <c r="M664" s="518"/>
      <c r="N664" s="518"/>
      <c r="O664" s="518"/>
      <c r="P664" s="518"/>
      <c r="Q664" s="518"/>
      <c r="R664" s="518"/>
      <c r="S664" s="518"/>
    </row>
    <row r="665" spans="1:19" s="497" customFormat="1" x14ac:dyDescent="0.3">
      <c r="A665" s="525"/>
      <c r="B665" s="524"/>
      <c r="C665" s="525"/>
      <c r="D665" s="525"/>
      <c r="E665" s="526"/>
      <c r="F665" s="527"/>
      <c r="G665" s="528"/>
      <c r="H665" s="528"/>
      <c r="I665" s="528"/>
      <c r="J665" s="528"/>
      <c r="K665" s="528"/>
      <c r="L665" s="528"/>
      <c r="M665" s="528"/>
      <c r="N665" s="528"/>
      <c r="O665" s="528"/>
      <c r="P665" s="528"/>
      <c r="Q665" s="528"/>
      <c r="R665" s="528"/>
      <c r="S665" s="528"/>
    </row>
    <row r="666" spans="1:19" s="497" customFormat="1" ht="60" x14ac:dyDescent="0.3">
      <c r="A666" s="525" t="s">
        <v>8</v>
      </c>
      <c r="B666" s="524" t="s">
        <v>1107</v>
      </c>
      <c r="C666" s="525">
        <v>6</v>
      </c>
      <c r="D666" s="525" t="s">
        <v>3</v>
      </c>
      <c r="E666" s="526">
        <v>3500000</v>
      </c>
      <c r="F666" s="527">
        <f>E666*C666</f>
        <v>21000000</v>
      </c>
      <c r="G666" s="528"/>
      <c r="H666" s="528"/>
      <c r="I666" s="528"/>
      <c r="J666" s="528"/>
      <c r="K666" s="528"/>
      <c r="L666" s="528"/>
      <c r="M666" s="528"/>
      <c r="N666" s="528"/>
      <c r="O666" s="528"/>
      <c r="P666" s="528"/>
      <c r="Q666" s="528"/>
      <c r="R666" s="528"/>
      <c r="S666" s="528"/>
    </row>
    <row r="667" spans="1:19" s="497" customFormat="1" x14ac:dyDescent="0.3">
      <c r="A667" s="525"/>
      <c r="B667" s="524"/>
      <c r="C667" s="525"/>
      <c r="D667" s="525"/>
      <c r="E667" s="526"/>
      <c r="F667" s="527"/>
      <c r="G667" s="528"/>
      <c r="H667" s="528"/>
      <c r="I667" s="528"/>
      <c r="J667" s="528"/>
      <c r="K667" s="528"/>
      <c r="L667" s="528"/>
      <c r="M667" s="528"/>
      <c r="N667" s="528"/>
      <c r="O667" s="528"/>
      <c r="P667" s="528"/>
      <c r="Q667" s="528"/>
      <c r="R667" s="528"/>
      <c r="S667" s="528"/>
    </row>
    <row r="668" spans="1:19" s="497" customFormat="1" ht="17.25" customHeight="1" x14ac:dyDescent="0.35">
      <c r="A668" s="516"/>
      <c r="B668" s="523" t="s">
        <v>785</v>
      </c>
      <c r="C668" s="516"/>
      <c r="D668" s="516"/>
      <c r="E668" s="628"/>
      <c r="F668" s="522"/>
      <c r="G668" s="518"/>
      <c r="H668" s="518"/>
      <c r="I668" s="518"/>
      <c r="J668" s="518"/>
      <c r="K668" s="518"/>
      <c r="L668" s="518"/>
      <c r="M668" s="518"/>
      <c r="N668" s="518"/>
      <c r="O668" s="518"/>
      <c r="P668" s="518"/>
      <c r="Q668" s="518"/>
      <c r="R668" s="518"/>
      <c r="S668" s="518"/>
    </row>
    <row r="669" spans="1:19" s="497" customFormat="1" ht="33" customHeight="1" x14ac:dyDescent="0.3">
      <c r="A669" s="516"/>
      <c r="B669" s="529" t="s">
        <v>786</v>
      </c>
      <c r="C669" s="516"/>
      <c r="D669" s="516"/>
      <c r="E669" s="628"/>
      <c r="F669" s="522"/>
      <c r="G669" s="518"/>
      <c r="H669" s="518"/>
      <c r="I669" s="518"/>
      <c r="J669" s="518"/>
      <c r="K669" s="518"/>
      <c r="L669" s="518"/>
      <c r="M669" s="518"/>
      <c r="N669" s="518"/>
      <c r="O669" s="518"/>
      <c r="P669" s="518"/>
      <c r="Q669" s="518"/>
      <c r="R669" s="518"/>
      <c r="S669" s="518"/>
    </row>
    <row r="670" spans="1:19" s="497" customFormat="1" x14ac:dyDescent="0.3">
      <c r="A670" s="516" t="s">
        <v>9</v>
      </c>
      <c r="B670" s="529" t="s">
        <v>787</v>
      </c>
      <c r="C670" s="530">
        <v>34</v>
      </c>
      <c r="D670" s="516" t="s">
        <v>22</v>
      </c>
      <c r="E670" s="628">
        <v>58000</v>
      </c>
      <c r="F670" s="522">
        <f>E670*C670</f>
        <v>1972000</v>
      </c>
      <c r="G670" s="518"/>
      <c r="H670" s="518"/>
      <c r="I670" s="518"/>
      <c r="J670" s="518"/>
      <c r="K670" s="518"/>
      <c r="L670" s="518"/>
      <c r="M670" s="518"/>
      <c r="N670" s="518"/>
      <c r="O670" s="518"/>
      <c r="P670" s="518"/>
      <c r="Q670" s="518"/>
      <c r="R670" s="518"/>
      <c r="S670" s="518"/>
    </row>
    <row r="671" spans="1:19" s="497" customFormat="1" ht="16.5" customHeight="1" x14ac:dyDescent="0.3">
      <c r="A671" s="516" t="s">
        <v>10</v>
      </c>
      <c r="B671" s="518" t="s">
        <v>1002</v>
      </c>
      <c r="C671" s="516">
        <v>16</v>
      </c>
      <c r="D671" s="516" t="s">
        <v>22</v>
      </c>
      <c r="E671" s="628">
        <v>39000</v>
      </c>
      <c r="F671" s="522">
        <f>E671*C671</f>
        <v>624000</v>
      </c>
      <c r="G671" s="518"/>
      <c r="H671" s="518"/>
      <c r="I671" s="518"/>
      <c r="J671" s="518"/>
      <c r="K671" s="518"/>
      <c r="L671" s="518"/>
      <c r="M671" s="518"/>
      <c r="N671" s="518"/>
      <c r="O671" s="518"/>
      <c r="P671" s="518"/>
      <c r="Q671" s="518"/>
      <c r="R671" s="518"/>
      <c r="S671" s="518"/>
    </row>
    <row r="672" spans="1:19" s="497" customFormat="1" ht="15" customHeight="1" x14ac:dyDescent="0.3">
      <c r="A672" s="516"/>
      <c r="B672" s="531"/>
      <c r="C672" s="516"/>
      <c r="D672" s="516"/>
      <c r="E672" s="628"/>
      <c r="F672" s="522"/>
      <c r="G672" s="518"/>
      <c r="H672" s="518"/>
      <c r="I672" s="518"/>
      <c r="J672" s="518"/>
      <c r="K672" s="518"/>
      <c r="L672" s="518"/>
      <c r="M672" s="518"/>
      <c r="N672" s="518"/>
      <c r="O672" s="518"/>
      <c r="P672" s="518"/>
      <c r="Q672" s="518"/>
      <c r="R672" s="518"/>
      <c r="S672" s="518"/>
    </row>
    <row r="673" spans="1:19" s="497" customFormat="1" ht="15" customHeight="1" x14ac:dyDescent="0.3">
      <c r="A673" s="516"/>
      <c r="B673" s="532" t="s">
        <v>795</v>
      </c>
      <c r="C673" s="516"/>
      <c r="D673" s="516"/>
      <c r="E673" s="628"/>
      <c r="F673" s="522"/>
      <c r="G673" s="518"/>
      <c r="H673" s="518"/>
      <c r="I673" s="518"/>
      <c r="J673" s="518"/>
      <c r="K673" s="518"/>
      <c r="L673" s="518"/>
      <c r="M673" s="518"/>
      <c r="N673" s="518"/>
      <c r="O673" s="518"/>
      <c r="P673" s="518"/>
      <c r="Q673" s="518"/>
      <c r="R673" s="518"/>
      <c r="S673" s="518"/>
    </row>
    <row r="674" spans="1:19" s="497" customFormat="1" ht="15" customHeight="1" x14ac:dyDescent="0.3">
      <c r="A674" s="516" t="s">
        <v>11</v>
      </c>
      <c r="B674" s="518" t="s">
        <v>794</v>
      </c>
      <c r="C674" s="516">
        <v>32</v>
      </c>
      <c r="D674" s="516" t="s">
        <v>35</v>
      </c>
      <c r="E674" s="628">
        <v>65000</v>
      </c>
      <c r="F674" s="522">
        <f>E674*C674</f>
        <v>2080000</v>
      </c>
      <c r="G674" s="518"/>
      <c r="H674" s="518"/>
      <c r="I674" s="518"/>
      <c r="J674" s="518"/>
      <c r="K674" s="518"/>
      <c r="L674" s="518"/>
      <c r="M674" s="518"/>
      <c r="N674" s="518"/>
      <c r="O674" s="518"/>
      <c r="P674" s="518"/>
      <c r="Q674" s="518"/>
      <c r="R674" s="518"/>
      <c r="S674" s="518"/>
    </row>
    <row r="675" spans="1:19" s="497" customFormat="1" ht="15" customHeight="1" x14ac:dyDescent="0.3">
      <c r="A675" s="516" t="s">
        <v>12</v>
      </c>
      <c r="B675" s="518" t="s">
        <v>931</v>
      </c>
      <c r="C675" s="516"/>
      <c r="D675" s="516" t="s">
        <v>35</v>
      </c>
      <c r="E675" s="628">
        <v>12000</v>
      </c>
      <c r="F675" s="522">
        <f>E675*C675</f>
        <v>0</v>
      </c>
      <c r="G675" s="518"/>
      <c r="H675" s="518"/>
      <c r="I675" s="518"/>
      <c r="J675" s="518"/>
      <c r="K675" s="518"/>
      <c r="L675" s="518"/>
      <c r="M675" s="518"/>
      <c r="N675" s="518"/>
      <c r="O675" s="518"/>
      <c r="P675" s="518"/>
      <c r="Q675" s="518"/>
      <c r="R675" s="518"/>
      <c r="S675" s="518"/>
    </row>
    <row r="676" spans="1:19" s="497" customFormat="1" ht="15" customHeight="1" x14ac:dyDescent="0.3">
      <c r="A676" s="516"/>
      <c r="B676" s="518"/>
      <c r="C676" s="516"/>
      <c r="D676" s="516"/>
      <c r="E676" s="628"/>
      <c r="F676" s="522"/>
      <c r="G676" s="518"/>
      <c r="H676" s="518"/>
      <c r="I676" s="518"/>
      <c r="J676" s="518"/>
      <c r="K676" s="518"/>
      <c r="L676" s="518"/>
      <c r="M676" s="518"/>
      <c r="N676" s="518"/>
      <c r="O676" s="518"/>
      <c r="P676" s="518"/>
      <c r="Q676" s="518"/>
      <c r="R676" s="518"/>
      <c r="S676" s="518"/>
    </row>
    <row r="677" spans="1:19" s="497" customFormat="1" ht="16.5" customHeight="1" x14ac:dyDescent="0.3">
      <c r="A677" s="373"/>
      <c r="B677" s="381" t="s">
        <v>788</v>
      </c>
      <c r="C677" s="377"/>
      <c r="D677" s="377"/>
      <c r="E677" s="377"/>
      <c r="F677" s="533"/>
      <c r="G677" s="377"/>
      <c r="H677" s="377"/>
      <c r="I677" s="377"/>
      <c r="J677" s="377"/>
      <c r="K677" s="377"/>
      <c r="L677" s="377"/>
      <c r="M677" s="377"/>
      <c r="N677" s="377"/>
      <c r="O677" s="377"/>
      <c r="P677" s="377"/>
      <c r="Q677" s="377"/>
      <c r="R677" s="377"/>
      <c r="S677" s="377"/>
    </row>
    <row r="678" spans="1:19" s="497" customFormat="1" ht="30" x14ac:dyDescent="0.3">
      <c r="A678" s="516"/>
      <c r="B678" s="529" t="s">
        <v>789</v>
      </c>
      <c r="C678" s="516"/>
      <c r="D678" s="516"/>
      <c r="E678" s="628"/>
      <c r="F678" s="533"/>
      <c r="G678" s="518"/>
      <c r="H678" s="518"/>
      <c r="I678" s="518"/>
      <c r="J678" s="518"/>
      <c r="K678" s="518"/>
      <c r="L678" s="518"/>
      <c r="M678" s="518"/>
      <c r="N678" s="518"/>
      <c r="O678" s="518"/>
      <c r="P678" s="518"/>
      <c r="Q678" s="518"/>
      <c r="R678" s="518"/>
      <c r="S678" s="518"/>
    </row>
    <row r="679" spans="1:19" s="497" customFormat="1" ht="16.5" customHeight="1" x14ac:dyDescent="0.3">
      <c r="A679" s="516"/>
      <c r="B679" s="529"/>
      <c r="C679" s="516"/>
      <c r="D679" s="516"/>
      <c r="E679" s="628"/>
      <c r="F679" s="533"/>
      <c r="G679" s="518"/>
      <c r="H679" s="518"/>
      <c r="I679" s="518"/>
      <c r="J679" s="518"/>
      <c r="K679" s="518"/>
      <c r="L679" s="518"/>
      <c r="M679" s="518"/>
      <c r="N679" s="518"/>
      <c r="O679" s="518"/>
      <c r="P679" s="518"/>
      <c r="Q679" s="518"/>
      <c r="R679" s="518"/>
      <c r="S679" s="518"/>
    </row>
    <row r="680" spans="1:19" s="497" customFormat="1" ht="16.5" customHeight="1" x14ac:dyDescent="0.3">
      <c r="A680" s="516" t="s">
        <v>13</v>
      </c>
      <c r="B680" s="379" t="s">
        <v>790</v>
      </c>
      <c r="C680" s="516">
        <v>103</v>
      </c>
      <c r="D680" s="373" t="s">
        <v>35</v>
      </c>
      <c r="E680" s="628">
        <v>6500</v>
      </c>
      <c r="F680" s="533">
        <f>E680*C680</f>
        <v>669500</v>
      </c>
      <c r="G680" s="518"/>
      <c r="H680" s="518"/>
      <c r="I680" s="518"/>
      <c r="J680" s="518"/>
      <c r="K680" s="518"/>
      <c r="L680" s="518"/>
      <c r="M680" s="518"/>
      <c r="N680" s="518"/>
      <c r="O680" s="518"/>
      <c r="P680" s="518"/>
      <c r="Q680" s="518"/>
      <c r="R680" s="518"/>
      <c r="S680" s="518"/>
    </row>
    <row r="681" spans="1:19" s="497" customFormat="1" ht="16.5" customHeight="1" x14ac:dyDescent="0.3">
      <c r="A681" s="516"/>
      <c r="B681" s="379"/>
      <c r="C681" s="516"/>
      <c r="D681" s="373"/>
      <c r="E681" s="628"/>
      <c r="F681" s="533"/>
      <c r="G681" s="518"/>
      <c r="H681" s="518"/>
      <c r="I681" s="518"/>
      <c r="J681" s="518"/>
      <c r="K681" s="518"/>
      <c r="L681" s="518"/>
      <c r="M681" s="518"/>
      <c r="N681" s="518"/>
      <c r="O681" s="518"/>
      <c r="P681" s="518"/>
      <c r="Q681" s="518"/>
      <c r="R681" s="518"/>
      <c r="S681" s="518"/>
    </row>
    <row r="682" spans="1:19" s="497" customFormat="1" ht="16.5" customHeight="1" x14ac:dyDescent="0.3">
      <c r="A682" s="516"/>
      <c r="B682" s="379"/>
      <c r="C682" s="516"/>
      <c r="D682" s="373"/>
      <c r="E682" s="628"/>
      <c r="F682" s="533"/>
      <c r="G682" s="518"/>
      <c r="H682" s="518"/>
      <c r="I682" s="518"/>
      <c r="J682" s="518"/>
      <c r="K682" s="518"/>
      <c r="L682" s="518"/>
      <c r="M682" s="518"/>
      <c r="N682" s="518"/>
      <c r="O682" s="518"/>
      <c r="P682" s="518"/>
      <c r="Q682" s="518"/>
      <c r="R682" s="518"/>
      <c r="S682" s="518"/>
    </row>
    <row r="683" spans="1:19" s="497" customFormat="1" ht="16.5" customHeight="1" x14ac:dyDescent="0.3">
      <c r="A683" s="516"/>
      <c r="B683" s="374" t="s">
        <v>781</v>
      </c>
      <c r="C683" s="516"/>
      <c r="D683" s="373"/>
      <c r="E683" s="628"/>
      <c r="F683" s="533"/>
      <c r="G683" s="518"/>
      <c r="H683" s="518"/>
      <c r="I683" s="518"/>
      <c r="J683" s="518"/>
      <c r="K683" s="518"/>
      <c r="L683" s="518"/>
      <c r="M683" s="518"/>
      <c r="N683" s="518"/>
      <c r="O683" s="518"/>
      <c r="P683" s="518"/>
      <c r="Q683" s="518"/>
      <c r="R683" s="518"/>
      <c r="S683" s="518"/>
    </row>
    <row r="684" spans="1:19" s="497" customFormat="1" ht="18" customHeight="1" x14ac:dyDescent="0.35">
      <c r="A684" s="373"/>
      <c r="B684" s="382" t="s">
        <v>791</v>
      </c>
      <c r="C684" s="380"/>
      <c r="D684" s="380"/>
      <c r="E684" s="629" t="s">
        <v>15</v>
      </c>
      <c r="F684" s="553">
        <f>SUM(F652:F680)</f>
        <v>26345500</v>
      </c>
      <c r="G684" s="377"/>
      <c r="H684" s="377"/>
      <c r="I684" s="377"/>
      <c r="J684" s="377"/>
      <c r="K684" s="377"/>
      <c r="L684" s="377"/>
      <c r="M684" s="377"/>
      <c r="N684" s="377"/>
      <c r="O684" s="377"/>
      <c r="P684" s="377"/>
      <c r="Q684" s="377"/>
      <c r="R684" s="377"/>
      <c r="S684" s="377"/>
    </row>
    <row r="685" spans="1:19" x14ac:dyDescent="0.25">
      <c r="A685" s="209" t="s">
        <v>796</v>
      </c>
      <c r="B685" s="209"/>
      <c r="C685" s="221" t="s">
        <v>773</v>
      </c>
      <c r="D685" s="209" t="s">
        <v>765</v>
      </c>
      <c r="E685" s="621" t="s">
        <v>914</v>
      </c>
      <c r="F685" s="273" t="s">
        <v>768</v>
      </c>
    </row>
    <row r="686" spans="1:19" x14ac:dyDescent="0.25">
      <c r="B686" s="210" t="s">
        <v>609</v>
      </c>
    </row>
    <row r="687" spans="1:19" ht="9" customHeight="1" x14ac:dyDescent="0.25">
      <c r="B687" s="220"/>
    </row>
    <row r="688" spans="1:19" x14ac:dyDescent="0.25">
      <c r="B688" s="210" t="s">
        <v>236</v>
      </c>
    </row>
    <row r="689" spans="1:6" x14ac:dyDescent="0.25">
      <c r="B689" s="219" t="s">
        <v>610</v>
      </c>
    </row>
    <row r="690" spans="1:6" ht="12.6" customHeight="1" x14ac:dyDescent="0.25"/>
    <row r="691" spans="1:6" x14ac:dyDescent="0.25">
      <c r="B691" s="211" t="s">
        <v>283</v>
      </c>
    </row>
    <row r="692" spans="1:6" ht="30" x14ac:dyDescent="0.25">
      <c r="B692" s="224" t="s">
        <v>611</v>
      </c>
    </row>
    <row r="693" spans="1:6" ht="11.45" customHeight="1" x14ac:dyDescent="0.25"/>
    <row r="694" spans="1:6" x14ac:dyDescent="0.25">
      <c r="A694" s="206" t="s">
        <v>2</v>
      </c>
      <c r="B694" s="214" t="s">
        <v>612</v>
      </c>
      <c r="C694" s="205">
        <v>3233</v>
      </c>
      <c r="D694" s="206" t="s">
        <v>35</v>
      </c>
      <c r="E694" s="259">
        <f>E418</f>
        <v>3500</v>
      </c>
      <c r="F694" s="207">
        <f>E694*C694</f>
        <v>11315500</v>
      </c>
    </row>
    <row r="695" spans="1:6" ht="30" x14ac:dyDescent="0.25">
      <c r="A695" s="206" t="s">
        <v>4</v>
      </c>
      <c r="B695" s="218" t="s">
        <v>613</v>
      </c>
      <c r="C695" s="205">
        <v>433</v>
      </c>
      <c r="D695" s="206" t="s">
        <v>22</v>
      </c>
      <c r="E695" s="259">
        <f>E694*0.3</f>
        <v>1050</v>
      </c>
      <c r="F695" s="207">
        <f>E695*C695</f>
        <v>454650</v>
      </c>
    </row>
    <row r="696" spans="1:6" x14ac:dyDescent="0.25">
      <c r="B696" s="210" t="s">
        <v>614</v>
      </c>
    </row>
    <row r="697" spans="1:6" x14ac:dyDescent="0.25">
      <c r="B697" s="219" t="s">
        <v>615</v>
      </c>
      <c r="C697" s="256"/>
    </row>
    <row r="698" spans="1:6" ht="30" x14ac:dyDescent="0.25">
      <c r="B698" s="246" t="s">
        <v>616</v>
      </c>
    </row>
    <row r="699" spans="1:6" x14ac:dyDescent="0.25">
      <c r="A699" s="206" t="s">
        <v>5</v>
      </c>
      <c r="B699" s="214" t="s">
        <v>617</v>
      </c>
      <c r="C699" s="205">
        <f>C694-C711</f>
        <v>2371</v>
      </c>
      <c r="D699" s="206" t="s">
        <v>35</v>
      </c>
      <c r="E699" s="259">
        <f>E300</f>
        <v>1400</v>
      </c>
      <c r="F699" s="207">
        <f>E699*C699</f>
        <v>3319400</v>
      </c>
    </row>
    <row r="700" spans="1:6" ht="25.5" customHeight="1" x14ac:dyDescent="0.25">
      <c r="A700" s="206" t="s">
        <v>6</v>
      </c>
      <c r="B700" s="218" t="s">
        <v>618</v>
      </c>
      <c r="C700" s="205">
        <f>C695</f>
        <v>433</v>
      </c>
      <c r="D700" s="206" t="s">
        <v>22</v>
      </c>
      <c r="E700" s="259">
        <f>'[31]AJIWE STRIP MALL '!E708</f>
        <v>450</v>
      </c>
      <c r="F700" s="207">
        <f>E700*C700</f>
        <v>194850</v>
      </c>
    </row>
    <row r="701" spans="1:6" x14ac:dyDescent="0.25">
      <c r="B701" s="210" t="s">
        <v>152</v>
      </c>
    </row>
    <row r="702" spans="1:6" ht="30" x14ac:dyDescent="0.25">
      <c r="B702" s="224" t="s">
        <v>619</v>
      </c>
    </row>
    <row r="703" spans="1:6" x14ac:dyDescent="0.25">
      <c r="A703" s="206" t="s">
        <v>7</v>
      </c>
      <c r="B703" s="214" t="s">
        <v>612</v>
      </c>
      <c r="C703" s="205">
        <f>C699</f>
        <v>2371</v>
      </c>
      <c r="D703" s="206" t="s">
        <v>35</v>
      </c>
      <c r="E703" s="259">
        <f>E310</f>
        <v>2200</v>
      </c>
      <c r="F703" s="207">
        <f>E703*C703</f>
        <v>5216200</v>
      </c>
    </row>
    <row r="704" spans="1:6" x14ac:dyDescent="0.25">
      <c r="A704" s="206" t="s">
        <v>8</v>
      </c>
      <c r="B704" s="214" t="s">
        <v>620</v>
      </c>
      <c r="C704" s="205">
        <f>C700</f>
        <v>433</v>
      </c>
      <c r="D704" s="206" t="s">
        <v>22</v>
      </c>
      <c r="E704" s="259">
        <f>'[31]AJIWE STRIP MALL '!E712</f>
        <v>550</v>
      </c>
      <c r="F704" s="207">
        <f>E704*C704</f>
        <v>238150</v>
      </c>
    </row>
    <row r="705" spans="1:6" ht="33" x14ac:dyDescent="0.25">
      <c r="B705" s="234" t="s">
        <v>621</v>
      </c>
    </row>
    <row r="706" spans="1:6" ht="60" x14ac:dyDescent="0.25">
      <c r="B706" s="218" t="s">
        <v>622</v>
      </c>
    </row>
    <row r="707" spans="1:6" x14ac:dyDescent="0.25">
      <c r="A707" s="206" t="s">
        <v>9</v>
      </c>
      <c r="B707" s="214" t="s">
        <v>623</v>
      </c>
      <c r="C707" s="205">
        <v>262</v>
      </c>
      <c r="D707" s="206" t="s">
        <v>35</v>
      </c>
      <c r="E707" s="259">
        <v>7500</v>
      </c>
      <c r="F707" s="207">
        <f>E708*C707</f>
        <v>1965000</v>
      </c>
    </row>
    <row r="708" spans="1:6" x14ac:dyDescent="0.25">
      <c r="A708" s="206" t="s">
        <v>10</v>
      </c>
      <c r="B708" s="214" t="s">
        <v>624</v>
      </c>
      <c r="C708" s="205">
        <v>600</v>
      </c>
      <c r="D708" s="206" t="s">
        <v>35</v>
      </c>
      <c r="E708" s="259">
        <f>E707</f>
        <v>7500</v>
      </c>
      <c r="F708" s="207">
        <f>E708*C708</f>
        <v>4500000</v>
      </c>
    </row>
    <row r="709" spans="1:6" ht="33" x14ac:dyDescent="0.25">
      <c r="B709" s="234" t="s">
        <v>625</v>
      </c>
    </row>
    <row r="710" spans="1:6" x14ac:dyDescent="0.25">
      <c r="B710" s="219" t="s">
        <v>626</v>
      </c>
    </row>
    <row r="711" spans="1:6" x14ac:dyDescent="0.25">
      <c r="A711" s="206" t="s">
        <v>11</v>
      </c>
      <c r="B711" s="214" t="s">
        <v>627</v>
      </c>
      <c r="C711" s="205">
        <f>C707+C708</f>
        <v>862</v>
      </c>
      <c r="D711" s="206" t="s">
        <v>35</v>
      </c>
      <c r="E711" s="259">
        <f>2100</f>
        <v>2100</v>
      </c>
      <c r="F711" s="207">
        <f>E711*C711</f>
        <v>1810200</v>
      </c>
    </row>
    <row r="712" spans="1:6" x14ac:dyDescent="0.25">
      <c r="B712" s="210" t="s">
        <v>628</v>
      </c>
      <c r="F712" s="230"/>
    </row>
    <row r="713" spans="1:6" x14ac:dyDescent="0.25">
      <c r="B713" s="220" t="s">
        <v>629</v>
      </c>
      <c r="F713" s="230"/>
    </row>
    <row r="714" spans="1:6" ht="30" x14ac:dyDescent="0.25">
      <c r="B714" s="224" t="s">
        <v>630</v>
      </c>
      <c r="F714" s="230"/>
    </row>
    <row r="715" spans="1:6" ht="18" customHeight="1" x14ac:dyDescent="0.25">
      <c r="A715" s="206" t="s">
        <v>12</v>
      </c>
      <c r="B715" s="214" t="s">
        <v>612</v>
      </c>
      <c r="C715" s="205">
        <f>C482+C484</f>
        <v>959</v>
      </c>
      <c r="D715" s="206" t="s">
        <v>35</v>
      </c>
      <c r="E715" s="259">
        <f>E694</f>
        <v>3500</v>
      </c>
      <c r="F715" s="207">
        <f>E715*C715</f>
        <v>3356500</v>
      </c>
    </row>
    <row r="716" spans="1:6" x14ac:dyDescent="0.25">
      <c r="A716" s="206" t="s">
        <v>13</v>
      </c>
      <c r="B716" s="233" t="s">
        <v>24</v>
      </c>
      <c r="C716" s="262"/>
      <c r="D716" s="206" t="s">
        <v>35</v>
      </c>
      <c r="E716" s="259">
        <f>E715</f>
        <v>3500</v>
      </c>
      <c r="F716" s="207">
        <f>E716*C716</f>
        <v>0</v>
      </c>
    </row>
    <row r="717" spans="1:6" ht="30" x14ac:dyDescent="0.25">
      <c r="A717" s="206" t="s">
        <v>14</v>
      </c>
      <c r="B717" s="246" t="s">
        <v>631</v>
      </c>
      <c r="C717" s="205">
        <v>597</v>
      </c>
      <c r="D717" s="206" t="s">
        <v>22</v>
      </c>
      <c r="E717" s="259">
        <f>E695</f>
        <v>1050</v>
      </c>
      <c r="F717" s="207">
        <f>E717*C717</f>
        <v>626850</v>
      </c>
    </row>
    <row r="718" spans="1:6" x14ac:dyDescent="0.25">
      <c r="B718" s="233"/>
    </row>
    <row r="719" spans="1:6" x14ac:dyDescent="0.25">
      <c r="B719" s="233"/>
    </row>
    <row r="720" spans="1:6" x14ac:dyDescent="0.25">
      <c r="B720" s="220" t="s">
        <v>520</v>
      </c>
      <c r="C720" s="221"/>
      <c r="D720" s="209"/>
      <c r="E720" s="621" t="s">
        <v>15</v>
      </c>
      <c r="F720" s="222">
        <f>SUM(F689:F718)</f>
        <v>32997300</v>
      </c>
    </row>
    <row r="721" spans="1:6" x14ac:dyDescent="0.25">
      <c r="A721" s="209" t="s">
        <v>796</v>
      </c>
      <c r="B721" s="209"/>
      <c r="C721" s="221" t="s">
        <v>773</v>
      </c>
      <c r="D721" s="209" t="s">
        <v>765</v>
      </c>
      <c r="E721" s="621" t="s">
        <v>914</v>
      </c>
      <c r="F721" s="273" t="s">
        <v>768</v>
      </c>
    </row>
    <row r="722" spans="1:6" ht="19.5" customHeight="1" x14ac:dyDescent="0.25">
      <c r="B722" s="210" t="s">
        <v>632</v>
      </c>
    </row>
    <row r="723" spans="1:6" ht="12.75" customHeight="1" x14ac:dyDescent="0.25">
      <c r="B723" s="233"/>
    </row>
    <row r="724" spans="1:6" ht="33" x14ac:dyDescent="0.25">
      <c r="B724" s="234" t="s">
        <v>621</v>
      </c>
    </row>
    <row r="725" spans="1:6" ht="45" x14ac:dyDescent="0.25">
      <c r="B725" s="218" t="s">
        <v>488</v>
      </c>
    </row>
    <row r="726" spans="1:6" x14ac:dyDescent="0.25">
      <c r="A726" s="206" t="s">
        <v>2</v>
      </c>
      <c r="B726" s="214" t="s">
        <v>633</v>
      </c>
      <c r="D726" s="206" t="s">
        <v>35</v>
      </c>
      <c r="E726" s="259">
        <v>8200</v>
      </c>
      <c r="F726" s="207">
        <f>E726*C726</f>
        <v>0</v>
      </c>
    </row>
    <row r="727" spans="1:6" ht="33" x14ac:dyDescent="0.25">
      <c r="B727" s="264" t="s">
        <v>634</v>
      </c>
    </row>
    <row r="728" spans="1:6" x14ac:dyDescent="0.25">
      <c r="B728" s="214" t="s">
        <v>626</v>
      </c>
    </row>
    <row r="729" spans="1:6" x14ac:dyDescent="0.25">
      <c r="A729" s="206" t="s">
        <v>4</v>
      </c>
      <c r="B729" s="214" t="s">
        <v>627</v>
      </c>
      <c r="D729" s="206" t="s">
        <v>35</v>
      </c>
      <c r="E729" s="259">
        <v>2650</v>
      </c>
      <c r="F729" s="207">
        <f>E729*C729</f>
        <v>0</v>
      </c>
    </row>
    <row r="730" spans="1:6" s="269" customFormat="1" x14ac:dyDescent="0.25">
      <c r="A730" s="265"/>
      <c r="B730" s="266" t="s">
        <v>615</v>
      </c>
      <c r="C730" s="267"/>
      <c r="D730" s="265"/>
      <c r="E730" s="259"/>
      <c r="F730" s="268"/>
    </row>
    <row r="731" spans="1:6" s="269" customFormat="1" ht="30" x14ac:dyDescent="0.25">
      <c r="A731" s="265"/>
      <c r="B731" s="270" t="s">
        <v>616</v>
      </c>
      <c r="C731" s="267"/>
      <c r="D731" s="265"/>
      <c r="E731" s="259"/>
      <c r="F731" s="268"/>
    </row>
    <row r="732" spans="1:6" s="269" customFormat="1" x14ac:dyDescent="0.25">
      <c r="A732" s="265" t="s">
        <v>5</v>
      </c>
      <c r="B732" s="269" t="s">
        <v>617</v>
      </c>
      <c r="C732" s="262">
        <f>C715</f>
        <v>959</v>
      </c>
      <c r="D732" s="265" t="s">
        <v>35</v>
      </c>
      <c r="E732" s="259">
        <f>E444</f>
        <v>1400</v>
      </c>
      <c r="F732" s="268">
        <f>E732*C732</f>
        <v>1342600</v>
      </c>
    </row>
    <row r="733" spans="1:6" s="269" customFormat="1" ht="24" customHeight="1" x14ac:dyDescent="0.25">
      <c r="A733" s="265" t="s">
        <v>6</v>
      </c>
      <c r="B733" s="271" t="s">
        <v>618</v>
      </c>
      <c r="C733" s="262">
        <f>C717</f>
        <v>597</v>
      </c>
      <c r="D733" s="265" t="s">
        <v>22</v>
      </c>
      <c r="E733" s="259">
        <v>550</v>
      </c>
      <c r="F733" s="268">
        <f>E733*C733</f>
        <v>328350</v>
      </c>
    </row>
    <row r="734" spans="1:6" s="269" customFormat="1" x14ac:dyDescent="0.25">
      <c r="A734" s="265" t="s">
        <v>7</v>
      </c>
      <c r="B734" s="271" t="s">
        <v>636</v>
      </c>
      <c r="C734" s="262"/>
      <c r="D734" s="265" t="s">
        <v>35</v>
      </c>
      <c r="E734" s="259">
        <f>E732</f>
        <v>1400</v>
      </c>
      <c r="F734" s="268">
        <f>E734*C734</f>
        <v>0</v>
      </c>
    </row>
    <row r="735" spans="1:6" x14ac:dyDescent="0.25">
      <c r="A735" s="206" t="s">
        <v>8</v>
      </c>
      <c r="B735" s="233" t="s">
        <v>495</v>
      </c>
      <c r="D735" s="206" t="s">
        <v>22</v>
      </c>
      <c r="E735" s="259">
        <f>E733</f>
        <v>550</v>
      </c>
      <c r="F735" s="207">
        <f>E735*C735</f>
        <v>0</v>
      </c>
    </row>
    <row r="736" spans="1:6" s="269" customFormat="1" x14ac:dyDescent="0.25">
      <c r="A736" s="265"/>
      <c r="B736" s="271"/>
      <c r="C736" s="262"/>
      <c r="D736" s="265"/>
      <c r="E736" s="259"/>
      <c r="F736" s="268"/>
    </row>
    <row r="737" spans="1:6" ht="27" customHeight="1" x14ac:dyDescent="0.25">
      <c r="B737" s="210" t="s">
        <v>152</v>
      </c>
    </row>
    <row r="738" spans="1:6" ht="30" x14ac:dyDescent="0.25">
      <c r="B738" s="226" t="s">
        <v>635</v>
      </c>
    </row>
    <row r="739" spans="1:6" x14ac:dyDescent="0.25">
      <c r="A739" s="206" t="s">
        <v>9</v>
      </c>
      <c r="B739" s="233" t="s">
        <v>612</v>
      </c>
      <c r="C739" s="205">
        <f>C732</f>
        <v>959</v>
      </c>
      <c r="D739" s="206" t="s">
        <v>35</v>
      </c>
      <c r="E739" s="259">
        <f>E451</f>
        <v>2200</v>
      </c>
      <c r="F739" s="207">
        <f>E739*C739</f>
        <v>2109800</v>
      </c>
    </row>
    <row r="740" spans="1:6" s="269" customFormat="1" ht="24" customHeight="1" x14ac:dyDescent="0.25">
      <c r="A740" s="265" t="s">
        <v>10</v>
      </c>
      <c r="B740" s="271" t="s">
        <v>618</v>
      </c>
      <c r="C740" s="262">
        <f>C733</f>
        <v>597</v>
      </c>
      <c r="D740" s="265" t="s">
        <v>22</v>
      </c>
      <c r="E740" s="259">
        <v>900</v>
      </c>
      <c r="F740" s="268">
        <f>E740*C740</f>
        <v>537300</v>
      </c>
    </row>
    <row r="741" spans="1:6" ht="18.95" customHeight="1" x14ac:dyDescent="0.25">
      <c r="A741" s="206" t="s">
        <v>11</v>
      </c>
      <c r="B741" s="218" t="s">
        <v>636</v>
      </c>
      <c r="D741" s="206" t="s">
        <v>35</v>
      </c>
      <c r="F741" s="207">
        <f>E741*C741</f>
        <v>0</v>
      </c>
    </row>
    <row r="742" spans="1:6" x14ac:dyDescent="0.25">
      <c r="A742" s="206" t="s">
        <v>12</v>
      </c>
      <c r="B742" s="218" t="s">
        <v>685</v>
      </c>
      <c r="D742" s="206" t="s">
        <v>22</v>
      </c>
      <c r="E742" s="259">
        <f>E739*0.3</f>
        <v>660</v>
      </c>
      <c r="F742" s="207">
        <f>E742*C742</f>
        <v>0</v>
      </c>
    </row>
    <row r="743" spans="1:6" x14ac:dyDescent="0.25">
      <c r="A743" s="206" t="s">
        <v>13</v>
      </c>
      <c r="B743" s="214" t="s">
        <v>686</v>
      </c>
      <c r="D743" s="206" t="s">
        <v>22</v>
      </c>
      <c r="F743" s="207">
        <f>E743*C743</f>
        <v>0</v>
      </c>
    </row>
    <row r="744" spans="1:6" ht="15.75" customHeight="1" x14ac:dyDescent="0.25"/>
    <row r="745" spans="1:6" ht="13.5" customHeight="1" x14ac:dyDescent="0.25">
      <c r="B745" s="220" t="s">
        <v>525</v>
      </c>
      <c r="C745" s="221"/>
      <c r="D745" s="209"/>
      <c r="E745" s="621" t="s">
        <v>15</v>
      </c>
      <c r="F745" s="285">
        <f>SUM(F726:F744)</f>
        <v>4318050</v>
      </c>
    </row>
    <row r="746" spans="1:6" x14ac:dyDescent="0.25">
      <c r="B746" s="220"/>
      <c r="C746" s="221"/>
      <c r="D746" s="209"/>
      <c r="E746" s="621"/>
      <c r="F746" s="285"/>
    </row>
    <row r="747" spans="1:6" x14ac:dyDescent="0.25">
      <c r="B747" s="210" t="s">
        <v>531</v>
      </c>
      <c r="C747" s="221"/>
      <c r="D747" s="209"/>
      <c r="E747" s="621"/>
      <c r="F747" s="285"/>
    </row>
    <row r="748" spans="1:6" x14ac:dyDescent="0.25">
      <c r="B748" s="210"/>
      <c r="C748" s="221"/>
      <c r="D748" s="209"/>
      <c r="E748" s="621"/>
      <c r="F748" s="285"/>
    </row>
    <row r="749" spans="1:6" x14ac:dyDescent="0.25">
      <c r="B749" s="231" t="s">
        <v>464</v>
      </c>
      <c r="C749" s="221"/>
      <c r="D749" s="209"/>
      <c r="E749" s="259">
        <f>F720</f>
        <v>32997300</v>
      </c>
      <c r="F749" s="285"/>
    </row>
    <row r="750" spans="1:6" x14ac:dyDescent="0.25">
      <c r="B750" s="231"/>
      <c r="C750" s="221"/>
      <c r="D750" s="209"/>
      <c r="F750" s="285"/>
    </row>
    <row r="751" spans="1:6" ht="18.75" customHeight="1" x14ac:dyDescent="0.25">
      <c r="B751" s="231" t="s">
        <v>637</v>
      </c>
      <c r="C751" s="221"/>
      <c r="D751" s="209"/>
      <c r="E751" s="259">
        <f>F745</f>
        <v>4318050</v>
      </c>
      <c r="F751" s="285"/>
    </row>
    <row r="752" spans="1:6" x14ac:dyDescent="0.25">
      <c r="B752" s="220"/>
      <c r="C752" s="221"/>
      <c r="D752" s="209"/>
      <c r="F752" s="285"/>
    </row>
    <row r="753" spans="1:6" ht="12" customHeight="1" x14ac:dyDescent="0.25">
      <c r="B753" s="220"/>
      <c r="C753" s="221"/>
      <c r="D753" s="209"/>
      <c r="E753" s="621"/>
      <c r="F753" s="285"/>
    </row>
    <row r="754" spans="1:6" ht="12" customHeight="1" x14ac:dyDescent="0.25">
      <c r="B754" s="220"/>
      <c r="C754" s="221"/>
      <c r="D754" s="209"/>
      <c r="E754" s="621"/>
      <c r="F754" s="285"/>
    </row>
    <row r="755" spans="1:6" ht="12" customHeight="1" x14ac:dyDescent="0.25">
      <c r="B755" s="210" t="s">
        <v>236</v>
      </c>
      <c r="C755" s="221"/>
      <c r="D755" s="209"/>
      <c r="E755" s="621"/>
      <c r="F755" s="285"/>
    </row>
    <row r="756" spans="1:6" ht="12" customHeight="1" x14ac:dyDescent="0.25">
      <c r="B756" s="220" t="s">
        <v>638</v>
      </c>
      <c r="C756" s="221"/>
      <c r="D756" s="209"/>
      <c r="E756" s="621" t="s">
        <v>15</v>
      </c>
      <c r="F756" s="285">
        <f>SUM(E747:E752)</f>
        <v>37315350</v>
      </c>
    </row>
    <row r="757" spans="1:6" x14ac:dyDescent="0.25">
      <c r="A757" s="209" t="s">
        <v>796</v>
      </c>
      <c r="B757" s="209"/>
      <c r="C757" s="221" t="s">
        <v>773</v>
      </c>
      <c r="D757" s="209" t="s">
        <v>765</v>
      </c>
      <c r="E757" s="621" t="s">
        <v>914</v>
      </c>
      <c r="F757" s="273" t="s">
        <v>768</v>
      </c>
    </row>
    <row r="758" spans="1:6" x14ac:dyDescent="0.25">
      <c r="B758" s="210" t="s">
        <v>639</v>
      </c>
    </row>
    <row r="759" spans="1:6" ht="12.75" customHeight="1" x14ac:dyDescent="0.25">
      <c r="B759" s="210" t="s">
        <v>265</v>
      </c>
    </row>
    <row r="760" spans="1:6" x14ac:dyDescent="0.25">
      <c r="B760" s="219" t="s">
        <v>610</v>
      </c>
    </row>
    <row r="761" spans="1:6" ht="16.149999999999999" customHeight="1" x14ac:dyDescent="0.25">
      <c r="B761" s="211" t="s">
        <v>640</v>
      </c>
    </row>
    <row r="762" spans="1:6" ht="60" x14ac:dyDescent="0.25">
      <c r="B762" s="226" t="s">
        <v>698</v>
      </c>
    </row>
    <row r="763" spans="1:6" x14ac:dyDescent="0.25">
      <c r="A763" s="206" t="s">
        <v>2</v>
      </c>
      <c r="B763" s="214" t="s">
        <v>1026</v>
      </c>
      <c r="C763" s="205">
        <v>103</v>
      </c>
      <c r="D763" s="206" t="s">
        <v>35</v>
      </c>
      <c r="E763" s="259">
        <v>8500</v>
      </c>
      <c r="F763" s="207">
        <f>E763*C763</f>
        <v>875500</v>
      </c>
    </row>
    <row r="764" spans="1:6" ht="60" x14ac:dyDescent="0.25">
      <c r="B764" s="224" t="s">
        <v>641</v>
      </c>
      <c r="F764" s="289"/>
    </row>
    <row r="765" spans="1:6" ht="30" x14ac:dyDescent="0.25">
      <c r="A765" s="206" t="s">
        <v>4</v>
      </c>
      <c r="B765" s="218" t="s">
        <v>1025</v>
      </c>
      <c r="C765" s="205">
        <v>276</v>
      </c>
      <c r="D765" s="206" t="s">
        <v>35</v>
      </c>
      <c r="E765" s="259">
        <f>E767</f>
        <v>12350</v>
      </c>
      <c r="F765" s="207">
        <f t="shared" ref="F765:F770" si="1">E765*C765</f>
        <v>3408600</v>
      </c>
    </row>
    <row r="766" spans="1:6" x14ac:dyDescent="0.25">
      <c r="A766" s="206" t="s">
        <v>5</v>
      </c>
      <c r="B766" s="214" t="s">
        <v>642</v>
      </c>
      <c r="C766" s="205">
        <f>C765*1.1</f>
        <v>303.60000000000002</v>
      </c>
      <c r="D766" s="206" t="s">
        <v>22</v>
      </c>
      <c r="E766" s="259">
        <f>E765*0.15</f>
        <v>1852.5</v>
      </c>
      <c r="F766" s="207">
        <f t="shared" si="1"/>
        <v>562419</v>
      </c>
    </row>
    <row r="767" spans="1:6" ht="30" x14ac:dyDescent="0.25">
      <c r="A767" s="206" t="s">
        <v>6</v>
      </c>
      <c r="B767" s="218" t="s">
        <v>1024</v>
      </c>
      <c r="C767" s="205">
        <v>108</v>
      </c>
      <c r="D767" s="206" t="s">
        <v>35</v>
      </c>
      <c r="E767" s="259">
        <v>12350</v>
      </c>
      <c r="F767" s="207">
        <f t="shared" si="1"/>
        <v>1333800</v>
      </c>
    </row>
    <row r="768" spans="1:6" x14ac:dyDescent="0.25">
      <c r="A768" s="206" t="s">
        <v>7</v>
      </c>
      <c r="B768" s="214" t="s">
        <v>642</v>
      </c>
      <c r="C768" s="205">
        <f>C767*1.1</f>
        <v>118.80000000000001</v>
      </c>
      <c r="D768" s="206" t="s">
        <v>22</v>
      </c>
      <c r="E768" s="259">
        <f>E767*0.15</f>
        <v>1852.5</v>
      </c>
      <c r="F768" s="207">
        <f t="shared" si="1"/>
        <v>220077.00000000003</v>
      </c>
    </row>
    <row r="769" spans="1:6" ht="30" x14ac:dyDescent="0.25">
      <c r="A769" s="240" t="s">
        <v>8</v>
      </c>
      <c r="B769" s="218" t="s">
        <v>1023</v>
      </c>
      <c r="C769" s="239">
        <v>372</v>
      </c>
      <c r="D769" s="240" t="s">
        <v>35</v>
      </c>
      <c r="E769" s="624">
        <f>E767</f>
        <v>12350</v>
      </c>
      <c r="F769" s="241">
        <f t="shared" si="1"/>
        <v>4594200</v>
      </c>
    </row>
    <row r="770" spans="1:6" ht="24" customHeight="1" x14ac:dyDescent="0.25">
      <c r="A770" s="206" t="s">
        <v>9</v>
      </c>
      <c r="B770" s="246" t="s">
        <v>642</v>
      </c>
      <c r="C770" s="205">
        <f>C769*1.1</f>
        <v>409.20000000000005</v>
      </c>
      <c r="D770" s="206" t="s">
        <v>22</v>
      </c>
      <c r="E770" s="259">
        <f>E769*0.15</f>
        <v>1852.5</v>
      </c>
      <c r="F770" s="207">
        <f t="shared" si="1"/>
        <v>758043.00000000012</v>
      </c>
    </row>
    <row r="771" spans="1:6" ht="9" customHeight="1" x14ac:dyDescent="0.25">
      <c r="B771" s="246"/>
    </row>
    <row r="772" spans="1:6" ht="30" x14ac:dyDescent="0.25">
      <c r="A772" s="206" t="s">
        <v>10</v>
      </c>
      <c r="B772" s="218" t="s">
        <v>1108</v>
      </c>
      <c r="C772" s="205">
        <v>69</v>
      </c>
      <c r="D772" s="206" t="s">
        <v>35</v>
      </c>
      <c r="E772" s="259">
        <f>E767</f>
        <v>12350</v>
      </c>
      <c r="F772" s="207">
        <f>E772*C772</f>
        <v>852150</v>
      </c>
    </row>
    <row r="773" spans="1:6" s="236" customFormat="1" ht="27" customHeight="1" x14ac:dyDescent="0.25">
      <c r="A773" s="206" t="s">
        <v>11</v>
      </c>
      <c r="B773" s="214" t="s">
        <v>642</v>
      </c>
      <c r="C773" s="205">
        <f>C772*1.1</f>
        <v>75.900000000000006</v>
      </c>
      <c r="D773" s="206" t="s">
        <v>22</v>
      </c>
      <c r="E773" s="259">
        <f>E772*0.15</f>
        <v>1852.5</v>
      </c>
      <c r="F773" s="207">
        <f>E773*C773</f>
        <v>140604.75</v>
      </c>
    </row>
    <row r="774" spans="1:6" s="260" customFormat="1" ht="35.450000000000003" customHeight="1" x14ac:dyDescent="0.25">
      <c r="A774" s="206"/>
      <c r="B774" s="234" t="s">
        <v>644</v>
      </c>
      <c r="C774" s="205"/>
      <c r="D774" s="206"/>
      <c r="E774" s="259"/>
      <c r="F774" s="288"/>
    </row>
    <row r="775" spans="1:6" ht="24" customHeight="1" x14ac:dyDescent="0.25">
      <c r="B775" s="219" t="s">
        <v>645</v>
      </c>
      <c r="F775" s="288"/>
    </row>
    <row r="776" spans="1:6" ht="18.95" customHeight="1" x14ac:dyDescent="0.25">
      <c r="A776" s="206" t="s">
        <v>12</v>
      </c>
      <c r="B776" s="214" t="s">
        <v>646</v>
      </c>
      <c r="C776" s="205">
        <f>C772+C769+C767+C765+C763</f>
        <v>928</v>
      </c>
      <c r="D776" s="206" t="s">
        <v>35</v>
      </c>
      <c r="E776" s="259">
        <v>4200</v>
      </c>
      <c r="F776" s="207">
        <f>E776*C776</f>
        <v>3897600</v>
      </c>
    </row>
    <row r="777" spans="1:6" x14ac:dyDescent="0.25">
      <c r="A777" s="206" t="s">
        <v>13</v>
      </c>
      <c r="B777" s="214" t="s">
        <v>627</v>
      </c>
      <c r="C777" s="205">
        <f>C770+C768+C766+C773</f>
        <v>907.5</v>
      </c>
      <c r="D777" s="206" t="s">
        <v>22</v>
      </c>
      <c r="E777" s="259">
        <f>E776*0.15</f>
        <v>630</v>
      </c>
      <c r="F777" s="207">
        <f>E777*C777</f>
        <v>571725</v>
      </c>
    </row>
    <row r="778" spans="1:6" ht="4.9000000000000004" customHeight="1" x14ac:dyDescent="0.25"/>
    <row r="779" spans="1:6" ht="15.75" customHeight="1" x14ac:dyDescent="0.25">
      <c r="B779" s="242" t="s">
        <v>628</v>
      </c>
      <c r="F779" s="227"/>
    </row>
    <row r="780" spans="1:6" ht="13.5" customHeight="1" x14ac:dyDescent="0.25">
      <c r="B780" s="224" t="s">
        <v>647</v>
      </c>
      <c r="F780" s="288"/>
    </row>
    <row r="781" spans="1:6" ht="13.5" customHeight="1" x14ac:dyDescent="0.25">
      <c r="B781" s="224"/>
      <c r="F781" s="288"/>
    </row>
    <row r="782" spans="1:6" ht="16.5" customHeight="1" x14ac:dyDescent="0.25">
      <c r="B782" s="210" t="s">
        <v>1021</v>
      </c>
      <c r="F782" s="227"/>
    </row>
    <row r="783" spans="1:6" ht="30" x14ac:dyDescent="0.25">
      <c r="A783" s="206" t="s">
        <v>14</v>
      </c>
      <c r="B783" s="218" t="s">
        <v>1022</v>
      </c>
      <c r="C783" s="205">
        <v>18</v>
      </c>
      <c r="D783" s="206" t="s">
        <v>35</v>
      </c>
      <c r="E783" s="259">
        <v>23000</v>
      </c>
      <c r="F783" s="207">
        <f>E783*C783</f>
        <v>414000</v>
      </c>
    </row>
    <row r="784" spans="1:6" x14ac:dyDescent="0.25">
      <c r="A784" s="206" t="s">
        <v>15</v>
      </c>
      <c r="B784" s="214" t="s">
        <v>642</v>
      </c>
      <c r="C784" s="205">
        <f>C783*1.1</f>
        <v>19.8</v>
      </c>
      <c r="D784" s="206" t="s">
        <v>22</v>
      </c>
      <c r="E784" s="259">
        <f>E783*0.15</f>
        <v>3450</v>
      </c>
      <c r="F784" s="207">
        <f>E784*C784</f>
        <v>68310</v>
      </c>
    </row>
    <row r="785" spans="1:6" ht="33" x14ac:dyDescent="0.25">
      <c r="B785" s="234" t="s">
        <v>648</v>
      </c>
      <c r="F785" s="227"/>
    </row>
    <row r="786" spans="1:6" x14ac:dyDescent="0.25">
      <c r="B786" s="224" t="s">
        <v>645</v>
      </c>
      <c r="F786" s="227"/>
    </row>
    <row r="787" spans="1:6" ht="18.75" customHeight="1" x14ac:dyDescent="0.25">
      <c r="A787" s="206" t="s">
        <v>16</v>
      </c>
      <c r="B787" s="214" t="s">
        <v>649</v>
      </c>
      <c r="C787" s="205">
        <f>C783</f>
        <v>18</v>
      </c>
      <c r="D787" s="206" t="s">
        <v>35</v>
      </c>
      <c r="E787" s="259">
        <f>E776</f>
        <v>4200</v>
      </c>
      <c r="F787" s="207">
        <f>E787*C787</f>
        <v>75600</v>
      </c>
    </row>
    <row r="788" spans="1:6" x14ac:dyDescent="0.25">
      <c r="A788" s="206" t="s">
        <v>17</v>
      </c>
      <c r="B788" s="214" t="s">
        <v>627</v>
      </c>
      <c r="C788" s="205">
        <f>C784</f>
        <v>19.8</v>
      </c>
      <c r="D788" s="206" t="s">
        <v>22</v>
      </c>
      <c r="E788" s="259">
        <f>E777</f>
        <v>630</v>
      </c>
      <c r="F788" s="207">
        <f>E788*C788</f>
        <v>12474</v>
      </c>
    </row>
    <row r="789" spans="1:6" ht="13.5" customHeight="1" x14ac:dyDescent="0.25">
      <c r="B789" s="224"/>
      <c r="F789" s="288"/>
    </row>
    <row r="793" spans="1:6" x14ac:dyDescent="0.25">
      <c r="B793" s="210" t="s">
        <v>265</v>
      </c>
    </row>
    <row r="794" spans="1:6" ht="12.75" customHeight="1" x14ac:dyDescent="0.25">
      <c r="B794" s="220" t="s">
        <v>534</v>
      </c>
      <c r="C794" s="221"/>
      <c r="D794" s="209"/>
      <c r="E794" s="621" t="s">
        <v>15</v>
      </c>
      <c r="F794" s="285">
        <f>SUM(F762:F793)</f>
        <v>17785102.75</v>
      </c>
    </row>
    <row r="795" spans="1:6" x14ac:dyDescent="0.25">
      <c r="A795" s="209" t="s">
        <v>796</v>
      </c>
      <c r="B795" s="209"/>
      <c r="C795" s="221" t="s">
        <v>773</v>
      </c>
      <c r="D795" s="209" t="s">
        <v>765</v>
      </c>
      <c r="E795" s="621" t="s">
        <v>914</v>
      </c>
      <c r="F795" s="273" t="s">
        <v>768</v>
      </c>
    </row>
    <row r="796" spans="1:6" ht="12" customHeight="1" x14ac:dyDescent="0.25">
      <c r="B796" s="210" t="s">
        <v>650</v>
      </c>
    </row>
    <row r="797" spans="1:6" ht="12" customHeight="1" x14ac:dyDescent="0.25">
      <c r="B797" s="210"/>
    </row>
    <row r="798" spans="1:6" ht="12" customHeight="1" x14ac:dyDescent="0.25">
      <c r="B798" s="210" t="s">
        <v>281</v>
      </c>
    </row>
    <row r="799" spans="1:6" ht="12" customHeight="1" x14ac:dyDescent="0.25">
      <c r="B799" s="210"/>
    </row>
    <row r="800" spans="1:6" ht="12" customHeight="1" x14ac:dyDescent="0.25">
      <c r="B800" s="210" t="s">
        <v>282</v>
      </c>
    </row>
    <row r="801" spans="1:6" ht="12" customHeight="1" x14ac:dyDescent="0.25">
      <c r="B801" s="210"/>
    </row>
    <row r="802" spans="1:6" ht="12" customHeight="1" x14ac:dyDescent="0.25">
      <c r="B802" s="220" t="s">
        <v>629</v>
      </c>
      <c r="F802" s="289"/>
    </row>
    <row r="803" spans="1:6" x14ac:dyDescent="0.25">
      <c r="B803" s="224" t="s">
        <v>651</v>
      </c>
      <c r="F803" s="289"/>
    </row>
    <row r="804" spans="1:6" x14ac:dyDescent="0.25">
      <c r="A804" s="206" t="s">
        <v>2</v>
      </c>
      <c r="B804" s="214" t="s">
        <v>285</v>
      </c>
      <c r="D804" s="206" t="s">
        <v>35</v>
      </c>
      <c r="E804" s="259">
        <f>E715</f>
        <v>3500</v>
      </c>
      <c r="F804" s="207">
        <f>E804*C804</f>
        <v>0</v>
      </c>
    </row>
    <row r="805" spans="1:6" ht="12" customHeight="1" x14ac:dyDescent="0.25">
      <c r="B805" s="220" t="s">
        <v>614</v>
      </c>
      <c r="F805" s="289"/>
    </row>
    <row r="806" spans="1:6" x14ac:dyDescent="0.25">
      <c r="B806" s="220" t="s">
        <v>687</v>
      </c>
      <c r="F806" s="289"/>
    </row>
    <row r="807" spans="1:6" x14ac:dyDescent="0.25">
      <c r="A807" s="206" t="s">
        <v>4</v>
      </c>
      <c r="B807" s="214" t="s">
        <v>688</v>
      </c>
      <c r="C807" s="205">
        <f>C787+C776</f>
        <v>946</v>
      </c>
      <c r="D807" s="206" t="s">
        <v>35</v>
      </c>
      <c r="E807" s="259">
        <v>13200</v>
      </c>
      <c r="F807" s="207">
        <f>E807*C807</f>
        <v>12487200</v>
      </c>
    </row>
    <row r="809" spans="1:6" x14ac:dyDescent="0.25">
      <c r="B809" s="220" t="s">
        <v>653</v>
      </c>
      <c r="F809" s="289"/>
    </row>
    <row r="810" spans="1:6" ht="19.5" customHeight="1" x14ac:dyDescent="0.25">
      <c r="B810" s="272" t="s">
        <v>654</v>
      </c>
    </row>
    <row r="811" spans="1:6" ht="16.5" customHeight="1" x14ac:dyDescent="0.25">
      <c r="A811" s="206" t="s">
        <v>5</v>
      </c>
      <c r="B811" s="214" t="s">
        <v>287</v>
      </c>
      <c r="C811" s="205">
        <v>1087</v>
      </c>
      <c r="D811" s="206" t="s">
        <v>22</v>
      </c>
      <c r="E811" s="259">
        <v>400</v>
      </c>
      <c r="F811" s="207">
        <f>E811*C811</f>
        <v>434800</v>
      </c>
    </row>
    <row r="812" spans="1:6" ht="15.75" customHeight="1" x14ac:dyDescent="0.25">
      <c r="B812" s="220" t="s">
        <v>152</v>
      </c>
      <c r="F812" s="289"/>
    </row>
    <row r="813" spans="1:6" ht="30" x14ac:dyDescent="0.25">
      <c r="B813" s="218" t="s">
        <v>655</v>
      </c>
      <c r="F813" s="289"/>
    </row>
    <row r="814" spans="1:6" ht="17.25" customHeight="1" x14ac:dyDescent="0.25">
      <c r="A814" s="206" t="s">
        <v>6</v>
      </c>
      <c r="B814" s="214" t="s">
        <v>656</v>
      </c>
      <c r="C814" s="205">
        <f>C807</f>
        <v>946</v>
      </c>
      <c r="D814" s="206" t="s">
        <v>35</v>
      </c>
      <c r="E814" s="259">
        <f>E703</f>
        <v>2200</v>
      </c>
      <c r="F814" s="207">
        <f>E814*C814</f>
        <v>2081200</v>
      </c>
    </row>
    <row r="815" spans="1:6" ht="17.25" customHeight="1" x14ac:dyDescent="0.25"/>
    <row r="816" spans="1:6" ht="17.25" customHeight="1" x14ac:dyDescent="0.25"/>
    <row r="817" spans="1:6" ht="17.25" customHeight="1" x14ac:dyDescent="0.25"/>
    <row r="818" spans="1:6" x14ac:dyDescent="0.25">
      <c r="B818" s="215"/>
      <c r="F818" s="289"/>
    </row>
    <row r="819" spans="1:6" x14ac:dyDescent="0.25">
      <c r="B819" s="215"/>
      <c r="F819" s="289"/>
    </row>
    <row r="820" spans="1:6" x14ac:dyDescent="0.25">
      <c r="B820" s="215"/>
      <c r="F820" s="289"/>
    </row>
    <row r="821" spans="1:6" x14ac:dyDescent="0.25">
      <c r="B821" s="215"/>
      <c r="F821" s="289"/>
    </row>
    <row r="822" spans="1:6" x14ac:dyDescent="0.25">
      <c r="B822" s="210" t="s">
        <v>281</v>
      </c>
      <c r="C822" s="221"/>
      <c r="D822" s="209"/>
      <c r="E822" s="621"/>
      <c r="F822" s="222"/>
    </row>
    <row r="823" spans="1:6" x14ac:dyDescent="0.25">
      <c r="B823" s="220" t="s">
        <v>534</v>
      </c>
      <c r="C823" s="221"/>
      <c r="D823" s="209"/>
      <c r="E823" s="621" t="s">
        <v>15</v>
      </c>
      <c r="F823" s="285">
        <f>SUM(F802:F822)</f>
        <v>15003200</v>
      </c>
    </row>
    <row r="824" spans="1:6" x14ac:dyDescent="0.25">
      <c r="A824" s="209" t="s">
        <v>796</v>
      </c>
      <c r="B824" s="209"/>
      <c r="C824" s="221" t="s">
        <v>773</v>
      </c>
      <c r="D824" s="209" t="s">
        <v>765</v>
      </c>
      <c r="E824" s="621" t="s">
        <v>914</v>
      </c>
      <c r="F824" s="273" t="s">
        <v>768</v>
      </c>
    </row>
    <row r="825" spans="1:6" s="497" customFormat="1" ht="18.75" x14ac:dyDescent="0.3">
      <c r="A825" s="197"/>
      <c r="B825" s="292" t="s">
        <v>792</v>
      </c>
      <c r="C825" s="293"/>
      <c r="D825" s="294"/>
      <c r="E825" s="630"/>
      <c r="F825" s="296"/>
    </row>
    <row r="826" spans="1:6" s="497" customFormat="1" ht="15" customHeight="1" x14ac:dyDescent="0.3">
      <c r="A826" s="197"/>
      <c r="B826" s="292" t="s">
        <v>657</v>
      </c>
      <c r="C826" s="293"/>
      <c r="D826" s="294"/>
      <c r="E826" s="630"/>
      <c r="F826" s="296"/>
    </row>
    <row r="827" spans="1:6" s="497" customFormat="1" ht="15" customHeight="1" x14ac:dyDescent="0.3">
      <c r="A827" s="197"/>
      <c r="B827" s="292"/>
      <c r="C827" s="293"/>
      <c r="D827" s="294"/>
      <c r="E827" s="630"/>
      <c r="F827" s="296"/>
    </row>
    <row r="828" spans="1:6" s="497" customFormat="1" ht="15" customHeight="1" x14ac:dyDescent="0.3">
      <c r="A828" s="197"/>
      <c r="B828" s="292"/>
      <c r="C828" s="293"/>
      <c r="D828" s="294"/>
      <c r="E828" s="630"/>
      <c r="F828" s="296"/>
    </row>
    <row r="829" spans="1:6" s="214" customFormat="1" ht="30" x14ac:dyDescent="0.3">
      <c r="A829" s="206" t="s">
        <v>2</v>
      </c>
      <c r="B829" s="358" t="s">
        <v>985</v>
      </c>
      <c r="C829" s="331"/>
      <c r="D829" s="206"/>
      <c r="E829" s="334"/>
      <c r="F829" s="360">
        <f>2500000*6</f>
        <v>15000000</v>
      </c>
    </row>
    <row r="830" spans="1:6" s="214" customFormat="1" x14ac:dyDescent="0.25">
      <c r="A830" s="206"/>
      <c r="B830" s="220"/>
      <c r="C830" s="331"/>
      <c r="D830" s="206"/>
      <c r="E830" s="334"/>
      <c r="F830" s="332"/>
    </row>
    <row r="831" spans="1:6" s="214" customFormat="1" x14ac:dyDescent="0.25">
      <c r="A831" s="206"/>
      <c r="B831" s="220"/>
      <c r="C831" s="331"/>
      <c r="D831" s="206"/>
      <c r="E831" s="334"/>
      <c r="F831" s="332"/>
    </row>
    <row r="832" spans="1:6" s="214" customFormat="1" x14ac:dyDescent="0.25">
      <c r="A832" s="206"/>
      <c r="B832" s="220"/>
      <c r="C832" s="331"/>
      <c r="D832" s="206"/>
      <c r="E832" s="334"/>
      <c r="F832" s="332"/>
    </row>
    <row r="833" spans="1:6" s="214" customFormat="1" x14ac:dyDescent="0.25">
      <c r="A833" s="206"/>
      <c r="B833" s="220"/>
      <c r="C833" s="331"/>
      <c r="D833" s="206"/>
      <c r="E833" s="334"/>
      <c r="F833" s="332"/>
    </row>
    <row r="834" spans="1:6" s="214" customFormat="1" x14ac:dyDescent="0.25">
      <c r="A834" s="206"/>
      <c r="B834" s="220"/>
      <c r="C834" s="331"/>
      <c r="D834" s="206"/>
      <c r="E834" s="334"/>
      <c r="F834" s="332"/>
    </row>
    <row r="835" spans="1:6" s="214" customFormat="1" x14ac:dyDescent="0.25">
      <c r="A835" s="206"/>
      <c r="B835" s="220"/>
      <c r="C835" s="331"/>
      <c r="D835" s="206"/>
      <c r="E835" s="334"/>
      <c r="F835" s="332"/>
    </row>
    <row r="836" spans="1:6" s="214" customFormat="1" x14ac:dyDescent="0.25">
      <c r="A836" s="206"/>
      <c r="B836" s="220"/>
      <c r="C836" s="331"/>
      <c r="D836" s="206"/>
      <c r="E836" s="334"/>
      <c r="F836" s="332"/>
    </row>
    <row r="837" spans="1:6" s="214" customFormat="1" x14ac:dyDescent="0.25">
      <c r="A837" s="206"/>
      <c r="B837" s="220"/>
      <c r="C837" s="331"/>
      <c r="D837" s="206"/>
      <c r="E837" s="334"/>
      <c r="F837" s="332"/>
    </row>
    <row r="838" spans="1:6" s="214" customFormat="1" x14ac:dyDescent="0.25">
      <c r="A838" s="206"/>
      <c r="B838" s="220"/>
      <c r="C838" s="331"/>
      <c r="D838" s="206"/>
      <c r="E838" s="334"/>
      <c r="F838" s="332"/>
    </row>
    <row r="839" spans="1:6" s="214" customFormat="1" x14ac:dyDescent="0.25">
      <c r="A839" s="206"/>
      <c r="B839" s="220"/>
      <c r="C839" s="331"/>
      <c r="D839" s="206"/>
      <c r="E839" s="334"/>
      <c r="F839" s="332"/>
    </row>
    <row r="840" spans="1:6" s="214" customFormat="1" x14ac:dyDescent="0.25">
      <c r="A840" s="206"/>
      <c r="B840" s="220"/>
      <c r="C840" s="331"/>
      <c r="D840" s="206"/>
      <c r="E840" s="334"/>
      <c r="F840" s="332"/>
    </row>
    <row r="841" spans="1:6" s="214" customFormat="1" x14ac:dyDescent="0.25">
      <c r="A841" s="206"/>
      <c r="B841" s="220"/>
      <c r="C841" s="331"/>
      <c r="D841" s="206"/>
      <c r="E841" s="334"/>
      <c r="F841" s="332"/>
    </row>
    <row r="842" spans="1:6" s="214" customFormat="1" x14ac:dyDescent="0.25">
      <c r="A842" s="206"/>
      <c r="B842" s="220"/>
      <c r="C842" s="331"/>
      <c r="D842" s="206"/>
      <c r="E842" s="334"/>
      <c r="F842" s="332"/>
    </row>
    <row r="843" spans="1:6" s="214" customFormat="1" x14ac:dyDescent="0.25">
      <c r="A843" s="206"/>
      <c r="B843" s="220"/>
      <c r="C843" s="331"/>
      <c r="D843" s="206"/>
      <c r="E843" s="334"/>
      <c r="F843" s="332"/>
    </row>
    <row r="844" spans="1:6" s="214" customFormat="1" x14ac:dyDescent="0.25">
      <c r="A844" s="206"/>
      <c r="B844" s="220"/>
      <c r="C844" s="331"/>
      <c r="D844" s="206"/>
      <c r="E844" s="334"/>
      <c r="F844" s="332"/>
    </row>
    <row r="845" spans="1:6" s="214" customFormat="1" x14ac:dyDescent="0.25">
      <c r="A845" s="206"/>
      <c r="B845" s="220"/>
      <c r="C845" s="331"/>
      <c r="D845" s="206"/>
      <c r="E845" s="334"/>
      <c r="F845" s="332"/>
    </row>
    <row r="846" spans="1:6" s="214" customFormat="1" ht="19.149999999999999" customHeight="1" x14ac:dyDescent="0.25">
      <c r="A846" s="206"/>
      <c r="B846" s="231"/>
      <c r="C846" s="311"/>
      <c r="D846" s="209"/>
      <c r="E846" s="334"/>
      <c r="F846" s="313"/>
    </row>
    <row r="847" spans="1:6" s="214" customFormat="1" ht="19.149999999999999" customHeight="1" x14ac:dyDescent="0.25">
      <c r="A847" s="206"/>
      <c r="B847" s="231"/>
      <c r="C847" s="311"/>
      <c r="D847" s="209"/>
      <c r="E847" s="334"/>
      <c r="F847" s="313"/>
    </row>
    <row r="848" spans="1:6" s="214" customFormat="1" ht="19.149999999999999" customHeight="1" x14ac:dyDescent="0.25">
      <c r="A848" s="206"/>
      <c r="B848" s="231"/>
      <c r="C848" s="311"/>
      <c r="D848" s="209"/>
      <c r="E848" s="334"/>
      <c r="F848" s="313"/>
    </row>
    <row r="849" spans="1:6" s="214" customFormat="1" ht="19.149999999999999" customHeight="1" x14ac:dyDescent="0.25">
      <c r="A849" s="206"/>
      <c r="B849" s="231"/>
      <c r="C849" s="311"/>
      <c r="D849" s="209"/>
      <c r="E849" s="334"/>
      <c r="F849" s="313"/>
    </row>
    <row r="850" spans="1:6" s="214" customFormat="1" ht="19.149999999999999" customHeight="1" x14ac:dyDescent="0.25">
      <c r="A850" s="206"/>
      <c r="B850" s="231"/>
      <c r="C850" s="311"/>
      <c r="D850" s="209"/>
      <c r="E850" s="334"/>
      <c r="F850" s="313"/>
    </row>
    <row r="851" spans="1:6" s="214" customFormat="1" ht="19.149999999999999" customHeight="1" x14ac:dyDescent="0.25">
      <c r="A851" s="206"/>
      <c r="B851" s="231"/>
      <c r="C851" s="311"/>
      <c r="D851" s="209"/>
      <c r="E851" s="334"/>
      <c r="F851" s="313"/>
    </row>
    <row r="852" spans="1:6" s="214" customFormat="1" ht="19.149999999999999" customHeight="1" x14ac:dyDescent="0.25">
      <c r="A852" s="206"/>
      <c r="B852" s="231"/>
      <c r="C852" s="311"/>
      <c r="D852" s="209"/>
      <c r="E852" s="334"/>
      <c r="F852" s="313"/>
    </row>
    <row r="853" spans="1:6" s="214" customFormat="1" ht="19.149999999999999" customHeight="1" x14ac:dyDescent="0.25">
      <c r="A853" s="206"/>
      <c r="B853" s="231"/>
      <c r="C853" s="311"/>
      <c r="D853" s="209"/>
      <c r="E853" s="334"/>
      <c r="F853" s="313"/>
    </row>
    <row r="854" spans="1:6" s="214" customFormat="1" ht="17.25" customHeight="1" x14ac:dyDescent="0.25">
      <c r="A854" s="206"/>
      <c r="B854" s="231"/>
      <c r="C854" s="311"/>
      <c r="D854" s="209"/>
      <c r="E854" s="334"/>
      <c r="F854" s="313"/>
    </row>
    <row r="855" spans="1:6" s="214" customFormat="1" ht="17.25" customHeight="1" x14ac:dyDescent="0.25">
      <c r="A855" s="206"/>
      <c r="B855" s="231"/>
      <c r="C855" s="311"/>
      <c r="D855" s="209"/>
      <c r="E855" s="334"/>
      <c r="F855" s="313"/>
    </row>
    <row r="856" spans="1:6" s="214" customFormat="1" ht="17.25" customHeight="1" x14ac:dyDescent="0.25">
      <c r="A856" s="206"/>
      <c r="B856" s="231"/>
      <c r="C856" s="311"/>
      <c r="D856" s="209"/>
      <c r="E856" s="334"/>
      <c r="F856" s="313"/>
    </row>
    <row r="857" spans="1:6" s="214" customFormat="1" ht="17.25" customHeight="1" x14ac:dyDescent="0.25">
      <c r="A857" s="206"/>
      <c r="B857" s="210" t="s">
        <v>658</v>
      </c>
      <c r="C857" s="311"/>
      <c r="D857" s="209"/>
      <c r="E857" s="334"/>
      <c r="F857" s="313"/>
    </row>
    <row r="858" spans="1:6" s="214" customFormat="1" ht="17.25" customHeight="1" x14ac:dyDescent="0.25">
      <c r="A858" s="206"/>
      <c r="B858" s="220" t="s">
        <v>638</v>
      </c>
      <c r="C858" s="311"/>
      <c r="D858" s="209"/>
      <c r="E858" s="631" t="s">
        <v>15</v>
      </c>
      <c r="F858" s="313">
        <f>F829</f>
        <v>15000000</v>
      </c>
    </row>
    <row r="859" spans="1:6" s="497" customFormat="1" ht="18.75" x14ac:dyDescent="0.3">
      <c r="A859" s="197"/>
      <c r="B859" s="292" t="s">
        <v>793</v>
      </c>
      <c r="C859" s="202"/>
      <c r="D859" s="197"/>
      <c r="E859" s="632"/>
      <c r="F859" s="201"/>
    </row>
    <row r="860" spans="1:6" s="497" customFormat="1" ht="16.5" customHeight="1" x14ac:dyDescent="0.3">
      <c r="A860" s="197"/>
      <c r="B860" s="202"/>
      <c r="C860" s="202"/>
      <c r="D860" s="197"/>
      <c r="E860" s="632"/>
      <c r="F860" s="201"/>
    </row>
    <row r="861" spans="1:6" s="497" customFormat="1" ht="17.25" customHeight="1" x14ac:dyDescent="0.3">
      <c r="A861" s="197"/>
      <c r="B861" s="300" t="s">
        <v>659</v>
      </c>
      <c r="C861" s="202"/>
      <c r="D861" s="197"/>
      <c r="E861" s="632"/>
      <c r="F861" s="201"/>
    </row>
    <row r="862" spans="1:6" s="497" customFormat="1" ht="17.25" customHeight="1" x14ac:dyDescent="0.3">
      <c r="A862" s="197"/>
      <c r="B862" s="300"/>
      <c r="C862" s="202"/>
      <c r="D862" s="197"/>
      <c r="E862" s="632"/>
      <c r="F862" s="201"/>
    </row>
    <row r="863" spans="1:6" s="534" customFormat="1" ht="17.25" x14ac:dyDescent="0.35">
      <c r="A863" s="354" t="s">
        <v>796</v>
      </c>
      <c r="B863" s="354" t="s">
        <v>764</v>
      </c>
      <c r="C863" s="354" t="s">
        <v>765</v>
      </c>
      <c r="D863" s="354" t="s">
        <v>773</v>
      </c>
      <c r="E863" s="633" t="s">
        <v>767</v>
      </c>
      <c r="F863" s="354" t="s">
        <v>768</v>
      </c>
    </row>
    <row r="864" spans="1:6" s="534" customFormat="1" ht="17.25" x14ac:dyDescent="0.35">
      <c r="A864" s="354"/>
      <c r="B864" s="354"/>
      <c r="C864" s="354"/>
      <c r="D864" s="354"/>
      <c r="E864" s="633"/>
      <c r="F864" s="354"/>
    </row>
    <row r="865" spans="1:6" s="534" customFormat="1" ht="30" x14ac:dyDescent="0.3">
      <c r="A865" s="357" t="s">
        <v>2</v>
      </c>
      <c r="B865" s="358" t="s">
        <v>877</v>
      </c>
      <c r="C865" s="359" t="s">
        <v>36</v>
      </c>
      <c r="E865" s="634"/>
      <c r="F865" s="360">
        <f>3500000*6</f>
        <v>21000000</v>
      </c>
    </row>
    <row r="866" spans="1:6" s="534" customFormat="1" x14ac:dyDescent="0.3">
      <c r="A866" s="357"/>
      <c r="B866" s="358"/>
      <c r="C866" s="359"/>
      <c r="E866" s="634"/>
      <c r="F866" s="360"/>
    </row>
    <row r="867" spans="1:6" s="534" customFormat="1" x14ac:dyDescent="0.3">
      <c r="A867" s="357"/>
      <c r="B867" s="358"/>
      <c r="C867" s="359"/>
      <c r="E867" s="634"/>
      <c r="F867" s="360"/>
    </row>
    <row r="868" spans="1:6" s="534" customFormat="1" x14ac:dyDescent="0.3">
      <c r="A868" s="357"/>
      <c r="B868" s="358"/>
      <c r="C868" s="359"/>
      <c r="E868" s="634"/>
      <c r="F868" s="360"/>
    </row>
    <row r="869" spans="1:6" s="534" customFormat="1" x14ac:dyDescent="0.3">
      <c r="A869" s="357"/>
      <c r="B869" s="358"/>
      <c r="C869" s="359"/>
      <c r="E869" s="634"/>
      <c r="F869" s="360"/>
    </row>
    <row r="870" spans="1:6" s="534" customFormat="1" x14ac:dyDescent="0.3">
      <c r="A870" s="357"/>
      <c r="B870" s="358"/>
      <c r="C870" s="359"/>
      <c r="E870" s="634"/>
      <c r="F870" s="360"/>
    </row>
    <row r="871" spans="1:6" s="534" customFormat="1" x14ac:dyDescent="0.3">
      <c r="A871" s="357"/>
      <c r="B871" s="358"/>
      <c r="C871" s="359"/>
      <c r="E871" s="634"/>
      <c r="F871" s="360"/>
    </row>
    <row r="872" spans="1:6" s="534" customFormat="1" x14ac:dyDescent="0.3">
      <c r="A872" s="357"/>
      <c r="B872" s="358"/>
      <c r="C872" s="359"/>
      <c r="E872" s="634"/>
      <c r="F872" s="360"/>
    </row>
    <row r="873" spans="1:6" s="534" customFormat="1" x14ac:dyDescent="0.3">
      <c r="A873" s="357"/>
      <c r="B873" s="358"/>
      <c r="C873" s="359"/>
      <c r="E873" s="634"/>
      <c r="F873" s="360"/>
    </row>
    <row r="874" spans="1:6" s="534" customFormat="1" x14ac:dyDescent="0.3">
      <c r="A874" s="357"/>
      <c r="B874" s="358"/>
      <c r="C874" s="359"/>
      <c r="E874" s="634"/>
      <c r="F874" s="360"/>
    </row>
    <row r="875" spans="1:6" s="534" customFormat="1" x14ac:dyDescent="0.3">
      <c r="A875" s="357"/>
      <c r="B875" s="358"/>
      <c r="C875" s="359"/>
      <c r="E875" s="634"/>
      <c r="F875" s="360"/>
    </row>
    <row r="876" spans="1:6" s="534" customFormat="1" x14ac:dyDescent="0.3">
      <c r="A876" s="357"/>
      <c r="B876" s="358"/>
      <c r="C876" s="359"/>
      <c r="E876" s="634"/>
      <c r="F876" s="360"/>
    </row>
    <row r="877" spans="1:6" s="534" customFormat="1" x14ac:dyDescent="0.3">
      <c r="A877" s="357"/>
      <c r="B877" s="358"/>
      <c r="C877" s="359"/>
      <c r="E877" s="634"/>
      <c r="F877" s="360"/>
    </row>
    <row r="878" spans="1:6" s="534" customFormat="1" x14ac:dyDescent="0.3">
      <c r="A878" s="357"/>
      <c r="B878" s="358"/>
      <c r="C878" s="359"/>
      <c r="E878" s="634"/>
      <c r="F878" s="360"/>
    </row>
    <row r="879" spans="1:6" s="534" customFormat="1" x14ac:dyDescent="0.3">
      <c r="A879" s="357"/>
      <c r="B879" s="358"/>
      <c r="C879" s="359"/>
      <c r="E879" s="634"/>
      <c r="F879" s="360"/>
    </row>
    <row r="880" spans="1:6" s="534" customFormat="1" x14ac:dyDescent="0.3">
      <c r="A880" s="357"/>
      <c r="B880" s="358"/>
      <c r="C880" s="359"/>
      <c r="E880" s="634"/>
      <c r="F880" s="360"/>
    </row>
    <row r="881" spans="1:6" s="534" customFormat="1" x14ac:dyDescent="0.3">
      <c r="A881" s="357"/>
      <c r="B881" s="358"/>
      <c r="C881" s="359"/>
      <c r="E881" s="634"/>
      <c r="F881" s="360"/>
    </row>
    <row r="882" spans="1:6" s="534" customFormat="1" x14ac:dyDescent="0.3">
      <c r="A882" s="357"/>
      <c r="B882" s="358"/>
      <c r="C882" s="359"/>
      <c r="E882" s="634"/>
      <c r="F882" s="360"/>
    </row>
    <row r="883" spans="1:6" s="534" customFormat="1" x14ac:dyDescent="0.3">
      <c r="A883" s="357"/>
      <c r="B883" s="358"/>
      <c r="C883" s="359"/>
      <c r="E883" s="634"/>
      <c r="F883" s="360"/>
    </row>
    <row r="884" spans="1:6" s="534" customFormat="1" x14ac:dyDescent="0.3">
      <c r="A884" s="357"/>
      <c r="B884" s="358"/>
      <c r="C884" s="359"/>
      <c r="E884" s="634"/>
      <c r="F884" s="360"/>
    </row>
    <row r="885" spans="1:6" s="534" customFormat="1" x14ac:dyDescent="0.3">
      <c r="A885" s="357"/>
      <c r="B885" s="358"/>
      <c r="C885" s="359"/>
      <c r="E885" s="634"/>
      <c r="F885" s="360"/>
    </row>
    <row r="886" spans="1:6" s="497" customFormat="1" ht="18.75" x14ac:dyDescent="0.3">
      <c r="A886" s="197"/>
      <c r="B886" s="300" t="s">
        <v>659</v>
      </c>
      <c r="C886" s="202"/>
      <c r="D886" s="197"/>
      <c r="E886" s="632"/>
      <c r="F886" s="201"/>
    </row>
    <row r="887" spans="1:6" s="497" customFormat="1" ht="18" x14ac:dyDescent="0.35">
      <c r="A887" s="297"/>
      <c r="B887" s="293" t="s">
        <v>638</v>
      </c>
      <c r="C887" s="298"/>
      <c r="D887" s="297"/>
      <c r="E887" s="635" t="s">
        <v>15</v>
      </c>
      <c r="F887" s="301">
        <f>SUM(F865:F886)</f>
        <v>21000000</v>
      </c>
    </row>
    <row r="888" spans="1:6" x14ac:dyDescent="0.25">
      <c r="B888" s="211"/>
    </row>
    <row r="889" spans="1:6" x14ac:dyDescent="0.25">
      <c r="B889" s="211"/>
    </row>
    <row r="890" spans="1:6" ht="19.5" customHeight="1" x14ac:dyDescent="0.25">
      <c r="B890" s="211" t="s">
        <v>450</v>
      </c>
    </row>
    <row r="891" spans="1:6" x14ac:dyDescent="0.25">
      <c r="F891" s="273"/>
    </row>
    <row r="892" spans="1:6" ht="15.75" customHeight="1" x14ac:dyDescent="0.25">
      <c r="B892" s="218" t="s">
        <v>533</v>
      </c>
      <c r="E892" s="259">
        <f>F111</f>
        <v>30869350</v>
      </c>
      <c r="F892" s="274"/>
    </row>
    <row r="893" spans="1:6" x14ac:dyDescent="0.25">
      <c r="F893" s="274"/>
    </row>
    <row r="894" spans="1:6" x14ac:dyDescent="0.25">
      <c r="B894" s="214" t="s">
        <v>108</v>
      </c>
      <c r="E894" s="259">
        <f>F156</f>
        <v>36864650</v>
      </c>
      <c r="F894" s="274"/>
    </row>
    <row r="895" spans="1:6" x14ac:dyDescent="0.25">
      <c r="F895" s="274"/>
    </row>
    <row r="896" spans="1:6" x14ac:dyDescent="0.25">
      <c r="B896" s="214" t="s">
        <v>453</v>
      </c>
      <c r="E896" s="259">
        <f>F201</f>
        <v>32991950</v>
      </c>
      <c r="F896" s="274"/>
    </row>
    <row r="897" spans="2:6" x14ac:dyDescent="0.25">
      <c r="C897" s="275"/>
      <c r="D897" s="276"/>
      <c r="F897" s="274"/>
    </row>
    <row r="898" spans="2:6" x14ac:dyDescent="0.25">
      <c r="B898" s="214" t="s">
        <v>125</v>
      </c>
      <c r="E898" s="259">
        <f>F337</f>
        <v>5251990</v>
      </c>
      <c r="F898" s="274"/>
    </row>
    <row r="899" spans="2:6" ht="18" customHeight="1" x14ac:dyDescent="0.25">
      <c r="C899" s="275"/>
      <c r="D899" s="276"/>
      <c r="F899" s="274"/>
    </row>
    <row r="900" spans="2:6" x14ac:dyDescent="0.25">
      <c r="B900" s="214" t="s">
        <v>163</v>
      </c>
      <c r="E900" s="259">
        <f>F472</f>
        <v>22683790</v>
      </c>
      <c r="F900" s="274"/>
    </row>
    <row r="901" spans="2:6" x14ac:dyDescent="0.25">
      <c r="C901" s="275"/>
      <c r="D901" s="276"/>
      <c r="F901" s="274"/>
    </row>
    <row r="902" spans="2:6" x14ac:dyDescent="0.25">
      <c r="B902" s="214" t="s">
        <v>195</v>
      </c>
      <c r="E902" s="259">
        <f>F516</f>
        <v>10798850</v>
      </c>
      <c r="F902" s="274"/>
    </row>
    <row r="903" spans="2:6" x14ac:dyDescent="0.25">
      <c r="F903" s="274"/>
    </row>
    <row r="904" spans="2:6" x14ac:dyDescent="0.25">
      <c r="B904" s="214" t="s">
        <v>602</v>
      </c>
      <c r="E904" s="259">
        <f>F565</f>
        <v>21580320</v>
      </c>
      <c r="F904" s="274"/>
    </row>
    <row r="905" spans="2:6" x14ac:dyDescent="0.25">
      <c r="F905" s="274"/>
    </row>
    <row r="906" spans="2:6" x14ac:dyDescent="0.25">
      <c r="B906" s="214" t="s">
        <v>210</v>
      </c>
      <c r="E906" s="259">
        <f>F610</f>
        <v>12440950</v>
      </c>
      <c r="F906" s="274"/>
    </row>
    <row r="907" spans="2:6" x14ac:dyDescent="0.25">
      <c r="F907" s="274"/>
    </row>
    <row r="908" spans="2:6" x14ac:dyDescent="0.25">
      <c r="B908" s="214" t="s">
        <v>607</v>
      </c>
      <c r="E908" s="259">
        <f>F649</f>
        <v>9355500</v>
      </c>
      <c r="F908" s="274"/>
    </row>
    <row r="909" spans="2:6" x14ac:dyDescent="0.25">
      <c r="C909" s="275"/>
      <c r="D909" s="276"/>
      <c r="F909" s="274"/>
    </row>
    <row r="910" spans="2:6" x14ac:dyDescent="0.25">
      <c r="B910" s="214" t="s">
        <v>905</v>
      </c>
      <c r="E910" s="259">
        <f>F684</f>
        <v>26345500</v>
      </c>
      <c r="F910" s="274"/>
    </row>
    <row r="911" spans="2:6" x14ac:dyDescent="0.25">
      <c r="F911" s="274"/>
    </row>
    <row r="912" spans="2:6" x14ac:dyDescent="0.25">
      <c r="B912" s="214" t="s">
        <v>236</v>
      </c>
      <c r="E912" s="259">
        <f>F720</f>
        <v>32997300</v>
      </c>
      <c r="F912" s="274"/>
    </row>
    <row r="913" spans="2:6" x14ac:dyDescent="0.25">
      <c r="F913" s="274"/>
    </row>
    <row r="914" spans="2:6" x14ac:dyDescent="0.25">
      <c r="B914" s="214" t="s">
        <v>689</v>
      </c>
      <c r="E914" s="259">
        <f>F794</f>
        <v>17785102.75</v>
      </c>
      <c r="F914" s="274"/>
    </row>
    <row r="915" spans="2:6" x14ac:dyDescent="0.25">
      <c r="F915" s="274"/>
    </row>
    <row r="916" spans="2:6" x14ac:dyDescent="0.25">
      <c r="B916" s="214" t="s">
        <v>690</v>
      </c>
      <c r="E916" s="259">
        <f>F823</f>
        <v>15003200</v>
      </c>
      <c r="F916" s="274"/>
    </row>
    <row r="917" spans="2:6" x14ac:dyDescent="0.25">
      <c r="F917" s="274"/>
    </row>
    <row r="918" spans="2:6" x14ac:dyDescent="0.25">
      <c r="B918" s="214" t="s">
        <v>658</v>
      </c>
      <c r="E918" s="259">
        <f>F858</f>
        <v>15000000</v>
      </c>
      <c r="F918" s="274"/>
    </row>
    <row r="919" spans="2:6" x14ac:dyDescent="0.25">
      <c r="C919" s="275"/>
      <c r="D919" s="276"/>
      <c r="F919" s="274"/>
    </row>
    <row r="920" spans="2:6" x14ac:dyDescent="0.25">
      <c r="B920" s="214" t="s">
        <v>659</v>
      </c>
      <c r="C920" s="277"/>
      <c r="E920" s="259">
        <f>F887</f>
        <v>21000000</v>
      </c>
      <c r="F920" s="274"/>
    </row>
    <row r="921" spans="2:6" x14ac:dyDescent="0.25">
      <c r="C921" s="277"/>
      <c r="F921" s="274"/>
    </row>
    <row r="922" spans="2:6" x14ac:dyDescent="0.25">
      <c r="B922" s="278" t="s">
        <v>1109</v>
      </c>
      <c r="C922" s="279"/>
      <c r="D922" s="280"/>
      <c r="E922" s="636"/>
      <c r="F922" s="274"/>
    </row>
    <row r="923" spans="2:6" ht="17.25" customHeight="1" x14ac:dyDescent="0.25">
      <c r="B923" s="220" t="s">
        <v>660</v>
      </c>
      <c r="D923" s="276" t="s">
        <v>20</v>
      </c>
      <c r="E923" s="637"/>
      <c r="F923" s="222">
        <f>SUM(E892:E922)</f>
        <v>310968452.75</v>
      </c>
    </row>
    <row r="924" spans="2:6" ht="19.5" customHeight="1" x14ac:dyDescent="0.25">
      <c r="B924" s="220" t="s">
        <v>692</v>
      </c>
      <c r="F924" s="281">
        <f>F923*5%</f>
        <v>15548422.637500001</v>
      </c>
    </row>
    <row r="925" spans="2:6" ht="19.5" customHeight="1" x14ac:dyDescent="0.25">
      <c r="B925" s="220" t="s">
        <v>474</v>
      </c>
      <c r="F925" s="222">
        <f>SUM(F923:F924)</f>
        <v>326516875.38749999</v>
      </c>
    </row>
    <row r="926" spans="2:6" ht="19.5" customHeight="1" x14ac:dyDescent="0.25">
      <c r="B926" s="220" t="s">
        <v>693</v>
      </c>
      <c r="F926" s="222">
        <f>F925*5%</f>
        <v>16325843.769375</v>
      </c>
    </row>
    <row r="927" spans="2:6" ht="19.5" customHeight="1" x14ac:dyDescent="0.25">
      <c r="B927" s="220"/>
      <c r="F927" s="282">
        <f>SUM(F925:F926)</f>
        <v>342842719.15687501</v>
      </c>
    </row>
    <row r="928" spans="2:6" x14ac:dyDescent="0.25">
      <c r="B928" s="220" t="s">
        <v>477</v>
      </c>
      <c r="F928" s="281">
        <f>F927*7.5%</f>
        <v>25713203.936765626</v>
      </c>
    </row>
    <row r="929" spans="1:19" ht="17.25" customHeight="1" thickBot="1" x14ac:dyDescent="0.3">
      <c r="B929" s="210" t="s">
        <v>694</v>
      </c>
      <c r="E929" s="621" t="s">
        <v>15</v>
      </c>
      <c r="F929" s="283">
        <f>SUM(F927:F928)</f>
        <v>368555923.09364063</v>
      </c>
    </row>
    <row r="930" spans="1:19" ht="17.25" customHeight="1" thickTop="1" x14ac:dyDescent="0.25">
      <c r="B930" s="220" t="s">
        <v>695</v>
      </c>
    </row>
    <row r="931" spans="1:19" ht="17.25" customHeight="1" x14ac:dyDescent="0.25">
      <c r="B931" s="220"/>
    </row>
    <row r="932" spans="1:19" s="207" customFormat="1" ht="17.25" customHeight="1" x14ac:dyDescent="0.25">
      <c r="A932" s="206"/>
      <c r="B932" s="220" t="s">
        <v>471</v>
      </c>
      <c r="C932" s="221">
        <v>1155</v>
      </c>
      <c r="D932" s="209" t="s">
        <v>472</v>
      </c>
      <c r="E932" s="259"/>
      <c r="G932" s="208"/>
      <c r="H932" s="208"/>
      <c r="I932" s="208"/>
      <c r="J932" s="208"/>
      <c r="K932" s="208"/>
      <c r="L932" s="208"/>
      <c r="M932" s="208"/>
      <c r="N932" s="208"/>
      <c r="O932" s="208"/>
      <c r="P932" s="208"/>
      <c r="Q932" s="208"/>
      <c r="R932" s="208"/>
      <c r="S932" s="208"/>
    </row>
    <row r="933" spans="1:19" s="207" customFormat="1" ht="20.45" customHeight="1" x14ac:dyDescent="0.25">
      <c r="A933" s="206"/>
      <c r="B933" s="220" t="s">
        <v>661</v>
      </c>
      <c r="C933" s="205"/>
      <c r="D933" s="206"/>
      <c r="E933" s="621">
        <f>F929/C932</f>
        <v>319096.03731051134</v>
      </c>
      <c r="G933" s="208"/>
      <c r="H933" s="208"/>
      <c r="I933" s="208"/>
      <c r="J933" s="208"/>
      <c r="K933" s="208"/>
      <c r="L933" s="208"/>
      <c r="M933" s="208"/>
      <c r="N933" s="208"/>
      <c r="O933" s="208"/>
      <c r="P933" s="208"/>
      <c r="Q933" s="208"/>
      <c r="R933" s="208"/>
      <c r="S933" s="208"/>
    </row>
    <row r="934" spans="1:19" s="207" customFormat="1" ht="17.25" customHeight="1" x14ac:dyDescent="0.25">
      <c r="A934" s="206"/>
      <c r="B934" s="220"/>
      <c r="C934" s="205"/>
      <c r="D934" s="206"/>
      <c r="E934" s="621"/>
      <c r="G934" s="208"/>
      <c r="H934" s="208"/>
      <c r="I934" s="208"/>
      <c r="J934" s="208"/>
      <c r="K934" s="208"/>
      <c r="L934" s="208"/>
      <c r="M934" s="208"/>
      <c r="N934" s="208"/>
      <c r="O934" s="208"/>
      <c r="P934" s="208"/>
      <c r="Q934" s="208"/>
      <c r="R934" s="208"/>
      <c r="S934" s="208"/>
    </row>
    <row r="935" spans="1:19" s="207" customFormat="1" ht="17.25" customHeight="1" x14ac:dyDescent="0.25">
      <c r="A935" s="206"/>
      <c r="B935" s="218"/>
      <c r="C935" s="205"/>
      <c r="D935" s="206"/>
      <c r="E935" s="259"/>
      <c r="G935" s="208"/>
      <c r="H935" s="208"/>
      <c r="I935" s="208"/>
      <c r="J935" s="208"/>
      <c r="K935" s="208"/>
      <c r="L935" s="208"/>
      <c r="M935" s="208"/>
      <c r="N935" s="208"/>
      <c r="O935" s="208"/>
      <c r="P935" s="208"/>
      <c r="Q935" s="208"/>
      <c r="R935" s="208"/>
      <c r="S935" s="208"/>
    </row>
    <row r="936" spans="1:19" s="207" customFormat="1" ht="17.25" customHeight="1" x14ac:dyDescent="0.25">
      <c r="A936" s="206"/>
      <c r="B936" s="214"/>
      <c r="C936" s="205"/>
      <c r="D936" s="206"/>
      <c r="E936" s="259"/>
      <c r="G936" s="208"/>
      <c r="H936" s="208"/>
      <c r="I936" s="208"/>
      <c r="J936" s="208"/>
      <c r="K936" s="208"/>
      <c r="L936" s="208"/>
      <c r="M936" s="208"/>
      <c r="N936" s="208"/>
      <c r="O936" s="208"/>
      <c r="P936" s="208"/>
      <c r="Q936" s="208"/>
      <c r="R936" s="208"/>
      <c r="S936" s="208"/>
    </row>
    <row r="937" spans="1:19" s="207" customFormat="1" ht="17.25" customHeight="1" x14ac:dyDescent="0.25">
      <c r="A937" s="206"/>
      <c r="B937" s="214"/>
      <c r="C937" s="205"/>
      <c r="D937" s="206"/>
      <c r="E937" s="259"/>
      <c r="G937" s="208"/>
      <c r="H937" s="208"/>
      <c r="I937" s="208"/>
      <c r="J937" s="208"/>
      <c r="K937" s="208"/>
      <c r="L937" s="208"/>
      <c r="M937" s="208"/>
      <c r="N937" s="208"/>
      <c r="O937" s="208"/>
      <c r="P937" s="208"/>
      <c r="Q937" s="208"/>
      <c r="R937" s="208"/>
      <c r="S937" s="208"/>
    </row>
    <row r="938" spans="1:19" s="207" customFormat="1" ht="17.25" customHeight="1" x14ac:dyDescent="0.25">
      <c r="A938" s="206"/>
      <c r="B938" s="214"/>
      <c r="C938" s="205"/>
      <c r="D938" s="206"/>
      <c r="E938" s="259"/>
      <c r="G938" s="208"/>
      <c r="H938" s="208"/>
      <c r="I938" s="208"/>
      <c r="J938" s="208"/>
      <c r="K938" s="208"/>
      <c r="L938" s="208"/>
      <c r="M938" s="208"/>
      <c r="N938" s="208"/>
      <c r="O938" s="208"/>
      <c r="P938" s="208"/>
      <c r="Q938" s="208"/>
      <c r="R938" s="208"/>
      <c r="S938" s="208"/>
    </row>
    <row r="939" spans="1:19" s="207" customFormat="1" ht="17.25" customHeight="1" x14ac:dyDescent="0.25">
      <c r="A939" s="206"/>
      <c r="B939" s="214"/>
      <c r="C939" s="205"/>
      <c r="D939" s="206"/>
      <c r="E939" s="259"/>
      <c r="G939" s="208"/>
      <c r="H939" s="208"/>
      <c r="I939" s="208"/>
      <c r="J939" s="208"/>
      <c r="K939" s="208"/>
      <c r="L939" s="208"/>
      <c r="M939" s="208"/>
      <c r="N939" s="208"/>
      <c r="O939" s="208"/>
      <c r="P939" s="208"/>
      <c r="Q939" s="208"/>
      <c r="R939" s="208"/>
      <c r="S939" s="208"/>
    </row>
    <row r="950" spans="1:6" x14ac:dyDescent="0.25">
      <c r="B950" s="214" t="s">
        <v>696</v>
      </c>
    </row>
    <row r="953" spans="1:6" s="223" customFormat="1" x14ac:dyDescent="0.25">
      <c r="A953" s="206"/>
      <c r="B953" s="214"/>
      <c r="C953" s="205"/>
      <c r="D953" s="206"/>
      <c r="E953" s="259"/>
      <c r="F953" s="207"/>
    </row>
    <row r="954" spans="1:6" s="223" customFormat="1" x14ac:dyDescent="0.25">
      <c r="A954" s="206"/>
      <c r="B954" s="214"/>
      <c r="C954" s="205"/>
      <c r="D954" s="206"/>
      <c r="E954" s="259"/>
      <c r="F954" s="207"/>
    </row>
    <row r="955" spans="1:6" s="223" customFormat="1" x14ac:dyDescent="0.25">
      <c r="A955" s="206"/>
      <c r="B955" s="214"/>
      <c r="C955" s="205"/>
      <c r="D955" s="206"/>
      <c r="E955" s="259"/>
      <c r="F955" s="207"/>
    </row>
    <row r="956" spans="1:6" s="223" customFormat="1" x14ac:dyDescent="0.25">
      <c r="A956" s="206"/>
      <c r="B956" s="214"/>
      <c r="C956" s="205"/>
      <c r="D956" s="206"/>
      <c r="E956" s="259"/>
      <c r="F956" s="207"/>
    </row>
    <row r="957" spans="1:6" s="223" customFormat="1" x14ac:dyDescent="0.25">
      <c r="A957" s="206"/>
      <c r="B957" s="214"/>
      <c r="C957" s="205"/>
      <c r="D957" s="206"/>
      <c r="E957" s="259"/>
      <c r="F957" s="207"/>
    </row>
    <row r="958" spans="1:6" s="223" customFormat="1" x14ac:dyDescent="0.25">
      <c r="A958" s="206"/>
      <c r="B958" s="214"/>
      <c r="C958" s="205"/>
      <c r="D958" s="206"/>
      <c r="E958" s="259"/>
      <c r="F958" s="207"/>
    </row>
    <row r="982" spans="1:6" s="223" customFormat="1" x14ac:dyDescent="0.25">
      <c r="A982" s="206"/>
      <c r="B982" s="214"/>
      <c r="C982" s="205"/>
      <c r="D982" s="206"/>
      <c r="E982" s="259"/>
      <c r="F982" s="207"/>
    </row>
    <row r="983" spans="1:6" ht="21" customHeight="1" x14ac:dyDescent="0.25"/>
    <row r="1020" spans="1:6" s="223" customFormat="1" x14ac:dyDescent="0.25">
      <c r="A1020" s="206"/>
      <c r="B1020" s="214"/>
      <c r="C1020" s="205"/>
      <c r="D1020" s="206"/>
      <c r="E1020" s="259"/>
      <c r="F1020" s="207"/>
    </row>
    <row r="1021" spans="1:6" s="223" customFormat="1" x14ac:dyDescent="0.25">
      <c r="A1021" s="206"/>
      <c r="B1021" s="214"/>
      <c r="C1021" s="205"/>
      <c r="D1021" s="206"/>
      <c r="E1021" s="259"/>
      <c r="F1021" s="207"/>
    </row>
    <row r="1052" spans="1:6" s="223" customFormat="1" x14ac:dyDescent="0.25">
      <c r="A1052" s="206"/>
      <c r="B1052" s="214"/>
      <c r="C1052" s="205"/>
      <c r="D1052" s="206"/>
      <c r="E1052" s="259"/>
      <c r="F1052" s="207"/>
    </row>
    <row r="1053" spans="1:6" s="223" customFormat="1" x14ac:dyDescent="0.25">
      <c r="A1053" s="206"/>
      <c r="B1053" s="214"/>
      <c r="C1053" s="205"/>
      <c r="D1053" s="206"/>
      <c r="E1053" s="259"/>
      <c r="F1053" s="207"/>
    </row>
  </sheetData>
  <printOptions gridLines="1"/>
  <pageMargins left="0.74803149606299213" right="0.74803149606299213" top="0.98425196850393704" bottom="0.98425196850393704" header="0.51181102362204722" footer="0.51181102362204722"/>
  <pageSetup paperSize="9" scale="74" orientation="portrait" r:id="rId1"/>
  <headerFooter alignWithMargins="0">
    <oddFooter>&amp;R&amp;"Comic Sans MS,Bold Italic"Page /&amp;P</oddFooter>
  </headerFooter>
  <rowBreaks count="22" manualBreakCount="22">
    <brk id="31" max="5" man="1"/>
    <brk id="72" max="5" man="1"/>
    <brk id="111" max="5" man="1"/>
    <brk id="156" max="5" man="1"/>
    <brk id="201" max="5" man="1"/>
    <brk id="247" max="5" man="1"/>
    <brk id="292" max="5" man="1"/>
    <brk id="337" max="5" man="1"/>
    <brk id="383" max="5" man="1"/>
    <brk id="428" max="5" man="1"/>
    <brk id="472" max="5" man="1"/>
    <brk id="516" max="5" man="1"/>
    <brk id="565" max="5" man="1"/>
    <brk id="610" max="5" man="1"/>
    <brk id="649" max="5" man="1"/>
    <brk id="684" max="5" man="1"/>
    <brk id="720" max="5" man="1"/>
    <brk id="756" max="5" man="1"/>
    <brk id="794" max="5" man="1"/>
    <brk id="823" max="5" man="1"/>
    <brk id="858" max="5" man="1"/>
    <brk id="888" max="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77E60-13D7-4581-A3B5-AFA15F9476FB}">
  <dimension ref="A1:J29"/>
  <sheetViews>
    <sheetView view="pageBreakPreview" zoomScaleNormal="96" zoomScaleSheetLayoutView="100" workbookViewId="0">
      <selection activeCell="C11" sqref="C11"/>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1051</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ht="26.25" customHeight="1"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t="26.25" hidden="1" customHeight="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E4B14-EAD3-4FF9-AB30-3BA3BF3DEBB3}">
  <dimension ref="A1:S1050"/>
  <sheetViews>
    <sheetView view="pageBreakPreview" topLeftCell="A920" zoomScale="120" zoomScaleNormal="100" zoomScaleSheetLayoutView="120" workbookViewId="0">
      <selection activeCell="E927" sqref="E927"/>
    </sheetView>
  </sheetViews>
  <sheetFormatPr defaultColWidth="9.140625" defaultRowHeight="16.5" x14ac:dyDescent="0.25"/>
  <cols>
    <col min="1" max="1" width="4.85546875" style="206" bestFit="1" customWidth="1"/>
    <col min="2" max="2" width="46.7109375" style="214" customWidth="1"/>
    <col min="3" max="3" width="9.140625" style="214"/>
    <col min="4" max="4" width="6.85546875" style="206" bestFit="1" customWidth="1"/>
    <col min="5" max="5" width="16" style="304" bestFit="1" customWidth="1"/>
    <col min="6" max="6" width="17.5703125" style="207" bestFit="1" customWidth="1"/>
    <col min="7" max="7" width="9.5703125" style="205" hidden="1" customWidth="1"/>
    <col min="8" max="9" width="0" style="208" hidden="1" customWidth="1"/>
    <col min="10" max="10" width="12.5703125" style="208" hidden="1" customWidth="1"/>
    <col min="11" max="11" width="9.140625" style="208"/>
    <col min="12" max="12" width="12.42578125" style="208" bestFit="1" customWidth="1"/>
    <col min="13" max="16384" width="9.140625" style="208"/>
  </cols>
  <sheetData>
    <row r="1" spans="1:9" x14ac:dyDescent="0.25">
      <c r="A1" s="209" t="s">
        <v>796</v>
      </c>
      <c r="B1" s="220" t="s">
        <v>913</v>
      </c>
      <c r="D1" s="209" t="s">
        <v>765</v>
      </c>
      <c r="E1" s="303" t="s">
        <v>914</v>
      </c>
      <c r="F1" s="222" t="s">
        <v>768</v>
      </c>
      <c r="G1" s="221" t="s">
        <v>773</v>
      </c>
    </row>
    <row r="2" spans="1:9" x14ac:dyDescent="0.25">
      <c r="A2" s="203"/>
      <c r="B2" s="204" t="s">
        <v>508</v>
      </c>
    </row>
    <row r="3" spans="1:9" x14ac:dyDescent="0.25">
      <c r="B3" s="209"/>
    </row>
    <row r="4" spans="1:9" x14ac:dyDescent="0.25">
      <c r="B4" s="210" t="s">
        <v>509</v>
      </c>
    </row>
    <row r="5" spans="1:9" x14ac:dyDescent="0.25">
      <c r="B5" s="210"/>
    </row>
    <row r="6" spans="1:9" s="214" customFormat="1" x14ac:dyDescent="0.25">
      <c r="A6" s="206"/>
      <c r="B6" s="211" t="s">
        <v>44</v>
      </c>
      <c r="D6" s="206"/>
      <c r="E6" s="304"/>
      <c r="F6" s="212"/>
      <c r="G6" s="205"/>
    </row>
    <row r="7" spans="1:9" s="214" customFormat="1" ht="15" x14ac:dyDescent="0.25">
      <c r="A7" s="206"/>
      <c r="D7" s="206"/>
      <c r="E7" s="304"/>
      <c r="F7" s="212"/>
      <c r="G7" s="205"/>
    </row>
    <row r="8" spans="1:9" ht="17.25" customHeight="1" x14ac:dyDescent="0.25">
      <c r="B8" s="211" t="s">
        <v>510</v>
      </c>
    </row>
    <row r="9" spans="1:9" ht="40.5" customHeight="1" x14ac:dyDescent="0.25">
      <c r="A9" s="206" t="s">
        <v>2</v>
      </c>
      <c r="B9" s="215" t="s">
        <v>45</v>
      </c>
      <c r="C9" s="620">
        <v>628.91920000000005</v>
      </c>
      <c r="D9" s="206" t="s">
        <v>511</v>
      </c>
      <c r="E9" s="304">
        <v>200</v>
      </c>
      <c r="F9" s="207">
        <f t="shared" ref="F9:F18" si="0">C9*E9</f>
        <v>125783.84000000001</v>
      </c>
      <c r="G9" s="205">
        <v>652</v>
      </c>
      <c r="H9" s="263">
        <f>G9-G9*3.54%</f>
        <v>628.91920000000005</v>
      </c>
      <c r="I9" s="263">
        <v>628.91920000000005</v>
      </c>
    </row>
    <row r="10" spans="1:9" ht="51.75" customHeight="1" x14ac:dyDescent="0.25">
      <c r="A10" s="206" t="s">
        <v>4</v>
      </c>
      <c r="B10" s="215" t="s">
        <v>512</v>
      </c>
      <c r="C10" s="620">
        <v>193.88460000000001</v>
      </c>
      <c r="D10" s="206" t="s">
        <v>513</v>
      </c>
      <c r="E10" s="304">
        <v>1900</v>
      </c>
      <c r="F10" s="207">
        <f t="shared" si="0"/>
        <v>368380.74</v>
      </c>
      <c r="G10" s="205">
        <v>201</v>
      </c>
      <c r="H10" s="263">
        <f>G10-G10*3.54%</f>
        <v>193.88460000000001</v>
      </c>
      <c r="I10" s="263">
        <v>193.88460000000001</v>
      </c>
    </row>
    <row r="11" spans="1:9" ht="45" customHeight="1" x14ac:dyDescent="0.25">
      <c r="A11" s="206" t="s">
        <v>5</v>
      </c>
      <c r="B11" s="215" t="s">
        <v>49</v>
      </c>
      <c r="C11" s="620">
        <v>131.18559999999999</v>
      </c>
      <c r="D11" s="206" t="s">
        <v>513</v>
      </c>
      <c r="E11" s="304">
        <f>E10</f>
        <v>1900</v>
      </c>
      <c r="F11" s="207">
        <f t="shared" si="0"/>
        <v>249252.63999999998</v>
      </c>
      <c r="G11" s="205">
        <v>136</v>
      </c>
      <c r="H11" s="263">
        <f t="shared" ref="H11:H66" si="1">G11-G11*3.54%</f>
        <v>131.18559999999999</v>
      </c>
      <c r="I11" s="263">
        <v>131.18559999999999</v>
      </c>
    </row>
    <row r="12" spans="1:9" ht="55.5" customHeight="1" x14ac:dyDescent="0.25">
      <c r="A12" s="206" t="s">
        <v>6</v>
      </c>
      <c r="B12" s="215" t="s">
        <v>514</v>
      </c>
      <c r="C12" s="620"/>
      <c r="D12" s="206" t="s">
        <v>513</v>
      </c>
      <c r="E12" s="304">
        <f>E10</f>
        <v>1900</v>
      </c>
      <c r="F12" s="207">
        <f t="shared" si="0"/>
        <v>0</v>
      </c>
      <c r="H12" s="263"/>
      <c r="I12" s="263"/>
    </row>
    <row r="13" spans="1:9" ht="30.75" customHeight="1" x14ac:dyDescent="0.25">
      <c r="A13" s="206" t="s">
        <v>7</v>
      </c>
      <c r="B13" s="215" t="s">
        <v>19</v>
      </c>
      <c r="C13" s="620">
        <v>63.663600000000002</v>
      </c>
      <c r="D13" s="206" t="s">
        <v>511</v>
      </c>
      <c r="E13" s="304">
        <f>'[31]AJIWE STRIP MALL '!E49</f>
        <v>250</v>
      </c>
      <c r="F13" s="207">
        <f t="shared" si="0"/>
        <v>15915.900000000001</v>
      </c>
      <c r="G13" s="205">
        <v>66</v>
      </c>
      <c r="H13" s="263">
        <f t="shared" si="1"/>
        <v>63.663600000000002</v>
      </c>
      <c r="I13" s="263">
        <v>63.663600000000002</v>
      </c>
    </row>
    <row r="14" spans="1:9" ht="30.75" customHeight="1" x14ac:dyDescent="0.25">
      <c r="A14" s="206" t="s">
        <v>8</v>
      </c>
      <c r="B14" s="215" t="s">
        <v>515</v>
      </c>
      <c r="C14" s="620">
        <v>219.9288</v>
      </c>
      <c r="D14" s="206" t="s">
        <v>513</v>
      </c>
      <c r="E14" s="304">
        <v>1400</v>
      </c>
      <c r="F14" s="207">
        <f t="shared" si="0"/>
        <v>307900.32</v>
      </c>
      <c r="G14" s="205">
        <v>228</v>
      </c>
      <c r="H14" s="263">
        <f t="shared" si="1"/>
        <v>219.9288</v>
      </c>
      <c r="I14" s="263">
        <v>219.9288</v>
      </c>
    </row>
    <row r="15" spans="1:9" ht="44.25" customHeight="1" x14ac:dyDescent="0.25">
      <c r="A15" s="206" t="s">
        <v>9</v>
      </c>
      <c r="B15" s="215" t="s">
        <v>516</v>
      </c>
      <c r="C15" s="620">
        <v>138.9024</v>
      </c>
      <c r="D15" s="206" t="s">
        <v>513</v>
      </c>
      <c r="E15" s="304">
        <v>900</v>
      </c>
      <c r="F15" s="207">
        <f t="shared" si="0"/>
        <v>125012.16</v>
      </c>
      <c r="G15" s="205">
        <v>144</v>
      </c>
      <c r="H15" s="263">
        <f t="shared" si="1"/>
        <v>138.9024</v>
      </c>
      <c r="I15" s="263">
        <v>138.9024</v>
      </c>
    </row>
    <row r="16" spans="1:9" ht="44.25" customHeight="1" x14ac:dyDescent="0.25">
      <c r="A16" s="206" t="s">
        <v>10</v>
      </c>
      <c r="B16" s="218" t="s">
        <v>802</v>
      </c>
      <c r="C16" s="620">
        <v>198.70760000000001</v>
      </c>
      <c r="D16" s="206" t="s">
        <v>513</v>
      </c>
      <c r="E16" s="304">
        <v>6500</v>
      </c>
      <c r="F16" s="207">
        <f t="shared" si="0"/>
        <v>1291599.4000000001</v>
      </c>
      <c r="G16" s="205">
        <v>206</v>
      </c>
      <c r="H16" s="263">
        <f t="shared" si="1"/>
        <v>198.70760000000001</v>
      </c>
      <c r="I16" s="263">
        <v>198.70760000000001</v>
      </c>
    </row>
    <row r="17" spans="1:9" ht="36" customHeight="1" x14ac:dyDescent="0.25">
      <c r="A17" s="206" t="s">
        <v>11</v>
      </c>
      <c r="B17" s="215" t="s">
        <v>663</v>
      </c>
      <c r="C17" s="620">
        <v>141.7962</v>
      </c>
      <c r="D17" s="206" t="s">
        <v>511</v>
      </c>
      <c r="E17" s="304">
        <v>2700</v>
      </c>
      <c r="F17" s="207">
        <f t="shared" si="0"/>
        <v>382849.74</v>
      </c>
      <c r="G17" s="205">
        <v>147</v>
      </c>
      <c r="H17" s="263">
        <f t="shared" si="1"/>
        <v>141.7962</v>
      </c>
      <c r="I17" s="263">
        <v>141.7962</v>
      </c>
    </row>
    <row r="18" spans="1:9" ht="36" customHeight="1" x14ac:dyDescent="0.25">
      <c r="A18" s="206" t="s">
        <v>12</v>
      </c>
      <c r="B18" s="215" t="s">
        <v>517</v>
      </c>
      <c r="C18" s="620"/>
      <c r="D18" s="206" t="s">
        <v>511</v>
      </c>
      <c r="E18" s="304">
        <f>'[31]AJIWE STRIP MALL '!E54</f>
        <v>150</v>
      </c>
      <c r="F18" s="207">
        <f t="shared" si="0"/>
        <v>0</v>
      </c>
      <c r="H18" s="263"/>
      <c r="I18" s="263"/>
    </row>
    <row r="19" spans="1:9" x14ac:dyDescent="0.25">
      <c r="B19" s="211" t="s">
        <v>98</v>
      </c>
      <c r="C19" s="620"/>
      <c r="H19" s="263"/>
      <c r="I19" s="263"/>
    </row>
    <row r="20" spans="1:9" ht="17.25" customHeight="1" x14ac:dyDescent="0.25">
      <c r="B20" s="219" t="s">
        <v>664</v>
      </c>
      <c r="C20" s="620"/>
      <c r="H20" s="263"/>
      <c r="I20" s="263"/>
    </row>
    <row r="21" spans="1:9" ht="17.25" customHeight="1" x14ac:dyDescent="0.25">
      <c r="A21" s="206" t="s">
        <v>13</v>
      </c>
      <c r="B21" s="214" t="s">
        <v>803</v>
      </c>
      <c r="C21" s="620">
        <v>217.035</v>
      </c>
      <c r="D21" s="206" t="s">
        <v>511</v>
      </c>
      <c r="E21" s="304">
        <v>3000</v>
      </c>
      <c r="F21" s="207">
        <f>C21*E21</f>
        <v>651105</v>
      </c>
      <c r="G21" s="205">
        <v>225</v>
      </c>
      <c r="H21" s="263">
        <f t="shared" si="1"/>
        <v>217.035</v>
      </c>
      <c r="I21" s="263">
        <v>217.035</v>
      </c>
    </row>
    <row r="22" spans="1:9" ht="17.25" customHeight="1" x14ac:dyDescent="0.25">
      <c r="C22" s="620"/>
      <c r="H22" s="263"/>
      <c r="I22" s="263"/>
    </row>
    <row r="23" spans="1:9" ht="17.25" customHeight="1" x14ac:dyDescent="0.25">
      <c r="C23" s="620"/>
      <c r="H23" s="263"/>
      <c r="I23" s="263"/>
    </row>
    <row r="24" spans="1:9" ht="17.25" customHeight="1" x14ac:dyDescent="0.25">
      <c r="C24" s="620"/>
      <c r="H24" s="263"/>
      <c r="I24" s="263"/>
    </row>
    <row r="25" spans="1:9" ht="17.25" customHeight="1" x14ac:dyDescent="0.25">
      <c r="C25" s="620"/>
      <c r="H25" s="263"/>
      <c r="I25" s="263"/>
    </row>
    <row r="26" spans="1:9" ht="17.25" customHeight="1" x14ac:dyDescent="0.25">
      <c r="C26" s="620"/>
      <c r="H26" s="263"/>
      <c r="I26" s="263"/>
    </row>
    <row r="27" spans="1:9" ht="17.25" customHeight="1" x14ac:dyDescent="0.25">
      <c r="C27" s="620"/>
      <c r="H27" s="263"/>
      <c r="I27" s="263"/>
    </row>
    <row r="28" spans="1:9" ht="17.25" customHeight="1" x14ac:dyDescent="0.25">
      <c r="C28" s="620"/>
      <c r="H28" s="263"/>
      <c r="I28" s="263"/>
    </row>
    <row r="29" spans="1:9" ht="17.25" customHeight="1" x14ac:dyDescent="0.25">
      <c r="C29" s="620"/>
      <c r="H29" s="263"/>
      <c r="I29" s="263"/>
    </row>
    <row r="30" spans="1:9" ht="17.25" customHeight="1" x14ac:dyDescent="0.25">
      <c r="C30" s="620"/>
      <c r="H30" s="263"/>
      <c r="I30" s="263"/>
    </row>
    <row r="31" spans="1:9" ht="17.25" customHeight="1" x14ac:dyDescent="0.25">
      <c r="B31" s="220" t="s">
        <v>520</v>
      </c>
      <c r="C31" s="620"/>
      <c r="D31" s="209"/>
      <c r="E31" s="303" t="s">
        <v>15</v>
      </c>
      <c r="F31" s="285">
        <f>SUM(F9:F21)</f>
        <v>3517799.74</v>
      </c>
      <c r="G31" s="221"/>
      <c r="H31" s="263"/>
      <c r="I31" s="263"/>
    </row>
    <row r="32" spans="1:9" x14ac:dyDescent="0.25">
      <c r="A32" s="209" t="s">
        <v>796</v>
      </c>
      <c r="B32" s="209" t="s">
        <v>913</v>
      </c>
      <c r="C32" s="620"/>
      <c r="D32" s="209" t="s">
        <v>765</v>
      </c>
      <c r="E32" s="388" t="s">
        <v>914</v>
      </c>
      <c r="F32" s="273" t="s">
        <v>768</v>
      </c>
      <c r="G32" s="221" t="s">
        <v>773</v>
      </c>
      <c r="H32" s="263"/>
      <c r="I32" s="263"/>
    </row>
    <row r="33" spans="1:9" s="223" customFormat="1" ht="17.25" customHeight="1" x14ac:dyDescent="0.25">
      <c r="A33" s="209"/>
      <c r="B33" s="210" t="s">
        <v>521</v>
      </c>
      <c r="C33" s="620"/>
      <c r="D33" s="209"/>
      <c r="E33" s="303"/>
      <c r="F33" s="222"/>
      <c r="G33" s="221"/>
      <c r="H33" s="263"/>
      <c r="I33" s="263"/>
    </row>
    <row r="34" spans="1:9" ht="30.75" customHeight="1" x14ac:dyDescent="0.25">
      <c r="B34" s="219" t="s">
        <v>522</v>
      </c>
      <c r="C34" s="620"/>
      <c r="H34" s="263"/>
      <c r="I34" s="263"/>
    </row>
    <row r="35" spans="1:9" ht="22.9" customHeight="1" x14ac:dyDescent="0.25">
      <c r="B35" s="219" t="s">
        <v>916</v>
      </c>
      <c r="C35" s="620"/>
      <c r="H35" s="263"/>
      <c r="I35" s="263"/>
    </row>
    <row r="36" spans="1:9" ht="22.5" customHeight="1" x14ac:dyDescent="0.25">
      <c r="A36" s="206" t="s">
        <v>2</v>
      </c>
      <c r="B36" s="214" t="s">
        <v>910</v>
      </c>
      <c r="C36" s="620">
        <v>29.9026</v>
      </c>
      <c r="D36" s="206" t="s">
        <v>513</v>
      </c>
      <c r="E36" s="304">
        <v>95000</v>
      </c>
      <c r="F36" s="207">
        <f>C36*E36</f>
        <v>2840747</v>
      </c>
      <c r="G36" s="205">
        <v>31</v>
      </c>
      <c r="H36" s="263">
        <f t="shared" si="1"/>
        <v>29.9026</v>
      </c>
      <c r="I36" s="263">
        <v>29.9026</v>
      </c>
    </row>
    <row r="37" spans="1:9" ht="21.75" customHeight="1" x14ac:dyDescent="0.25">
      <c r="A37" s="206" t="s">
        <v>4</v>
      </c>
      <c r="B37" s="214" t="s">
        <v>519</v>
      </c>
      <c r="C37" s="620">
        <v>54.982199999999999</v>
      </c>
      <c r="D37" s="206" t="s">
        <v>513</v>
      </c>
      <c r="E37" s="304">
        <f>E36</f>
        <v>95000</v>
      </c>
      <c r="F37" s="207">
        <f>C37*E37</f>
        <v>5223309</v>
      </c>
      <c r="G37" s="205">
        <v>57</v>
      </c>
      <c r="H37" s="263">
        <f t="shared" si="1"/>
        <v>54.982199999999999</v>
      </c>
      <c r="I37" s="263">
        <v>54.982199999999999</v>
      </c>
    </row>
    <row r="38" spans="1:9" s="214" customFormat="1" ht="15" x14ac:dyDescent="0.3">
      <c r="A38" s="535"/>
      <c r="B38" s="541"/>
      <c r="C38" s="620"/>
      <c r="D38" s="538"/>
      <c r="E38" s="539"/>
      <c r="F38" s="540"/>
      <c r="G38" s="537"/>
      <c r="H38" s="263"/>
      <c r="I38" s="263"/>
    </row>
    <row r="39" spans="1:9" s="214" customFormat="1" ht="15" x14ac:dyDescent="0.3">
      <c r="A39" s="535"/>
      <c r="B39" s="536" t="s">
        <v>797</v>
      </c>
      <c r="C39" s="620"/>
      <c r="D39" s="538"/>
      <c r="E39" s="539"/>
      <c r="F39" s="540"/>
      <c r="G39" s="537"/>
      <c r="H39" s="263"/>
      <c r="I39" s="263"/>
    </row>
    <row r="40" spans="1:9" s="214" customFormat="1" ht="30" x14ac:dyDescent="0.3">
      <c r="A40" s="535"/>
      <c r="B40" s="542" t="s">
        <v>915</v>
      </c>
      <c r="C40" s="620"/>
      <c r="D40" s="538"/>
      <c r="E40" s="539"/>
      <c r="F40" s="540"/>
      <c r="G40" s="537"/>
      <c r="H40" s="263"/>
      <c r="I40" s="263"/>
    </row>
    <row r="41" spans="1:9" s="214" customFormat="1" ht="14.25" customHeight="1" x14ac:dyDescent="0.3">
      <c r="A41" s="535"/>
      <c r="B41" s="541"/>
      <c r="C41" s="620"/>
      <c r="D41" s="538"/>
      <c r="E41" s="539"/>
      <c r="F41" s="540"/>
      <c r="G41" s="537"/>
      <c r="H41" s="263"/>
      <c r="I41" s="263"/>
    </row>
    <row r="42" spans="1:9" s="214" customFormat="1" ht="15" x14ac:dyDescent="0.3">
      <c r="A42" s="535" t="s">
        <v>5</v>
      </c>
      <c r="B42" s="543" t="s">
        <v>912</v>
      </c>
      <c r="C42" s="620">
        <v>39.5486</v>
      </c>
      <c r="D42" s="538" t="s">
        <v>47</v>
      </c>
      <c r="E42" s="539">
        <f>E36</f>
        <v>95000</v>
      </c>
      <c r="F42" s="540">
        <f>E42*C42</f>
        <v>3757117</v>
      </c>
      <c r="G42" s="537">
        <v>41</v>
      </c>
      <c r="H42" s="263">
        <f t="shared" si="1"/>
        <v>39.5486</v>
      </c>
      <c r="I42" s="263">
        <v>39.5486</v>
      </c>
    </row>
    <row r="43" spans="1:9" s="214" customFormat="1" ht="15" x14ac:dyDescent="0.3">
      <c r="A43" s="535" t="s">
        <v>6</v>
      </c>
      <c r="B43" s="543" t="s">
        <v>917</v>
      </c>
      <c r="C43" s="620">
        <v>2.8938000000000001</v>
      </c>
      <c r="D43" s="538" t="s">
        <v>47</v>
      </c>
      <c r="E43" s="539">
        <f>E42</f>
        <v>95000</v>
      </c>
      <c r="F43" s="540">
        <f>E43*C43</f>
        <v>274911</v>
      </c>
      <c r="G43" s="537">
        <v>3</v>
      </c>
      <c r="H43" s="263">
        <f t="shared" si="1"/>
        <v>2.8938000000000001</v>
      </c>
      <c r="I43" s="263">
        <v>2.8938000000000001</v>
      </c>
    </row>
    <row r="44" spans="1:9" s="214" customFormat="1" ht="10.15" customHeight="1" x14ac:dyDescent="0.35">
      <c r="A44" s="535"/>
      <c r="B44" s="544"/>
      <c r="C44" s="620"/>
      <c r="D44" s="538"/>
      <c r="E44" s="539"/>
      <c r="F44" s="540"/>
      <c r="G44" s="537"/>
      <c r="H44" s="263"/>
      <c r="I44" s="263"/>
    </row>
    <row r="45" spans="1:9" s="214" customFormat="1" ht="15" x14ac:dyDescent="0.3">
      <c r="A45" s="535"/>
      <c r="B45" s="536" t="s">
        <v>798</v>
      </c>
      <c r="C45" s="620"/>
      <c r="D45" s="538"/>
      <c r="E45" s="539"/>
      <c r="F45" s="540"/>
      <c r="G45" s="537"/>
      <c r="H45" s="263"/>
      <c r="I45" s="263"/>
    </row>
    <row r="46" spans="1:9" s="214" customFormat="1" ht="15" x14ac:dyDescent="0.3">
      <c r="A46" s="535"/>
      <c r="B46" s="536" t="s">
        <v>102</v>
      </c>
      <c r="C46" s="620"/>
      <c r="D46" s="538"/>
      <c r="E46" s="539"/>
      <c r="F46" s="540"/>
      <c r="G46" s="537"/>
      <c r="H46" s="263"/>
      <c r="I46" s="263"/>
    </row>
    <row r="47" spans="1:9" s="214" customFormat="1" ht="15" x14ac:dyDescent="0.3">
      <c r="A47" s="535"/>
      <c r="B47" s="536" t="s">
        <v>799</v>
      </c>
      <c r="C47" s="620"/>
      <c r="D47" s="538"/>
      <c r="E47" s="539"/>
      <c r="F47" s="540"/>
      <c r="G47" s="537"/>
      <c r="H47" s="263"/>
      <c r="I47" s="263"/>
    </row>
    <row r="48" spans="1:9" s="214" customFormat="1" ht="11.65" customHeight="1" x14ac:dyDescent="0.3">
      <c r="A48" s="535"/>
      <c r="B48" s="543"/>
      <c r="C48" s="620"/>
      <c r="D48" s="538"/>
      <c r="E48" s="539"/>
      <c r="F48" s="540"/>
      <c r="G48" s="537"/>
      <c r="H48" s="263"/>
      <c r="I48" s="263"/>
    </row>
    <row r="49" spans="1:9" s="214" customFormat="1" ht="15" x14ac:dyDescent="0.3">
      <c r="A49" s="535" t="s">
        <v>7</v>
      </c>
      <c r="B49" s="543" t="s">
        <v>1013</v>
      </c>
      <c r="C49" s="620">
        <v>2249.4472000000001</v>
      </c>
      <c r="D49" s="538" t="s">
        <v>75</v>
      </c>
      <c r="E49" s="539">
        <v>1450</v>
      </c>
      <c r="F49" s="540">
        <f>E49*C49</f>
        <v>3261698.44</v>
      </c>
      <c r="G49" s="537">
        <v>2332</v>
      </c>
      <c r="H49" s="263">
        <f t="shared" si="1"/>
        <v>2249.4472000000001</v>
      </c>
      <c r="I49" s="263">
        <v>2249.4472000000001</v>
      </c>
    </row>
    <row r="50" spans="1:9" s="214" customFormat="1" ht="15" x14ac:dyDescent="0.3">
      <c r="A50" s="535" t="s">
        <v>8</v>
      </c>
      <c r="B50" s="543" t="s">
        <v>918</v>
      </c>
      <c r="C50" s="620"/>
      <c r="D50" s="538" t="s">
        <v>75</v>
      </c>
      <c r="E50" s="539">
        <f>E49</f>
        <v>1450</v>
      </c>
      <c r="F50" s="540">
        <f>E50*C50</f>
        <v>0</v>
      </c>
      <c r="G50" s="537"/>
      <c r="H50" s="263"/>
      <c r="I50" s="263"/>
    </row>
    <row r="51" spans="1:9" s="214" customFormat="1" ht="15" x14ac:dyDescent="0.3">
      <c r="A51" s="535" t="s">
        <v>9</v>
      </c>
      <c r="B51" s="543" t="s">
        <v>903</v>
      </c>
      <c r="C51" s="620">
        <v>1118.9359999999999</v>
      </c>
      <c r="D51" s="538" t="s">
        <v>75</v>
      </c>
      <c r="E51" s="539">
        <f>E49</f>
        <v>1450</v>
      </c>
      <c r="F51" s="540">
        <f>E51*C51</f>
        <v>1622457.2</v>
      </c>
      <c r="G51" s="537">
        <v>1160</v>
      </c>
      <c r="H51" s="263">
        <f t="shared" si="1"/>
        <v>1118.9359999999999</v>
      </c>
      <c r="I51" s="263">
        <v>1118.9359999999999</v>
      </c>
    </row>
    <row r="52" spans="1:9" s="214" customFormat="1" ht="15" x14ac:dyDescent="0.3">
      <c r="A52" s="535" t="s">
        <v>10</v>
      </c>
      <c r="B52" s="543" t="s">
        <v>919</v>
      </c>
      <c r="C52" s="620"/>
      <c r="D52" s="538" t="s">
        <v>75</v>
      </c>
      <c r="E52" s="539">
        <f>E51</f>
        <v>1450</v>
      </c>
      <c r="F52" s="540">
        <f>E52*C52</f>
        <v>0</v>
      </c>
      <c r="G52" s="537"/>
      <c r="H52" s="263"/>
      <c r="I52" s="263"/>
    </row>
    <row r="53" spans="1:9" s="214" customFormat="1" ht="15" x14ac:dyDescent="0.3">
      <c r="A53" s="535" t="s">
        <v>11</v>
      </c>
      <c r="B53" s="543" t="s">
        <v>922</v>
      </c>
      <c r="C53" s="620">
        <v>190.02619999999999</v>
      </c>
      <c r="D53" s="538" t="s">
        <v>75</v>
      </c>
      <c r="E53" s="539">
        <f>E52</f>
        <v>1450</v>
      </c>
      <c r="F53" s="540">
        <f>E53*C53</f>
        <v>275537.99</v>
      </c>
      <c r="G53" s="537">
        <v>197</v>
      </c>
      <c r="H53" s="263">
        <f t="shared" si="1"/>
        <v>190.02619999999999</v>
      </c>
      <c r="I53" s="263">
        <v>190.02619999999999</v>
      </c>
    </row>
    <row r="54" spans="1:9" s="214" customFormat="1" ht="12.4" customHeight="1" x14ac:dyDescent="0.3">
      <c r="A54" s="535"/>
      <c r="B54" s="543"/>
      <c r="C54" s="620"/>
      <c r="D54" s="538"/>
      <c r="E54" s="539"/>
      <c r="F54" s="540"/>
      <c r="G54" s="537"/>
      <c r="H54" s="263"/>
      <c r="I54" s="263"/>
    </row>
    <row r="55" spans="1:9" s="214" customFormat="1" ht="15" x14ac:dyDescent="0.3">
      <c r="A55" s="535"/>
      <c r="B55" s="536" t="s">
        <v>67</v>
      </c>
      <c r="C55" s="620"/>
      <c r="D55" s="538"/>
      <c r="E55" s="539"/>
      <c r="F55" s="540"/>
      <c r="G55" s="537"/>
      <c r="H55" s="263"/>
      <c r="I55" s="263"/>
    </row>
    <row r="56" spans="1:9" s="214" customFormat="1" ht="15" x14ac:dyDescent="0.3">
      <c r="A56" s="535"/>
      <c r="B56" s="536" t="s">
        <v>800</v>
      </c>
      <c r="C56" s="620"/>
      <c r="D56" s="538"/>
      <c r="E56" s="539"/>
      <c r="F56" s="540"/>
      <c r="G56" s="537"/>
      <c r="H56" s="263"/>
      <c r="I56" s="263"/>
    </row>
    <row r="57" spans="1:9" s="214" customFormat="1" ht="13.9" customHeight="1" x14ac:dyDescent="0.3">
      <c r="A57" s="535"/>
      <c r="B57" s="543"/>
      <c r="C57" s="620"/>
      <c r="D57" s="538"/>
      <c r="E57" s="539"/>
      <c r="F57" s="540"/>
      <c r="G57" s="537"/>
      <c r="H57" s="263"/>
      <c r="I57" s="263"/>
    </row>
    <row r="58" spans="1:9" s="214" customFormat="1" ht="15" x14ac:dyDescent="0.3">
      <c r="A58" s="535" t="s">
        <v>12</v>
      </c>
      <c r="B58" s="543" t="s">
        <v>920</v>
      </c>
      <c r="C58" s="620">
        <v>96.46</v>
      </c>
      <c r="D58" s="538" t="s">
        <v>35</v>
      </c>
      <c r="E58" s="539">
        <v>8500</v>
      </c>
      <c r="F58" s="540">
        <f>E58*C58</f>
        <v>819910</v>
      </c>
      <c r="G58" s="537">
        <v>100</v>
      </c>
      <c r="H58" s="263">
        <f t="shared" si="1"/>
        <v>96.46</v>
      </c>
      <c r="I58" s="263">
        <v>96.46</v>
      </c>
    </row>
    <row r="59" spans="1:9" s="214" customFormat="1" ht="15" x14ac:dyDescent="0.3">
      <c r="A59" s="535" t="s">
        <v>13</v>
      </c>
      <c r="B59" s="543" t="s">
        <v>921</v>
      </c>
      <c r="C59" s="620">
        <v>57.875999999999998</v>
      </c>
      <c r="D59" s="538" t="s">
        <v>35</v>
      </c>
      <c r="E59" s="539">
        <f>E58</f>
        <v>8500</v>
      </c>
      <c r="F59" s="540">
        <f>E59*C59</f>
        <v>491946</v>
      </c>
      <c r="G59" s="537">
        <v>60</v>
      </c>
      <c r="H59" s="263">
        <f t="shared" si="1"/>
        <v>57.875999999999998</v>
      </c>
      <c r="I59" s="263">
        <v>57.875999999999998</v>
      </c>
    </row>
    <row r="60" spans="1:9" s="214" customFormat="1" ht="15" x14ac:dyDescent="0.3">
      <c r="A60" s="535"/>
      <c r="B60" s="543"/>
      <c r="C60" s="620"/>
      <c r="D60" s="538"/>
      <c r="E60" s="539"/>
      <c r="F60" s="540"/>
      <c r="G60" s="537"/>
      <c r="H60" s="263"/>
      <c r="I60" s="263"/>
    </row>
    <row r="61" spans="1:9" ht="49.5" customHeight="1" x14ac:dyDescent="0.25">
      <c r="B61" s="224" t="s">
        <v>524</v>
      </c>
      <c r="C61" s="620"/>
      <c r="H61" s="263"/>
      <c r="I61" s="263"/>
    </row>
    <row r="62" spans="1:9" ht="20.25" customHeight="1" x14ac:dyDescent="0.25">
      <c r="A62" s="206" t="s">
        <v>14</v>
      </c>
      <c r="B62" s="218" t="s">
        <v>39</v>
      </c>
      <c r="C62" s="620">
        <v>355.93740000000003</v>
      </c>
      <c r="D62" s="206" t="s">
        <v>511</v>
      </c>
      <c r="E62" s="304">
        <v>1800</v>
      </c>
      <c r="F62" s="207">
        <f>C62*E62</f>
        <v>640687.32000000007</v>
      </c>
      <c r="G62" s="205">
        <v>369</v>
      </c>
      <c r="H62" s="263">
        <f t="shared" si="1"/>
        <v>355.93740000000003</v>
      </c>
      <c r="I62" s="263">
        <v>355.93740000000003</v>
      </c>
    </row>
    <row r="63" spans="1:9" x14ac:dyDescent="0.25">
      <c r="B63" s="218"/>
      <c r="C63" s="620"/>
      <c r="H63" s="263"/>
      <c r="I63" s="263"/>
    </row>
    <row r="64" spans="1:9" ht="21" customHeight="1" x14ac:dyDescent="0.25">
      <c r="B64" s="211" t="s">
        <v>67</v>
      </c>
      <c r="C64" s="620"/>
      <c r="H64" s="263"/>
      <c r="I64" s="263"/>
    </row>
    <row r="65" spans="1:9" ht="24.75" customHeight="1" x14ac:dyDescent="0.25">
      <c r="B65" s="219" t="s">
        <v>120</v>
      </c>
      <c r="C65" s="620"/>
      <c r="H65" s="263"/>
      <c r="I65" s="263"/>
    </row>
    <row r="66" spans="1:9" ht="21.75" customHeight="1" x14ac:dyDescent="0.25">
      <c r="A66" s="206" t="s">
        <v>15</v>
      </c>
      <c r="B66" s="214" t="s">
        <v>911</v>
      </c>
      <c r="C66" s="620">
        <v>85.849400000000003</v>
      </c>
      <c r="D66" s="206" t="s">
        <v>22</v>
      </c>
      <c r="E66" s="304">
        <f>E58*0.15</f>
        <v>1275</v>
      </c>
      <c r="F66" s="207">
        <f>C66*E66</f>
        <v>109457.985</v>
      </c>
      <c r="G66" s="205">
        <v>89</v>
      </c>
      <c r="H66" s="263">
        <f t="shared" si="1"/>
        <v>85.849400000000003</v>
      </c>
      <c r="I66" s="263">
        <v>85.849400000000003</v>
      </c>
    </row>
    <row r="67" spans="1:9" ht="21.75" customHeight="1" x14ac:dyDescent="0.25">
      <c r="C67" s="620"/>
      <c r="H67" s="263"/>
      <c r="I67" s="263"/>
    </row>
    <row r="68" spans="1:9" ht="21.75" customHeight="1" x14ac:dyDescent="0.25">
      <c r="C68" s="620"/>
      <c r="H68" s="263"/>
      <c r="I68" s="263"/>
    </row>
    <row r="69" spans="1:9" ht="23.25" customHeight="1" x14ac:dyDescent="0.25">
      <c r="C69" s="620"/>
      <c r="H69" s="263"/>
      <c r="I69" s="263"/>
    </row>
    <row r="70" spans="1:9" x14ac:dyDescent="0.25">
      <c r="C70" s="620"/>
      <c r="H70" s="263"/>
      <c r="I70" s="263"/>
    </row>
    <row r="71" spans="1:9" x14ac:dyDescent="0.25">
      <c r="C71" s="620"/>
      <c r="H71" s="263"/>
      <c r="I71" s="263"/>
    </row>
    <row r="72" spans="1:9" x14ac:dyDescent="0.25">
      <c r="B72" s="225" t="s">
        <v>525</v>
      </c>
      <c r="C72" s="620"/>
      <c r="E72" s="303" t="s">
        <v>15</v>
      </c>
      <c r="F72" s="222">
        <f>SUM(F35:F71)</f>
        <v>19317778.934999999</v>
      </c>
      <c r="H72" s="263"/>
      <c r="I72" s="263"/>
    </row>
    <row r="73" spans="1:9" x14ac:dyDescent="0.25">
      <c r="A73" s="209" t="s">
        <v>796</v>
      </c>
      <c r="B73" s="209" t="s">
        <v>913</v>
      </c>
      <c r="C73" s="620"/>
      <c r="D73" s="209" t="s">
        <v>765</v>
      </c>
      <c r="E73" s="388" t="s">
        <v>914</v>
      </c>
      <c r="F73" s="273" t="s">
        <v>768</v>
      </c>
      <c r="G73" s="221" t="s">
        <v>773</v>
      </c>
      <c r="H73" s="263"/>
      <c r="I73" s="263"/>
    </row>
    <row r="74" spans="1:9" x14ac:dyDescent="0.25">
      <c r="B74" s="210" t="s">
        <v>521</v>
      </c>
      <c r="C74" s="620"/>
      <c r="H74" s="263"/>
      <c r="I74" s="263"/>
    </row>
    <row r="75" spans="1:9" x14ac:dyDescent="0.25">
      <c r="B75" s="210"/>
      <c r="C75" s="620"/>
      <c r="H75" s="263"/>
      <c r="I75" s="263"/>
    </row>
    <row r="76" spans="1:9" x14ac:dyDescent="0.25">
      <c r="B76" s="211" t="s">
        <v>84</v>
      </c>
      <c r="C76" s="620"/>
      <c r="D76" s="209"/>
      <c r="E76" s="303"/>
      <c r="F76" s="286"/>
      <c r="G76" s="221"/>
      <c r="H76" s="263"/>
      <c r="I76" s="263"/>
    </row>
    <row r="77" spans="1:9" x14ac:dyDescent="0.25">
      <c r="B77" s="226"/>
      <c r="C77" s="620"/>
      <c r="D77" s="209"/>
      <c r="E77" s="303"/>
      <c r="F77" s="286"/>
      <c r="G77" s="221"/>
      <c r="H77" s="263"/>
      <c r="I77" s="263"/>
    </row>
    <row r="78" spans="1:9" ht="57.75" customHeight="1" x14ac:dyDescent="0.25">
      <c r="B78" s="224" t="s">
        <v>526</v>
      </c>
      <c r="C78" s="620"/>
      <c r="D78" s="209"/>
      <c r="E78" s="303"/>
      <c r="F78" s="286"/>
      <c r="G78" s="221"/>
      <c r="H78" s="263"/>
      <c r="I78" s="263"/>
    </row>
    <row r="79" spans="1:9" x14ac:dyDescent="0.25">
      <c r="B79" s="224"/>
      <c r="C79" s="620"/>
      <c r="D79" s="209"/>
      <c r="E79" s="303"/>
      <c r="F79" s="286"/>
      <c r="G79" s="221"/>
      <c r="H79" s="263"/>
      <c r="I79" s="263"/>
    </row>
    <row r="80" spans="1:9" x14ac:dyDescent="0.25">
      <c r="A80" s="206" t="s">
        <v>2</v>
      </c>
      <c r="B80" s="218" t="s">
        <v>527</v>
      </c>
      <c r="C80" s="620">
        <v>369.4418</v>
      </c>
      <c r="D80" s="206" t="s">
        <v>511</v>
      </c>
      <c r="E80" s="304">
        <v>13000</v>
      </c>
      <c r="F80" s="207">
        <f>C80*E80</f>
        <v>4802743.4000000004</v>
      </c>
      <c r="G80" s="205">
        <v>383</v>
      </c>
      <c r="H80" s="263">
        <f t="shared" ref="H80:H137" si="2">G80-G80*3.54%</f>
        <v>369.4418</v>
      </c>
      <c r="I80" s="263">
        <v>369.4418</v>
      </c>
    </row>
    <row r="81" spans="1:9" x14ac:dyDescent="0.25">
      <c r="C81" s="620"/>
      <c r="H81" s="263"/>
      <c r="I81" s="263"/>
    </row>
    <row r="82" spans="1:9" x14ac:dyDescent="0.25">
      <c r="B82" s="219" t="s">
        <v>528</v>
      </c>
      <c r="C82" s="620"/>
      <c r="F82" s="227"/>
      <c r="H82" s="263"/>
      <c r="I82" s="263"/>
    </row>
    <row r="83" spans="1:9" x14ac:dyDescent="0.25">
      <c r="B83" s="219" t="s">
        <v>529</v>
      </c>
      <c r="C83" s="620"/>
      <c r="F83" s="227"/>
      <c r="H83" s="263"/>
      <c r="I83" s="263"/>
    </row>
    <row r="84" spans="1:9" x14ac:dyDescent="0.25">
      <c r="C84" s="620"/>
      <c r="F84" s="227"/>
      <c r="H84" s="263"/>
      <c r="I84" s="263"/>
    </row>
    <row r="85" spans="1:9" ht="29.25" customHeight="1" x14ac:dyDescent="0.25">
      <c r="A85" s="206" t="s">
        <v>4</v>
      </c>
      <c r="B85" s="215" t="s">
        <v>530</v>
      </c>
      <c r="C85" s="620">
        <v>374.26479999999998</v>
      </c>
      <c r="D85" s="206" t="s">
        <v>511</v>
      </c>
      <c r="E85" s="304">
        <v>650</v>
      </c>
      <c r="F85" s="207">
        <f>C85*E85</f>
        <v>243272.12</v>
      </c>
      <c r="G85" s="205">
        <v>388</v>
      </c>
      <c r="H85" s="263">
        <f t="shared" si="2"/>
        <v>374.26479999999998</v>
      </c>
      <c r="I85" s="263">
        <v>374.26479999999998</v>
      </c>
    </row>
    <row r="86" spans="1:9" x14ac:dyDescent="0.25">
      <c r="B86" s="215"/>
      <c r="C86" s="620"/>
      <c r="F86" s="227"/>
      <c r="H86" s="263"/>
      <c r="I86" s="263"/>
    </row>
    <row r="87" spans="1:9" x14ac:dyDescent="0.25">
      <c r="B87" s="228"/>
      <c r="C87" s="620"/>
      <c r="F87" s="227"/>
      <c r="H87" s="263"/>
      <c r="I87" s="263"/>
    </row>
    <row r="88" spans="1:9" ht="29.25" customHeight="1" x14ac:dyDescent="0.25">
      <c r="B88" s="228" t="s">
        <v>923</v>
      </c>
      <c r="C88" s="620"/>
      <c r="D88" s="389"/>
      <c r="E88" s="206"/>
      <c r="G88" s="214"/>
      <c r="H88" s="263"/>
      <c r="I88" s="263"/>
    </row>
    <row r="89" spans="1:9" ht="29.25" customHeight="1" x14ac:dyDescent="0.25">
      <c r="A89" s="206" t="s">
        <v>5</v>
      </c>
      <c r="B89" s="215" t="s">
        <v>924</v>
      </c>
      <c r="C89" s="620"/>
      <c r="D89" s="206" t="s">
        <v>511</v>
      </c>
      <c r="E89" s="390">
        <v>9500</v>
      </c>
      <c r="F89" s="207">
        <f>C89*E89</f>
        <v>0</v>
      </c>
      <c r="G89" s="391">
        <f>0*2*1.57</f>
        <v>0</v>
      </c>
      <c r="H89" s="263"/>
      <c r="I89" s="263"/>
    </row>
    <row r="90" spans="1:9" ht="29.25" customHeight="1" x14ac:dyDescent="0.25">
      <c r="A90" s="206" t="s">
        <v>6</v>
      </c>
      <c r="B90" s="215" t="s">
        <v>925</v>
      </c>
      <c r="C90" s="620"/>
      <c r="D90" s="206" t="s">
        <v>511</v>
      </c>
      <c r="E90" s="390">
        <f>E89*0.3</f>
        <v>2850</v>
      </c>
      <c r="F90" s="207">
        <f>C90*E90</f>
        <v>0</v>
      </c>
      <c r="G90" s="391">
        <f>0*2*0.15</f>
        <v>0</v>
      </c>
      <c r="H90" s="263"/>
      <c r="I90" s="263"/>
    </row>
    <row r="91" spans="1:9" ht="35.25" customHeight="1" x14ac:dyDescent="0.25">
      <c r="B91" s="215"/>
      <c r="C91" s="620"/>
      <c r="F91" s="229"/>
      <c r="H91" s="263"/>
      <c r="I91" s="263"/>
    </row>
    <row r="92" spans="1:9" x14ac:dyDescent="0.25">
      <c r="B92" s="215"/>
      <c r="C92" s="620"/>
      <c r="F92" s="227"/>
      <c r="H92" s="263"/>
      <c r="I92" s="263"/>
    </row>
    <row r="93" spans="1:9" ht="18.75" customHeight="1" x14ac:dyDescent="0.25">
      <c r="B93" s="225" t="s">
        <v>525</v>
      </c>
      <c r="C93" s="620"/>
      <c r="E93" s="303" t="s">
        <v>15</v>
      </c>
      <c r="F93" s="222">
        <f>SUM(F76:F92)</f>
        <v>5046015.5200000005</v>
      </c>
      <c r="H93" s="263"/>
      <c r="I93" s="263"/>
    </row>
    <row r="94" spans="1:9" x14ac:dyDescent="0.25">
      <c r="B94" s="215"/>
      <c r="C94" s="620"/>
      <c r="F94" s="227"/>
      <c r="H94" s="263"/>
      <c r="I94" s="263"/>
    </row>
    <row r="95" spans="1:9" x14ac:dyDescent="0.25">
      <c r="B95" s="225"/>
      <c r="C95" s="620"/>
      <c r="E95" s="303"/>
      <c r="F95" s="285"/>
      <c r="H95" s="263"/>
      <c r="I95" s="263"/>
    </row>
    <row r="96" spans="1:9" x14ac:dyDescent="0.25">
      <c r="B96" s="211" t="s">
        <v>531</v>
      </c>
      <c r="C96" s="620"/>
      <c r="E96" s="303"/>
      <c r="F96" s="285"/>
      <c r="H96" s="263"/>
      <c r="I96" s="263"/>
    </row>
    <row r="97" spans="1:9" x14ac:dyDescent="0.25">
      <c r="B97" s="231" t="s">
        <v>451</v>
      </c>
      <c r="C97" s="620"/>
      <c r="E97" s="304">
        <f>F31</f>
        <v>3517799.74</v>
      </c>
      <c r="F97" s="230"/>
      <c r="H97" s="263"/>
      <c r="I97" s="263"/>
    </row>
    <row r="98" spans="1:9" x14ac:dyDescent="0.25">
      <c r="B98" s="232"/>
      <c r="C98" s="620"/>
      <c r="F98" s="230"/>
      <c r="H98" s="263"/>
      <c r="I98" s="263"/>
    </row>
    <row r="99" spans="1:9" x14ac:dyDescent="0.25">
      <c r="B99" s="231" t="s">
        <v>452</v>
      </c>
      <c r="C99" s="620"/>
      <c r="E99" s="304">
        <f>F72</f>
        <v>19317778.934999999</v>
      </c>
      <c r="F99" s="230"/>
      <c r="H99" s="263"/>
      <c r="I99" s="263"/>
    </row>
    <row r="100" spans="1:9" x14ac:dyDescent="0.25">
      <c r="B100" s="231"/>
      <c r="C100" s="620"/>
      <c r="F100" s="230"/>
      <c r="H100" s="263"/>
      <c r="I100" s="263"/>
    </row>
    <row r="101" spans="1:9" x14ac:dyDescent="0.25">
      <c r="B101" s="231" t="s">
        <v>454</v>
      </c>
      <c r="C101" s="620"/>
      <c r="E101" s="304">
        <f>F93</f>
        <v>5046015.5200000005</v>
      </c>
      <c r="F101" s="230"/>
      <c r="H101" s="263"/>
      <c r="I101" s="263"/>
    </row>
    <row r="102" spans="1:9" x14ac:dyDescent="0.25">
      <c r="B102" s="233"/>
      <c r="C102" s="620"/>
      <c r="F102" s="230"/>
      <c r="H102" s="263"/>
      <c r="I102" s="263"/>
    </row>
    <row r="103" spans="1:9" x14ac:dyDescent="0.25">
      <c r="B103" s="233"/>
      <c r="C103" s="620"/>
      <c r="F103" s="230"/>
      <c r="H103" s="263"/>
      <c r="I103" s="263"/>
    </row>
    <row r="104" spans="1:9" x14ac:dyDescent="0.25">
      <c r="B104" s="233"/>
      <c r="C104" s="620"/>
      <c r="F104" s="230"/>
      <c r="H104" s="263"/>
      <c r="I104" s="263"/>
    </row>
    <row r="105" spans="1:9" x14ac:dyDescent="0.25">
      <c r="B105" s="233"/>
      <c r="C105" s="620"/>
      <c r="F105" s="230"/>
      <c r="H105" s="263"/>
      <c r="I105" s="263"/>
    </row>
    <row r="106" spans="1:9" x14ac:dyDescent="0.25">
      <c r="B106" s="233"/>
      <c r="C106" s="620"/>
      <c r="F106" s="230"/>
      <c r="H106" s="263"/>
      <c r="I106" s="263"/>
    </row>
    <row r="107" spans="1:9" x14ac:dyDescent="0.25">
      <c r="B107" s="233"/>
      <c r="C107" s="620"/>
      <c r="F107" s="230"/>
      <c r="H107" s="263"/>
      <c r="I107" s="263"/>
    </row>
    <row r="108" spans="1:9" x14ac:dyDescent="0.25">
      <c r="B108" s="233"/>
      <c r="C108" s="620"/>
      <c r="F108" s="230"/>
      <c r="H108" s="263"/>
      <c r="I108" s="263"/>
    </row>
    <row r="109" spans="1:9" x14ac:dyDescent="0.25">
      <c r="B109" s="233"/>
      <c r="C109" s="620"/>
      <c r="F109" s="230"/>
      <c r="H109" s="263"/>
      <c r="I109" s="263"/>
    </row>
    <row r="110" spans="1:9" x14ac:dyDescent="0.25">
      <c r="B110" s="234" t="s">
        <v>533</v>
      </c>
      <c r="C110" s="620"/>
      <c r="D110" s="209"/>
      <c r="F110" s="235"/>
      <c r="G110" s="221"/>
      <c r="H110" s="263"/>
      <c r="I110" s="263"/>
    </row>
    <row r="111" spans="1:9" x14ac:dyDescent="0.25">
      <c r="B111" s="220" t="s">
        <v>534</v>
      </c>
      <c r="C111" s="620"/>
      <c r="D111" s="209"/>
      <c r="E111" s="303" t="s">
        <v>15</v>
      </c>
      <c r="F111" s="286">
        <f>SUM(E97:E102)</f>
        <v>27881594.194999997</v>
      </c>
      <c r="G111" s="221"/>
      <c r="H111" s="263"/>
      <c r="I111" s="263"/>
    </row>
    <row r="112" spans="1:9" x14ac:dyDescent="0.25">
      <c r="A112" s="209" t="s">
        <v>796</v>
      </c>
      <c r="B112" s="209" t="s">
        <v>913</v>
      </c>
      <c r="C112" s="620"/>
      <c r="D112" s="209" t="s">
        <v>765</v>
      </c>
      <c r="E112" s="388" t="s">
        <v>914</v>
      </c>
      <c r="F112" s="273" t="s">
        <v>768</v>
      </c>
      <c r="G112" s="221" t="s">
        <v>773</v>
      </c>
      <c r="H112" s="263"/>
      <c r="I112" s="263"/>
    </row>
    <row r="113" spans="1:9" x14ac:dyDescent="0.25">
      <c r="B113" s="204" t="s">
        <v>535</v>
      </c>
      <c r="C113" s="620"/>
      <c r="H113" s="263"/>
      <c r="I113" s="263"/>
    </row>
    <row r="114" spans="1:9" x14ac:dyDescent="0.25">
      <c r="C114" s="620"/>
      <c r="H114" s="263"/>
      <c r="I114" s="263"/>
    </row>
    <row r="115" spans="1:9" x14ac:dyDescent="0.25">
      <c r="B115" s="210" t="s">
        <v>108</v>
      </c>
      <c r="C115" s="620"/>
      <c r="H115" s="263"/>
      <c r="I115" s="263"/>
    </row>
    <row r="116" spans="1:9" x14ac:dyDescent="0.25">
      <c r="B116" s="210"/>
      <c r="C116" s="620"/>
      <c r="H116" s="263"/>
      <c r="I116" s="263"/>
    </row>
    <row r="117" spans="1:9" x14ac:dyDescent="0.25">
      <c r="B117" s="211" t="s">
        <v>98</v>
      </c>
      <c r="C117" s="620"/>
      <c r="H117" s="263"/>
      <c r="I117" s="263"/>
    </row>
    <row r="118" spans="1:9" x14ac:dyDescent="0.25">
      <c r="C118" s="620"/>
      <c r="H118" s="263"/>
      <c r="I118" s="263"/>
    </row>
    <row r="119" spans="1:9" x14ac:dyDescent="0.25">
      <c r="B119" s="219" t="s">
        <v>536</v>
      </c>
      <c r="C119" s="620"/>
      <c r="H119" s="263"/>
      <c r="I119" s="263"/>
    </row>
    <row r="120" spans="1:9" x14ac:dyDescent="0.25">
      <c r="B120" s="219"/>
      <c r="C120" s="620"/>
      <c r="H120" s="263"/>
      <c r="I120" s="263"/>
    </row>
    <row r="121" spans="1:9" x14ac:dyDescent="0.25">
      <c r="B121" s="219" t="s">
        <v>666</v>
      </c>
      <c r="C121" s="620"/>
      <c r="H121" s="263"/>
      <c r="I121" s="263"/>
    </row>
    <row r="122" spans="1:9" x14ac:dyDescent="0.25">
      <c r="C122" s="620"/>
      <c r="H122" s="263"/>
      <c r="I122" s="263"/>
    </row>
    <row r="123" spans="1:9" x14ac:dyDescent="0.25">
      <c r="A123" s="206" t="s">
        <v>2</v>
      </c>
      <c r="B123" s="214" t="s">
        <v>65</v>
      </c>
      <c r="C123" s="620">
        <v>20.256599999999999</v>
      </c>
      <c r="D123" s="206" t="s">
        <v>513</v>
      </c>
      <c r="E123" s="304">
        <f>E42</f>
        <v>95000</v>
      </c>
      <c r="F123" s="207">
        <f>C123*E123</f>
        <v>1924377</v>
      </c>
      <c r="G123" s="205">
        <v>21</v>
      </c>
      <c r="H123" s="263">
        <f t="shared" si="2"/>
        <v>20.256599999999999</v>
      </c>
      <c r="I123" s="263">
        <v>20.256599999999999</v>
      </c>
    </row>
    <row r="124" spans="1:9" x14ac:dyDescent="0.25">
      <c r="C124" s="620"/>
      <c r="H124" s="263"/>
      <c r="I124" s="263"/>
    </row>
    <row r="125" spans="1:9" x14ac:dyDescent="0.25">
      <c r="A125" s="206" t="s">
        <v>4</v>
      </c>
      <c r="B125" s="214" t="s">
        <v>537</v>
      </c>
      <c r="C125" s="620">
        <v>37.619399999999999</v>
      </c>
      <c r="D125" s="206" t="s">
        <v>513</v>
      </c>
      <c r="E125" s="304">
        <f>E123</f>
        <v>95000</v>
      </c>
      <c r="F125" s="207">
        <f>C125*E125</f>
        <v>3573843</v>
      </c>
      <c r="G125" s="205">
        <v>39</v>
      </c>
      <c r="H125" s="263">
        <f t="shared" si="2"/>
        <v>37.619399999999999</v>
      </c>
      <c r="I125" s="263">
        <v>37.619399999999999</v>
      </c>
    </row>
    <row r="126" spans="1:9" x14ac:dyDescent="0.25">
      <c r="C126" s="620"/>
      <c r="H126" s="263"/>
      <c r="I126" s="263"/>
    </row>
    <row r="127" spans="1:9" x14ac:dyDescent="0.25">
      <c r="A127" s="206" t="s">
        <v>5</v>
      </c>
      <c r="B127" s="214" t="s">
        <v>669</v>
      </c>
      <c r="C127" s="620"/>
      <c r="D127" s="206" t="s">
        <v>513</v>
      </c>
      <c r="E127" s="304">
        <f>E125</f>
        <v>95000</v>
      </c>
      <c r="F127" s="207">
        <f>C127*E127</f>
        <v>0</v>
      </c>
      <c r="H127" s="263"/>
      <c r="I127" s="263"/>
    </row>
    <row r="128" spans="1:9" x14ac:dyDescent="0.25">
      <c r="C128" s="620"/>
      <c r="H128" s="263"/>
      <c r="I128" s="263"/>
    </row>
    <row r="129" spans="1:9" ht="24.75" customHeight="1" x14ac:dyDescent="0.25">
      <c r="B129" s="211" t="s">
        <v>102</v>
      </c>
      <c r="C129" s="620"/>
      <c r="H129" s="263"/>
      <c r="I129" s="263"/>
    </row>
    <row r="130" spans="1:9" x14ac:dyDescent="0.25">
      <c r="C130" s="620"/>
      <c r="H130" s="263"/>
      <c r="I130" s="263"/>
    </row>
    <row r="131" spans="1:9" ht="30" x14ac:dyDescent="0.25">
      <c r="B131" s="224" t="s">
        <v>926</v>
      </c>
      <c r="C131" s="620"/>
      <c r="H131" s="263"/>
      <c r="I131" s="263"/>
    </row>
    <row r="132" spans="1:9" x14ac:dyDescent="0.25">
      <c r="B132" s="224"/>
      <c r="C132" s="620"/>
      <c r="H132" s="263"/>
      <c r="I132" s="263"/>
    </row>
    <row r="133" spans="1:9" x14ac:dyDescent="0.25">
      <c r="A133" s="206" t="s">
        <v>6</v>
      </c>
      <c r="B133" s="214" t="s">
        <v>671</v>
      </c>
      <c r="C133" s="620"/>
      <c r="D133" s="206" t="s">
        <v>75</v>
      </c>
      <c r="E133" s="304">
        <f>E49</f>
        <v>1450</v>
      </c>
      <c r="F133" s="207">
        <f>C133*E133</f>
        <v>0</v>
      </c>
      <c r="H133" s="263"/>
      <c r="I133" s="263"/>
    </row>
    <row r="134" spans="1:9" x14ac:dyDescent="0.25">
      <c r="C134" s="620"/>
      <c r="H134" s="263"/>
      <c r="I134" s="263"/>
    </row>
    <row r="135" spans="1:9" x14ac:dyDescent="0.25">
      <c r="A135" s="206" t="s">
        <v>7</v>
      </c>
      <c r="B135" s="214" t="s">
        <v>538</v>
      </c>
      <c r="C135" s="620">
        <v>6305.5901999999996</v>
      </c>
      <c r="D135" s="206" t="s">
        <v>75</v>
      </c>
      <c r="E135" s="304">
        <f>E133</f>
        <v>1450</v>
      </c>
      <c r="F135" s="207">
        <f>C135*E135</f>
        <v>9143105.7899999991</v>
      </c>
      <c r="G135" s="205">
        <v>6537</v>
      </c>
      <c r="H135" s="263">
        <f t="shared" si="2"/>
        <v>6305.5901999999996</v>
      </c>
      <c r="I135" s="263">
        <v>6305.5901999999996</v>
      </c>
    </row>
    <row r="136" spans="1:9" x14ac:dyDescent="0.25">
      <c r="C136" s="620"/>
      <c r="H136" s="263"/>
      <c r="I136" s="263"/>
    </row>
    <row r="137" spans="1:9" x14ac:dyDescent="0.25">
      <c r="A137" s="206" t="s">
        <v>8</v>
      </c>
      <c r="B137" s="214" t="s">
        <v>539</v>
      </c>
      <c r="C137" s="620">
        <v>6015.2456000000002</v>
      </c>
      <c r="D137" s="206" t="s">
        <v>75</v>
      </c>
      <c r="E137" s="304">
        <f>E135</f>
        <v>1450</v>
      </c>
      <c r="F137" s="207">
        <f>C137*E137</f>
        <v>8722106.120000001</v>
      </c>
      <c r="G137" s="205">
        <v>6236</v>
      </c>
      <c r="H137" s="263">
        <f t="shared" si="2"/>
        <v>6015.2456000000002</v>
      </c>
      <c r="I137" s="263">
        <v>6015.2456000000002</v>
      </c>
    </row>
    <row r="138" spans="1:9" x14ac:dyDescent="0.25">
      <c r="C138" s="620"/>
      <c r="H138" s="263"/>
      <c r="I138" s="263"/>
    </row>
    <row r="139" spans="1:9" x14ac:dyDescent="0.25">
      <c r="A139" s="206" t="s">
        <v>9</v>
      </c>
      <c r="B139" s="214" t="s">
        <v>672</v>
      </c>
      <c r="C139" s="620"/>
      <c r="D139" s="206" t="s">
        <v>75</v>
      </c>
      <c r="E139" s="304">
        <f>E133</f>
        <v>1450</v>
      </c>
      <c r="F139" s="207">
        <f>C139*E139</f>
        <v>0</v>
      </c>
      <c r="G139" s="205">
        <v>0</v>
      </c>
      <c r="H139" s="263"/>
      <c r="I139" s="263"/>
    </row>
    <row r="140" spans="1:9" x14ac:dyDescent="0.25">
      <c r="C140" s="620"/>
      <c r="H140" s="263"/>
      <c r="I140" s="263"/>
    </row>
    <row r="141" spans="1:9" x14ac:dyDescent="0.25">
      <c r="A141" s="206" t="s">
        <v>10</v>
      </c>
      <c r="B141" s="214" t="s">
        <v>523</v>
      </c>
      <c r="C141" s="620">
        <v>3814.0284000000001</v>
      </c>
      <c r="D141" s="206" t="s">
        <v>75</v>
      </c>
      <c r="E141" s="304">
        <f>E137</f>
        <v>1450</v>
      </c>
      <c r="F141" s="207">
        <f>C141*E141</f>
        <v>5530341.1800000006</v>
      </c>
      <c r="G141" s="205">
        <v>3954</v>
      </c>
      <c r="H141" s="263">
        <f t="shared" ref="H141:H183" si="3">G141-G141*3.54%</f>
        <v>3814.0284000000001</v>
      </c>
      <c r="I141" s="263">
        <v>3814.0284000000001</v>
      </c>
    </row>
    <row r="142" spans="1:9" x14ac:dyDescent="0.25">
      <c r="C142" s="620"/>
      <c r="H142" s="263"/>
      <c r="I142" s="263"/>
    </row>
    <row r="143" spans="1:9" x14ac:dyDescent="0.25">
      <c r="B143" s="211" t="s">
        <v>67</v>
      </c>
      <c r="C143" s="620"/>
      <c r="H143" s="263"/>
      <c r="I143" s="263"/>
    </row>
    <row r="144" spans="1:9" x14ac:dyDescent="0.25">
      <c r="C144" s="620"/>
      <c r="H144" s="263"/>
      <c r="I144" s="263"/>
    </row>
    <row r="145" spans="1:9" x14ac:dyDescent="0.25">
      <c r="B145" s="219" t="s">
        <v>120</v>
      </c>
      <c r="C145" s="620"/>
      <c r="H145" s="263"/>
      <c r="I145" s="263"/>
    </row>
    <row r="146" spans="1:9" x14ac:dyDescent="0.25">
      <c r="C146" s="620"/>
      <c r="H146" s="263"/>
      <c r="I146" s="263"/>
    </row>
    <row r="147" spans="1:9" x14ac:dyDescent="0.25">
      <c r="A147" s="206" t="s">
        <v>11</v>
      </c>
      <c r="B147" s="214" t="s">
        <v>540</v>
      </c>
      <c r="C147" s="620">
        <v>328.92860000000002</v>
      </c>
      <c r="D147" s="206" t="s">
        <v>511</v>
      </c>
      <c r="E147" s="304">
        <v>8500</v>
      </c>
      <c r="F147" s="207">
        <f>C147*E147</f>
        <v>2795893.1</v>
      </c>
      <c r="G147" s="205">
        <v>341</v>
      </c>
      <c r="H147" s="263">
        <f t="shared" si="3"/>
        <v>328.92860000000002</v>
      </c>
      <c r="I147" s="263">
        <v>328.92860000000002</v>
      </c>
    </row>
    <row r="148" spans="1:9" x14ac:dyDescent="0.25">
      <c r="C148" s="620"/>
      <c r="H148" s="263"/>
      <c r="I148" s="263"/>
    </row>
    <row r="149" spans="1:9" x14ac:dyDescent="0.25">
      <c r="A149" s="206" t="s">
        <v>12</v>
      </c>
      <c r="B149" s="214" t="s">
        <v>541</v>
      </c>
      <c r="C149" s="620">
        <v>455.2912</v>
      </c>
      <c r="D149" s="206" t="s">
        <v>511</v>
      </c>
      <c r="E149" s="304">
        <f>E147</f>
        <v>8500</v>
      </c>
      <c r="F149" s="207">
        <f>C149*E149</f>
        <v>3869975.2</v>
      </c>
      <c r="G149" s="205">
        <v>472</v>
      </c>
      <c r="H149" s="263">
        <f t="shared" si="3"/>
        <v>455.2912</v>
      </c>
      <c r="I149" s="263">
        <v>455.2912</v>
      </c>
    </row>
    <row r="150" spans="1:9" x14ac:dyDescent="0.25">
      <c r="C150" s="620"/>
      <c r="H150" s="263"/>
      <c r="I150" s="263"/>
    </row>
    <row r="151" spans="1:9" x14ac:dyDescent="0.25">
      <c r="C151" s="620"/>
      <c r="H151" s="263"/>
      <c r="I151" s="263"/>
    </row>
    <row r="152" spans="1:9" x14ac:dyDescent="0.25">
      <c r="C152" s="620"/>
      <c r="H152" s="263"/>
      <c r="I152" s="263"/>
    </row>
    <row r="153" spans="1:9" x14ac:dyDescent="0.25">
      <c r="C153" s="620"/>
      <c r="H153" s="263"/>
      <c r="I153" s="263"/>
    </row>
    <row r="154" spans="1:9" x14ac:dyDescent="0.25">
      <c r="C154" s="620"/>
      <c r="H154" s="263"/>
      <c r="I154" s="263"/>
    </row>
    <row r="155" spans="1:9" x14ac:dyDescent="0.25">
      <c r="B155" s="210" t="s">
        <v>108</v>
      </c>
      <c r="C155" s="620"/>
      <c r="H155" s="263"/>
      <c r="I155" s="263"/>
    </row>
    <row r="156" spans="1:9" x14ac:dyDescent="0.25">
      <c r="B156" s="220" t="s">
        <v>542</v>
      </c>
      <c r="C156" s="620"/>
      <c r="E156" s="303" t="s">
        <v>15</v>
      </c>
      <c r="F156" s="285">
        <f>SUM(F115:F155)</f>
        <v>35559641.390000001</v>
      </c>
      <c r="H156" s="263"/>
      <c r="I156" s="263"/>
    </row>
    <row r="157" spans="1:9" x14ac:dyDescent="0.25">
      <c r="A157" s="209" t="s">
        <v>796</v>
      </c>
      <c r="B157" s="209" t="s">
        <v>913</v>
      </c>
      <c r="C157" s="620"/>
      <c r="D157" s="209" t="s">
        <v>765</v>
      </c>
      <c r="E157" s="388" t="s">
        <v>914</v>
      </c>
      <c r="F157" s="273" t="s">
        <v>768</v>
      </c>
      <c r="G157" s="221" t="s">
        <v>773</v>
      </c>
      <c r="H157" s="263"/>
      <c r="I157" s="263"/>
    </row>
    <row r="158" spans="1:9" x14ac:dyDescent="0.25">
      <c r="B158" s="204" t="s">
        <v>543</v>
      </c>
      <c r="C158" s="620"/>
      <c r="H158" s="263"/>
      <c r="I158" s="263"/>
    </row>
    <row r="159" spans="1:9" x14ac:dyDescent="0.25">
      <c r="C159" s="620"/>
      <c r="H159" s="263"/>
      <c r="I159" s="263"/>
    </row>
    <row r="160" spans="1:9" x14ac:dyDescent="0.25">
      <c r="B160" s="210" t="s">
        <v>544</v>
      </c>
      <c r="C160" s="620"/>
      <c r="F160" s="227"/>
      <c r="H160" s="263"/>
      <c r="I160" s="263"/>
    </row>
    <row r="161" spans="1:9" s="236" customFormat="1" x14ac:dyDescent="0.25">
      <c r="A161" s="206"/>
      <c r="B161" s="214"/>
      <c r="C161" s="620"/>
      <c r="D161" s="206"/>
      <c r="E161" s="304"/>
      <c r="F161" s="227"/>
      <c r="G161" s="205"/>
      <c r="H161" s="263"/>
      <c r="I161" s="263"/>
    </row>
    <row r="162" spans="1:9" x14ac:dyDescent="0.25">
      <c r="B162" s="211" t="s">
        <v>98</v>
      </c>
      <c r="C162" s="620"/>
      <c r="H162" s="263"/>
      <c r="I162" s="263"/>
    </row>
    <row r="163" spans="1:9" s="236" customFormat="1" x14ac:dyDescent="0.25">
      <c r="A163" s="206"/>
      <c r="B163" s="214"/>
      <c r="C163" s="620"/>
      <c r="D163" s="206"/>
      <c r="E163" s="304"/>
      <c r="F163" s="207"/>
      <c r="G163" s="205"/>
      <c r="H163" s="263"/>
      <c r="I163" s="263"/>
    </row>
    <row r="164" spans="1:9" s="236" customFormat="1" x14ac:dyDescent="0.25">
      <c r="A164" s="206"/>
      <c r="B164" s="219" t="s">
        <v>536</v>
      </c>
      <c r="C164" s="620"/>
      <c r="D164" s="206"/>
      <c r="E164" s="304"/>
      <c r="F164" s="207"/>
      <c r="G164" s="205"/>
      <c r="H164" s="263"/>
      <c r="I164" s="263"/>
    </row>
    <row r="165" spans="1:9" s="236" customFormat="1" x14ac:dyDescent="0.25">
      <c r="A165" s="206"/>
      <c r="B165" s="219"/>
      <c r="C165" s="620"/>
      <c r="D165" s="206"/>
      <c r="E165" s="304"/>
      <c r="F165" s="207"/>
      <c r="G165" s="205"/>
      <c r="H165" s="263"/>
      <c r="I165" s="263"/>
    </row>
    <row r="166" spans="1:9" x14ac:dyDescent="0.25">
      <c r="B166" s="219" t="s">
        <v>666</v>
      </c>
      <c r="C166" s="620"/>
      <c r="H166" s="263"/>
      <c r="I166" s="263"/>
    </row>
    <row r="167" spans="1:9" x14ac:dyDescent="0.25">
      <c r="C167" s="620"/>
      <c r="H167" s="263"/>
      <c r="I167" s="263"/>
    </row>
    <row r="168" spans="1:9" x14ac:dyDescent="0.25">
      <c r="A168" s="206" t="s">
        <v>2</v>
      </c>
      <c r="B168" s="214" t="s">
        <v>545</v>
      </c>
      <c r="C168" s="620">
        <v>106.10599999999999</v>
      </c>
      <c r="D168" s="206" t="s">
        <v>513</v>
      </c>
      <c r="E168" s="304">
        <f>E123</f>
        <v>95000</v>
      </c>
      <c r="F168" s="207">
        <f>C168*E168</f>
        <v>10080070</v>
      </c>
      <c r="G168" s="205">
        <v>110</v>
      </c>
      <c r="H168" s="263">
        <f t="shared" si="3"/>
        <v>106.10599999999999</v>
      </c>
      <c r="I168" s="263">
        <v>106.10599999999999</v>
      </c>
    </row>
    <row r="169" spans="1:9" ht="17.25" customHeight="1" x14ac:dyDescent="0.25">
      <c r="C169" s="620"/>
      <c r="H169" s="263"/>
      <c r="I169" s="263"/>
    </row>
    <row r="170" spans="1:9" x14ac:dyDescent="0.25">
      <c r="C170" s="620"/>
      <c r="F170" s="230"/>
      <c r="H170" s="263"/>
      <c r="I170" s="263"/>
    </row>
    <row r="171" spans="1:9" x14ac:dyDescent="0.25">
      <c r="B171" s="211" t="s">
        <v>102</v>
      </c>
      <c r="C171" s="620"/>
      <c r="H171" s="263"/>
      <c r="I171" s="263"/>
    </row>
    <row r="172" spans="1:9" x14ac:dyDescent="0.25">
      <c r="C172" s="620"/>
      <c r="H172" s="263"/>
      <c r="I172" s="263"/>
    </row>
    <row r="173" spans="1:9" ht="30" x14ac:dyDescent="0.25">
      <c r="B173" s="224" t="s">
        <v>674</v>
      </c>
      <c r="C173" s="620"/>
      <c r="H173" s="263"/>
      <c r="I173" s="263"/>
    </row>
    <row r="174" spans="1:9" x14ac:dyDescent="0.25">
      <c r="B174" s="224"/>
      <c r="C174" s="620"/>
      <c r="H174" s="263"/>
      <c r="I174" s="263"/>
    </row>
    <row r="175" spans="1:9" x14ac:dyDescent="0.25">
      <c r="A175" s="206" t="s">
        <v>4</v>
      </c>
      <c r="B175" s="214" t="s">
        <v>988</v>
      </c>
      <c r="C175" s="620">
        <v>11141.13</v>
      </c>
      <c r="D175" s="206" t="s">
        <v>75</v>
      </c>
      <c r="E175" s="304">
        <f>E133</f>
        <v>1450</v>
      </c>
      <c r="F175" s="207">
        <f>C175*E175</f>
        <v>16154638.499999998</v>
      </c>
      <c r="G175" s="205">
        <f>G168*105</f>
        <v>11550</v>
      </c>
      <c r="H175" s="263">
        <f t="shared" si="3"/>
        <v>11141.13</v>
      </c>
      <c r="I175" s="263">
        <v>11141.13</v>
      </c>
    </row>
    <row r="176" spans="1:9" x14ac:dyDescent="0.25">
      <c r="C176" s="620"/>
      <c r="H176" s="263"/>
      <c r="I176" s="263"/>
    </row>
    <row r="177" spans="1:9" x14ac:dyDescent="0.25">
      <c r="B177" s="211" t="s">
        <v>67</v>
      </c>
      <c r="C177" s="620"/>
      <c r="H177" s="263"/>
      <c r="I177" s="263"/>
    </row>
    <row r="178" spans="1:9" x14ac:dyDescent="0.25">
      <c r="C178" s="620"/>
      <c r="H178" s="263"/>
      <c r="I178" s="263"/>
    </row>
    <row r="179" spans="1:9" x14ac:dyDescent="0.25">
      <c r="B179" s="219" t="s">
        <v>120</v>
      </c>
      <c r="C179" s="620"/>
      <c r="E179" s="303"/>
      <c r="F179" s="285"/>
      <c r="H179" s="263"/>
      <c r="I179" s="263"/>
    </row>
    <row r="180" spans="1:9" x14ac:dyDescent="0.25">
      <c r="C180" s="620"/>
      <c r="E180" s="303"/>
      <c r="F180" s="285"/>
      <c r="H180" s="263"/>
      <c r="I180" s="263"/>
    </row>
    <row r="181" spans="1:9" x14ac:dyDescent="0.25">
      <c r="A181" s="206" t="s">
        <v>6</v>
      </c>
      <c r="B181" s="214" t="s">
        <v>546</v>
      </c>
      <c r="C181" s="620">
        <v>631.81299999999999</v>
      </c>
      <c r="D181" s="206" t="s">
        <v>511</v>
      </c>
      <c r="E181" s="304">
        <f>E147</f>
        <v>8500</v>
      </c>
      <c r="F181" s="207">
        <f>C181*E181</f>
        <v>5370410.5</v>
      </c>
      <c r="G181" s="205">
        <v>655</v>
      </c>
      <c r="H181" s="263">
        <f t="shared" si="3"/>
        <v>631.81299999999999</v>
      </c>
      <c r="I181" s="263">
        <v>631.81299999999999</v>
      </c>
    </row>
    <row r="182" spans="1:9" x14ac:dyDescent="0.25">
      <c r="C182" s="620"/>
      <c r="H182" s="263"/>
      <c r="I182" s="263"/>
    </row>
    <row r="183" spans="1:9" x14ac:dyDescent="0.25">
      <c r="A183" s="206" t="s">
        <v>7</v>
      </c>
      <c r="B183" s="214" t="s">
        <v>547</v>
      </c>
      <c r="C183" s="620">
        <v>171.69880000000001</v>
      </c>
      <c r="D183" s="206" t="s">
        <v>22</v>
      </c>
      <c r="E183" s="304">
        <f>E181*0.15</f>
        <v>1275</v>
      </c>
      <c r="F183" s="207">
        <f>C183*E183</f>
        <v>218915.97</v>
      </c>
      <c r="G183" s="205">
        <v>178</v>
      </c>
      <c r="H183" s="263">
        <f t="shared" si="3"/>
        <v>171.69880000000001</v>
      </c>
      <c r="I183" s="263">
        <v>171.69880000000001</v>
      </c>
    </row>
    <row r="184" spans="1:9" x14ac:dyDescent="0.25">
      <c r="A184" s="209"/>
      <c r="C184" s="620"/>
      <c r="D184" s="209"/>
      <c r="E184" s="303"/>
      <c r="F184" s="285"/>
      <c r="G184" s="221"/>
      <c r="H184" s="263"/>
      <c r="I184" s="263"/>
    </row>
    <row r="185" spans="1:9" x14ac:dyDescent="0.25">
      <c r="C185" s="620"/>
      <c r="H185" s="263"/>
      <c r="I185" s="263"/>
    </row>
    <row r="186" spans="1:9" x14ac:dyDescent="0.25">
      <c r="A186" s="209"/>
      <c r="C186" s="620"/>
      <c r="D186" s="209"/>
      <c r="E186" s="303"/>
      <c r="F186" s="285"/>
      <c r="G186" s="221"/>
      <c r="H186" s="263"/>
      <c r="I186" s="263"/>
    </row>
    <row r="187" spans="1:9" x14ac:dyDescent="0.25">
      <c r="A187" s="209"/>
      <c r="C187" s="620"/>
      <c r="D187" s="209"/>
      <c r="E187" s="303"/>
      <c r="F187" s="285"/>
      <c r="H187" s="263"/>
      <c r="I187" s="263"/>
    </row>
    <row r="188" spans="1:9" x14ac:dyDescent="0.25">
      <c r="A188" s="209"/>
      <c r="C188" s="620"/>
      <c r="D188" s="209"/>
      <c r="E188" s="303"/>
      <c r="F188" s="285"/>
      <c r="G188" s="221"/>
      <c r="H188" s="263"/>
      <c r="I188" s="263"/>
    </row>
    <row r="189" spans="1:9" x14ac:dyDescent="0.25">
      <c r="A189" s="209"/>
      <c r="C189" s="620"/>
      <c r="D189" s="209"/>
      <c r="E189" s="303"/>
      <c r="F189" s="285"/>
      <c r="G189" s="221"/>
      <c r="H189" s="263"/>
      <c r="I189" s="263"/>
    </row>
    <row r="190" spans="1:9" x14ac:dyDescent="0.25">
      <c r="A190" s="209"/>
      <c r="C190" s="620"/>
      <c r="D190" s="209"/>
      <c r="E190" s="303"/>
      <c r="F190" s="285"/>
      <c r="G190" s="221"/>
      <c r="H190" s="263"/>
      <c r="I190" s="263"/>
    </row>
    <row r="191" spans="1:9" x14ac:dyDescent="0.25">
      <c r="A191" s="209"/>
      <c r="C191" s="620"/>
      <c r="D191" s="209"/>
      <c r="E191" s="303"/>
      <c r="F191" s="285"/>
      <c r="G191" s="221"/>
      <c r="H191" s="263"/>
      <c r="I191" s="263"/>
    </row>
    <row r="192" spans="1:9" x14ac:dyDescent="0.25">
      <c r="A192" s="209"/>
      <c r="C192" s="620"/>
      <c r="D192" s="209"/>
      <c r="E192" s="303"/>
      <c r="F192" s="285"/>
      <c r="G192" s="221"/>
      <c r="H192" s="263"/>
      <c r="I192" s="263"/>
    </row>
    <row r="193" spans="1:9" x14ac:dyDescent="0.25">
      <c r="A193" s="209"/>
      <c r="C193" s="620"/>
      <c r="D193" s="209"/>
      <c r="E193" s="303"/>
      <c r="F193" s="285"/>
      <c r="G193" s="221"/>
      <c r="H193" s="263"/>
      <c r="I193" s="263"/>
    </row>
    <row r="194" spans="1:9" x14ac:dyDescent="0.25">
      <c r="A194" s="209"/>
      <c r="C194" s="620"/>
      <c r="D194" s="209"/>
      <c r="E194" s="303"/>
      <c r="F194" s="285"/>
      <c r="G194" s="221"/>
      <c r="H194" s="263"/>
      <c r="I194" s="263"/>
    </row>
    <row r="195" spans="1:9" x14ac:dyDescent="0.25">
      <c r="A195" s="209"/>
      <c r="C195" s="620"/>
      <c r="D195" s="209"/>
      <c r="E195" s="303"/>
      <c r="F195" s="285"/>
      <c r="G195" s="221"/>
      <c r="H195" s="263"/>
      <c r="I195" s="263"/>
    </row>
    <row r="196" spans="1:9" x14ac:dyDescent="0.25">
      <c r="A196" s="209"/>
      <c r="C196" s="620"/>
      <c r="D196" s="209"/>
      <c r="E196" s="303"/>
      <c r="F196" s="285"/>
      <c r="G196" s="221"/>
      <c r="H196" s="263"/>
      <c r="I196" s="263"/>
    </row>
    <row r="197" spans="1:9" x14ac:dyDescent="0.25">
      <c r="A197" s="209"/>
      <c r="C197" s="620"/>
      <c r="D197" s="209"/>
      <c r="E197" s="303"/>
      <c r="F197" s="285"/>
      <c r="G197" s="221"/>
      <c r="H197" s="263"/>
      <c r="I197" s="263"/>
    </row>
    <row r="198" spans="1:9" x14ac:dyDescent="0.25">
      <c r="A198" s="209"/>
      <c r="C198" s="620"/>
      <c r="D198" s="209"/>
      <c r="E198" s="303"/>
      <c r="F198" s="285"/>
      <c r="G198" s="221"/>
      <c r="H198" s="263"/>
      <c r="I198" s="263"/>
    </row>
    <row r="199" spans="1:9" x14ac:dyDescent="0.25">
      <c r="A199" s="209"/>
      <c r="C199" s="620"/>
      <c r="D199" s="209"/>
      <c r="E199" s="303"/>
      <c r="F199" s="285"/>
      <c r="G199" s="221"/>
      <c r="H199" s="263"/>
      <c r="I199" s="263"/>
    </row>
    <row r="200" spans="1:9" x14ac:dyDescent="0.25">
      <c r="B200" s="210" t="s">
        <v>453</v>
      </c>
      <c r="C200" s="620"/>
      <c r="H200" s="263"/>
      <c r="I200" s="263"/>
    </row>
    <row r="201" spans="1:9" x14ac:dyDescent="0.25">
      <c r="B201" s="220" t="s">
        <v>534</v>
      </c>
      <c r="C201" s="620"/>
      <c r="E201" s="303" t="s">
        <v>15</v>
      </c>
      <c r="F201" s="285">
        <f>SUM(F160:F200)</f>
        <v>31824034.969999999</v>
      </c>
      <c r="H201" s="263"/>
      <c r="I201" s="263"/>
    </row>
    <row r="202" spans="1:9" x14ac:dyDescent="0.25">
      <c r="A202" s="209" t="s">
        <v>796</v>
      </c>
      <c r="B202" s="209" t="s">
        <v>913</v>
      </c>
      <c r="C202" s="620"/>
      <c r="D202" s="209" t="s">
        <v>765</v>
      </c>
      <c r="E202" s="388" t="s">
        <v>914</v>
      </c>
      <c r="F202" s="273" t="s">
        <v>768</v>
      </c>
      <c r="G202" s="221" t="s">
        <v>773</v>
      </c>
      <c r="H202" s="263"/>
      <c r="I202" s="263"/>
    </row>
    <row r="203" spans="1:9" x14ac:dyDescent="0.25">
      <c r="B203" s="204" t="s">
        <v>548</v>
      </c>
      <c r="C203" s="620"/>
      <c r="F203" s="230"/>
      <c r="H203" s="263"/>
      <c r="I203" s="263"/>
    </row>
    <row r="204" spans="1:9" x14ac:dyDescent="0.25">
      <c r="B204" s="206"/>
      <c r="C204" s="620"/>
      <c r="F204" s="230"/>
      <c r="H204" s="263"/>
      <c r="I204" s="263"/>
    </row>
    <row r="205" spans="1:9" x14ac:dyDescent="0.25">
      <c r="B205" s="210" t="s">
        <v>549</v>
      </c>
      <c r="C205" s="620"/>
      <c r="F205" s="230"/>
      <c r="H205" s="263"/>
      <c r="I205" s="263"/>
    </row>
    <row r="206" spans="1:9" ht="10.5" customHeight="1" x14ac:dyDescent="0.25">
      <c r="A206" s="237"/>
      <c r="B206" s="210"/>
      <c r="C206" s="620"/>
      <c r="F206" s="230"/>
      <c r="H206" s="263"/>
      <c r="I206" s="263"/>
    </row>
    <row r="207" spans="1:9" x14ac:dyDescent="0.25">
      <c r="A207" s="237"/>
      <c r="B207" s="211" t="s">
        <v>98</v>
      </c>
      <c r="C207" s="620"/>
      <c r="F207" s="230"/>
      <c r="H207" s="263"/>
      <c r="I207" s="263"/>
    </row>
    <row r="208" spans="1:9" x14ac:dyDescent="0.25">
      <c r="A208" s="237"/>
      <c r="C208" s="620"/>
      <c r="F208" s="230"/>
      <c r="H208" s="263"/>
      <c r="I208" s="263"/>
    </row>
    <row r="209" spans="1:9" x14ac:dyDescent="0.25">
      <c r="B209" s="219" t="s">
        <v>536</v>
      </c>
      <c r="C209" s="620"/>
      <c r="E209" s="304" t="s">
        <v>20</v>
      </c>
      <c r="F209" s="230"/>
      <c r="H209" s="263"/>
      <c r="I209" s="263"/>
    </row>
    <row r="210" spans="1:9" ht="11.25" customHeight="1" x14ac:dyDescent="0.25">
      <c r="A210" s="237"/>
      <c r="B210" s="219"/>
      <c r="C210" s="620"/>
      <c r="F210" s="230"/>
      <c r="H210" s="263"/>
      <c r="I210" s="263"/>
    </row>
    <row r="211" spans="1:9" x14ac:dyDescent="0.25">
      <c r="A211" s="237"/>
      <c r="B211" s="219" t="s">
        <v>666</v>
      </c>
      <c r="C211" s="620"/>
      <c r="F211" s="230"/>
      <c r="H211" s="263"/>
      <c r="I211" s="263"/>
    </row>
    <row r="212" spans="1:9" ht="9" customHeight="1" x14ac:dyDescent="0.25">
      <c r="A212" s="237"/>
      <c r="C212" s="620"/>
      <c r="F212" s="230"/>
      <c r="H212" s="263"/>
      <c r="I212" s="263"/>
    </row>
    <row r="213" spans="1:9" x14ac:dyDescent="0.25">
      <c r="A213" s="206" t="s">
        <v>2</v>
      </c>
      <c r="B213" s="214" t="s">
        <v>550</v>
      </c>
      <c r="C213" s="620">
        <v>9.6460000000000008</v>
      </c>
      <c r="D213" s="206" t="s">
        <v>513</v>
      </c>
      <c r="E213" s="304">
        <f>E123</f>
        <v>95000</v>
      </c>
      <c r="F213" s="287">
        <f>C213*E213</f>
        <v>916370.00000000012</v>
      </c>
      <c r="G213" s="205">
        <f>5*2</f>
        <v>10</v>
      </c>
      <c r="H213" s="263">
        <f t="shared" ref="H213:H261" si="4">G213-G213*3.54%</f>
        <v>9.6460000000000008</v>
      </c>
      <c r="I213" s="263">
        <v>9.6460000000000008</v>
      </c>
    </row>
    <row r="214" spans="1:9" ht="10.5" customHeight="1" x14ac:dyDescent="0.25">
      <c r="C214" s="620"/>
      <c r="F214" s="287"/>
      <c r="H214" s="263"/>
      <c r="I214" s="263"/>
    </row>
    <row r="215" spans="1:9" ht="12.75" customHeight="1" x14ac:dyDescent="0.25">
      <c r="A215" s="237"/>
      <c r="B215" s="211" t="s">
        <v>102</v>
      </c>
      <c r="C215" s="620"/>
      <c r="F215" s="230"/>
      <c r="H215" s="263"/>
      <c r="I215" s="263"/>
    </row>
    <row r="216" spans="1:9" ht="9.75" customHeight="1" x14ac:dyDescent="0.25">
      <c r="C216" s="620"/>
      <c r="F216" s="230"/>
      <c r="H216" s="263"/>
      <c r="I216" s="263"/>
    </row>
    <row r="217" spans="1:9" ht="30" x14ac:dyDescent="0.25">
      <c r="B217" s="224" t="s">
        <v>551</v>
      </c>
      <c r="C217" s="620"/>
      <c r="H217" s="263"/>
      <c r="I217" s="263"/>
    </row>
    <row r="218" spans="1:9" ht="15.75" customHeight="1" x14ac:dyDescent="0.25">
      <c r="B218" s="224"/>
      <c r="C218" s="620"/>
      <c r="H218" s="263"/>
      <c r="I218" s="263"/>
    </row>
    <row r="219" spans="1:9" ht="17.25" customHeight="1" x14ac:dyDescent="0.25">
      <c r="A219" s="206" t="s">
        <v>4</v>
      </c>
      <c r="B219" s="214" t="s">
        <v>672</v>
      </c>
      <c r="C219" s="620">
        <v>1321.502</v>
      </c>
      <c r="D219" s="206" t="s">
        <v>75</v>
      </c>
      <c r="E219" s="304">
        <f>E175</f>
        <v>1450</v>
      </c>
      <c r="F219" s="207">
        <f>C219*E219</f>
        <v>1916177.9</v>
      </c>
      <c r="G219" s="205">
        <f>685*2</f>
        <v>1370</v>
      </c>
      <c r="H219" s="263">
        <f t="shared" si="4"/>
        <v>1321.502</v>
      </c>
      <c r="I219" s="263">
        <v>1321.502</v>
      </c>
    </row>
    <row r="220" spans="1:9" x14ac:dyDescent="0.25">
      <c r="B220" s="224"/>
      <c r="C220" s="620"/>
      <c r="H220" s="263"/>
      <c r="I220" s="263"/>
    </row>
    <row r="221" spans="1:9" s="236" customFormat="1" x14ac:dyDescent="0.25">
      <c r="A221" s="238"/>
      <c r="B221" s="218"/>
      <c r="C221" s="620"/>
      <c r="D221" s="240"/>
      <c r="E221" s="305"/>
      <c r="F221" s="241"/>
      <c r="G221" s="239"/>
      <c r="H221" s="263"/>
      <c r="I221" s="263"/>
    </row>
    <row r="222" spans="1:9" x14ac:dyDescent="0.25">
      <c r="A222" s="237"/>
      <c r="B222" s="211" t="s">
        <v>67</v>
      </c>
      <c r="C222" s="620"/>
      <c r="F222" s="230"/>
      <c r="H222" s="263"/>
      <c r="I222" s="263"/>
    </row>
    <row r="223" spans="1:9" x14ac:dyDescent="0.25">
      <c r="C223" s="620"/>
      <c r="F223" s="230"/>
      <c r="H223" s="263"/>
      <c r="I223" s="263"/>
    </row>
    <row r="224" spans="1:9" x14ac:dyDescent="0.25">
      <c r="B224" s="219" t="s">
        <v>120</v>
      </c>
      <c r="C224" s="620"/>
      <c r="F224" s="230"/>
      <c r="H224" s="263"/>
      <c r="I224" s="263"/>
    </row>
    <row r="225" spans="1:9" x14ac:dyDescent="0.25">
      <c r="C225" s="620"/>
      <c r="F225" s="230"/>
      <c r="H225" s="263"/>
      <c r="I225" s="263"/>
    </row>
    <row r="226" spans="1:9" x14ac:dyDescent="0.25">
      <c r="A226" s="206" t="s">
        <v>5</v>
      </c>
      <c r="B226" s="214" t="s">
        <v>552</v>
      </c>
      <c r="C226" s="620">
        <v>40.513199999999998</v>
      </c>
      <c r="D226" s="206" t="s">
        <v>511</v>
      </c>
      <c r="E226" s="304">
        <f>E181</f>
        <v>8500</v>
      </c>
      <c r="F226" s="207">
        <f>C226*E226</f>
        <v>344362.19999999995</v>
      </c>
      <c r="G226" s="205">
        <f>21*2</f>
        <v>42</v>
      </c>
      <c r="H226" s="263">
        <f t="shared" si="4"/>
        <v>40.513199999999998</v>
      </c>
      <c r="I226" s="263">
        <v>40.513199999999998</v>
      </c>
    </row>
    <row r="227" spans="1:9" x14ac:dyDescent="0.25">
      <c r="C227" s="620"/>
      <c r="F227" s="230"/>
      <c r="H227" s="263"/>
      <c r="I227" s="263"/>
    </row>
    <row r="228" spans="1:9" x14ac:dyDescent="0.25">
      <c r="A228" s="206" t="s">
        <v>6</v>
      </c>
      <c r="B228" s="214" t="s">
        <v>553</v>
      </c>
      <c r="C228" s="620">
        <v>9.6460000000000008</v>
      </c>
      <c r="D228" s="206" t="s">
        <v>511</v>
      </c>
      <c r="E228" s="304">
        <f>E226</f>
        <v>8500</v>
      </c>
      <c r="F228" s="207">
        <f>C228*E228</f>
        <v>81991</v>
      </c>
      <c r="G228" s="205">
        <f>5*2</f>
        <v>10</v>
      </c>
      <c r="H228" s="263">
        <f t="shared" si="4"/>
        <v>9.6460000000000008</v>
      </c>
      <c r="I228" s="263">
        <v>9.6460000000000008</v>
      </c>
    </row>
    <row r="229" spans="1:9" x14ac:dyDescent="0.25">
      <c r="C229" s="620"/>
      <c r="H229" s="263"/>
      <c r="I229" s="263"/>
    </row>
    <row r="230" spans="1:9" x14ac:dyDescent="0.25">
      <c r="A230" s="206" t="s">
        <v>7</v>
      </c>
      <c r="B230" s="214" t="s">
        <v>554</v>
      </c>
      <c r="C230" s="620">
        <v>34.7256</v>
      </c>
      <c r="D230" s="206" t="s">
        <v>511</v>
      </c>
      <c r="E230" s="304">
        <f>E228</f>
        <v>8500</v>
      </c>
      <c r="F230" s="207">
        <f>C230*E230</f>
        <v>295167.59999999998</v>
      </c>
      <c r="G230" s="205">
        <f>18*2</f>
        <v>36</v>
      </c>
      <c r="H230" s="263">
        <f t="shared" si="4"/>
        <v>34.7256</v>
      </c>
      <c r="I230" s="263">
        <v>34.7256</v>
      </c>
    </row>
    <row r="231" spans="1:9" x14ac:dyDescent="0.25">
      <c r="C231" s="620"/>
      <c r="F231" s="230"/>
      <c r="H231" s="263"/>
      <c r="I231" s="263"/>
    </row>
    <row r="232" spans="1:9" ht="30" x14ac:dyDescent="0.25">
      <c r="A232" s="206" t="s">
        <v>8</v>
      </c>
      <c r="B232" s="215" t="s">
        <v>555</v>
      </c>
      <c r="C232" s="620">
        <v>5.7876000000000003</v>
      </c>
      <c r="D232" s="206" t="s">
        <v>511</v>
      </c>
      <c r="E232" s="304">
        <f>E228</f>
        <v>8500</v>
      </c>
      <c r="F232" s="207">
        <f>C232*E232</f>
        <v>49194.600000000006</v>
      </c>
      <c r="G232" s="205">
        <v>6</v>
      </c>
      <c r="H232" s="263">
        <f t="shared" si="4"/>
        <v>5.7876000000000003</v>
      </c>
      <c r="I232" s="263">
        <v>5.7876000000000003</v>
      </c>
    </row>
    <row r="233" spans="1:9" x14ac:dyDescent="0.25">
      <c r="B233" s="215"/>
      <c r="C233" s="620"/>
      <c r="F233" s="230"/>
      <c r="H233" s="263"/>
      <c r="I233" s="263"/>
    </row>
    <row r="234" spans="1:9" x14ac:dyDescent="0.25">
      <c r="A234" s="206" t="s">
        <v>9</v>
      </c>
      <c r="B234" s="214" t="s">
        <v>133</v>
      </c>
      <c r="C234" s="620">
        <v>63.663600000000002</v>
      </c>
      <c r="D234" s="206" t="s">
        <v>22</v>
      </c>
      <c r="E234" s="304">
        <f>E183</f>
        <v>1275</v>
      </c>
      <c r="F234" s="207">
        <f>C234*E234</f>
        <v>81171.09</v>
      </c>
      <c r="G234" s="205">
        <v>66</v>
      </c>
      <c r="H234" s="263">
        <f t="shared" si="4"/>
        <v>63.663600000000002</v>
      </c>
      <c r="I234" s="263">
        <v>63.663600000000002</v>
      </c>
    </row>
    <row r="235" spans="1:9" x14ac:dyDescent="0.25">
      <c r="C235" s="620"/>
      <c r="H235" s="263"/>
      <c r="I235" s="263"/>
    </row>
    <row r="236" spans="1:9" x14ac:dyDescent="0.25">
      <c r="A236" s="206" t="s">
        <v>10</v>
      </c>
      <c r="B236" s="214" t="s">
        <v>556</v>
      </c>
      <c r="C236" s="620">
        <v>15.4336</v>
      </c>
      <c r="D236" s="206" t="s">
        <v>22</v>
      </c>
      <c r="E236" s="304">
        <f>E234</f>
        <v>1275</v>
      </c>
      <c r="F236" s="207">
        <f>C236*E236</f>
        <v>19677.84</v>
      </c>
      <c r="G236" s="205">
        <v>16</v>
      </c>
      <c r="H236" s="263">
        <f t="shared" si="4"/>
        <v>15.4336</v>
      </c>
      <c r="I236" s="263">
        <v>15.4336</v>
      </c>
    </row>
    <row r="237" spans="1:9" x14ac:dyDescent="0.25">
      <c r="C237" s="620"/>
      <c r="H237" s="263"/>
      <c r="I237" s="263"/>
    </row>
    <row r="238" spans="1:9" x14ac:dyDescent="0.25">
      <c r="C238" s="620"/>
      <c r="H238" s="263"/>
      <c r="I238" s="263"/>
    </row>
    <row r="239" spans="1:9" x14ac:dyDescent="0.25">
      <c r="C239" s="620"/>
      <c r="H239" s="263"/>
      <c r="I239" s="263"/>
    </row>
    <row r="240" spans="1:9" x14ac:dyDescent="0.25">
      <c r="C240" s="620"/>
      <c r="H240" s="263"/>
      <c r="I240" s="263"/>
    </row>
    <row r="241" spans="1:9" x14ac:dyDescent="0.25">
      <c r="C241" s="620"/>
      <c r="H241" s="263"/>
      <c r="I241" s="263"/>
    </row>
    <row r="242" spans="1:9" x14ac:dyDescent="0.25">
      <c r="C242" s="620"/>
      <c r="H242" s="263"/>
      <c r="I242" s="263"/>
    </row>
    <row r="243" spans="1:9" x14ac:dyDescent="0.25">
      <c r="C243" s="620"/>
      <c r="H243" s="263"/>
      <c r="I243" s="263"/>
    </row>
    <row r="244" spans="1:9" x14ac:dyDescent="0.25">
      <c r="C244" s="620"/>
      <c r="H244" s="263"/>
      <c r="I244" s="263"/>
    </row>
    <row r="245" spans="1:9" x14ac:dyDescent="0.25">
      <c r="C245" s="620"/>
      <c r="H245" s="263"/>
      <c r="I245" s="263"/>
    </row>
    <row r="246" spans="1:9" x14ac:dyDescent="0.25">
      <c r="C246" s="620"/>
      <c r="H246" s="263"/>
      <c r="I246" s="263"/>
    </row>
    <row r="247" spans="1:9" ht="19.5" customHeight="1" x14ac:dyDescent="0.25">
      <c r="B247" s="220" t="s">
        <v>520</v>
      </c>
      <c r="C247" s="620"/>
      <c r="D247" s="209"/>
      <c r="E247" s="303" t="s">
        <v>15</v>
      </c>
      <c r="F247" s="207">
        <f>SUM(F205:F246)</f>
        <v>3704112.2299999995</v>
      </c>
      <c r="G247" s="221"/>
      <c r="H247" s="263"/>
      <c r="I247" s="263"/>
    </row>
    <row r="248" spans="1:9" x14ac:dyDescent="0.25">
      <c r="A248" s="209" t="s">
        <v>796</v>
      </c>
      <c r="B248" s="209"/>
      <c r="C248" s="620"/>
      <c r="D248" s="209" t="s">
        <v>765</v>
      </c>
      <c r="E248" s="388" t="s">
        <v>914</v>
      </c>
      <c r="F248" s="273" t="s">
        <v>768</v>
      </c>
      <c r="G248" s="221" t="s">
        <v>773</v>
      </c>
      <c r="H248" s="263"/>
      <c r="I248" s="263"/>
    </row>
    <row r="249" spans="1:9" x14ac:dyDescent="0.25">
      <c r="B249" s="210" t="s">
        <v>557</v>
      </c>
      <c r="C249" s="620"/>
      <c r="H249" s="263"/>
      <c r="I249" s="263"/>
    </row>
    <row r="250" spans="1:9" x14ac:dyDescent="0.25">
      <c r="B250" s="210"/>
      <c r="C250" s="620"/>
      <c r="H250" s="263"/>
      <c r="I250" s="263"/>
    </row>
    <row r="251" spans="1:9" x14ac:dyDescent="0.25">
      <c r="B251" s="211" t="s">
        <v>137</v>
      </c>
      <c r="C251" s="620"/>
      <c r="F251" s="288"/>
      <c r="H251" s="263"/>
      <c r="I251" s="263"/>
    </row>
    <row r="252" spans="1:9" x14ac:dyDescent="0.25">
      <c r="C252" s="620"/>
      <c r="F252" s="288"/>
      <c r="H252" s="263"/>
      <c r="I252" s="263"/>
    </row>
    <row r="253" spans="1:9" x14ac:dyDescent="0.25">
      <c r="B253" s="242" t="s">
        <v>702</v>
      </c>
      <c r="C253" s="620"/>
      <c r="F253" s="230"/>
      <c r="H253" s="263"/>
      <c r="I253" s="263"/>
    </row>
    <row r="254" spans="1:9" x14ac:dyDescent="0.25">
      <c r="B254" s="211"/>
      <c r="C254" s="620"/>
      <c r="F254" s="230"/>
      <c r="H254" s="263"/>
      <c r="I254" s="263"/>
    </row>
    <row r="255" spans="1:9" x14ac:dyDescent="0.25">
      <c r="A255" s="206" t="s">
        <v>2</v>
      </c>
      <c r="B255" s="233" t="s">
        <v>558</v>
      </c>
      <c r="C255" s="620">
        <v>13.5044</v>
      </c>
      <c r="D255" s="206" t="s">
        <v>511</v>
      </c>
      <c r="E255" s="306">
        <v>23000</v>
      </c>
      <c r="F255" s="207">
        <f>C255*E255</f>
        <v>310601.2</v>
      </c>
      <c r="G255" s="205">
        <v>14</v>
      </c>
      <c r="H255" s="263">
        <f t="shared" si="4"/>
        <v>13.5044</v>
      </c>
      <c r="I255" s="263">
        <v>13.5044</v>
      </c>
    </row>
    <row r="256" spans="1:9" x14ac:dyDescent="0.25">
      <c r="B256" s="233"/>
      <c r="C256" s="620"/>
      <c r="F256" s="230"/>
      <c r="H256" s="263"/>
      <c r="I256" s="263"/>
    </row>
    <row r="257" spans="1:9" x14ac:dyDescent="0.25">
      <c r="A257" s="206" t="s">
        <v>4</v>
      </c>
      <c r="B257" s="214" t="s">
        <v>139</v>
      </c>
      <c r="C257" s="620">
        <v>19.292000000000002</v>
      </c>
      <c r="D257" s="206" t="s">
        <v>22</v>
      </c>
      <c r="E257" s="306">
        <f>E255*0.3</f>
        <v>6900</v>
      </c>
      <c r="F257" s="207">
        <f>C257*E257</f>
        <v>133114.80000000002</v>
      </c>
      <c r="G257" s="205">
        <v>20</v>
      </c>
      <c r="H257" s="263">
        <f t="shared" si="4"/>
        <v>19.292000000000002</v>
      </c>
      <c r="I257" s="263">
        <v>19.292000000000002</v>
      </c>
    </row>
    <row r="258" spans="1:9" x14ac:dyDescent="0.25">
      <c r="C258" s="620"/>
      <c r="E258" s="306"/>
      <c r="H258" s="263"/>
      <c r="I258" s="263"/>
    </row>
    <row r="259" spans="1:9" x14ac:dyDescent="0.25">
      <c r="A259" s="206" t="s">
        <v>5</v>
      </c>
      <c r="B259" s="214" t="s">
        <v>140</v>
      </c>
      <c r="C259" s="620">
        <v>65.592799999999997</v>
      </c>
      <c r="D259" s="206" t="s">
        <v>22</v>
      </c>
      <c r="E259" s="306">
        <f>E255*0.15</f>
        <v>3450</v>
      </c>
      <c r="F259" s="207">
        <f>C259*E259</f>
        <v>226295.16</v>
      </c>
      <c r="G259" s="205">
        <v>68</v>
      </c>
      <c r="H259" s="263">
        <f t="shared" si="4"/>
        <v>65.592799999999997</v>
      </c>
      <c r="I259" s="263">
        <v>65.592799999999997</v>
      </c>
    </row>
    <row r="260" spans="1:9" x14ac:dyDescent="0.25">
      <c r="C260" s="620"/>
      <c r="F260" s="230"/>
      <c r="H260" s="263"/>
      <c r="I260" s="263"/>
    </row>
    <row r="261" spans="1:9" s="223" customFormat="1" ht="15" customHeight="1" x14ac:dyDescent="0.25">
      <c r="A261" s="206" t="s">
        <v>6</v>
      </c>
      <c r="B261" s="218" t="s">
        <v>141</v>
      </c>
      <c r="C261" s="620">
        <v>34.7256</v>
      </c>
      <c r="D261" s="206" t="s">
        <v>22</v>
      </c>
      <c r="E261" s="306">
        <f>E255*0.08</f>
        <v>1840</v>
      </c>
      <c r="F261" s="207">
        <f>C261*E261</f>
        <v>63895.103999999999</v>
      </c>
      <c r="G261" s="205">
        <f>18*2</f>
        <v>36</v>
      </c>
      <c r="H261" s="263">
        <f t="shared" si="4"/>
        <v>34.7256</v>
      </c>
      <c r="I261" s="263">
        <v>34.7256</v>
      </c>
    </row>
    <row r="262" spans="1:9" s="223" customFormat="1" ht="15" customHeight="1" x14ac:dyDescent="0.25">
      <c r="A262" s="206"/>
      <c r="B262" s="218"/>
      <c r="C262" s="620"/>
      <c r="D262" s="206"/>
      <c r="E262" s="304"/>
      <c r="F262" s="207"/>
      <c r="G262" s="205"/>
      <c r="H262" s="263"/>
      <c r="I262" s="263"/>
    </row>
    <row r="263" spans="1:9" ht="35.25" customHeight="1" x14ac:dyDescent="0.25">
      <c r="B263" s="242" t="s">
        <v>559</v>
      </c>
      <c r="C263" s="620"/>
      <c r="D263" s="209"/>
      <c r="E263" s="303"/>
      <c r="F263" s="286"/>
      <c r="G263" s="221"/>
      <c r="H263" s="263"/>
      <c r="I263" s="263"/>
    </row>
    <row r="264" spans="1:9" x14ac:dyDescent="0.25">
      <c r="B264" s="220"/>
      <c r="C264" s="620"/>
      <c r="D264" s="209"/>
      <c r="E264" s="303"/>
      <c r="F264" s="286"/>
      <c r="G264" s="221"/>
      <c r="H264" s="263"/>
      <c r="I264" s="263"/>
    </row>
    <row r="265" spans="1:9" x14ac:dyDescent="0.25">
      <c r="B265" s="219" t="s">
        <v>560</v>
      </c>
      <c r="C265" s="620"/>
      <c r="F265" s="230"/>
      <c r="H265" s="263"/>
      <c r="I265" s="263"/>
    </row>
    <row r="266" spans="1:9" x14ac:dyDescent="0.25">
      <c r="B266" s="219"/>
      <c r="C266" s="620"/>
      <c r="F266" s="230"/>
      <c r="H266" s="263"/>
      <c r="I266" s="263"/>
    </row>
    <row r="267" spans="1:9" x14ac:dyDescent="0.25">
      <c r="A267" s="206" t="s">
        <v>7</v>
      </c>
      <c r="B267" s="233" t="s">
        <v>561</v>
      </c>
      <c r="C267" s="620">
        <v>13.5044</v>
      </c>
      <c r="D267" s="206" t="s">
        <v>511</v>
      </c>
      <c r="E267" s="304">
        <v>4500</v>
      </c>
      <c r="F267" s="207">
        <f>C267*E267</f>
        <v>60769.8</v>
      </c>
      <c r="G267" s="205">
        <f>G255</f>
        <v>14</v>
      </c>
      <c r="H267" s="263">
        <f t="shared" ref="H267:H314" si="5">G267-G267*3.54%</f>
        <v>13.5044</v>
      </c>
      <c r="I267" s="263">
        <v>13.5044</v>
      </c>
    </row>
    <row r="268" spans="1:9" x14ac:dyDescent="0.25">
      <c r="B268" s="219"/>
      <c r="C268" s="620"/>
      <c r="F268" s="230"/>
      <c r="H268" s="263"/>
      <c r="I268" s="263"/>
    </row>
    <row r="269" spans="1:9" ht="15" x14ac:dyDescent="0.25">
      <c r="A269" s="206" t="s">
        <v>8</v>
      </c>
      <c r="B269" s="233" t="s">
        <v>145</v>
      </c>
      <c r="C269" s="620">
        <v>65.592799999999997</v>
      </c>
      <c r="D269" s="206" t="s">
        <v>22</v>
      </c>
      <c r="E269" s="304">
        <v>1500</v>
      </c>
      <c r="F269" s="212">
        <f>C269*E269</f>
        <v>98389.2</v>
      </c>
      <c r="G269" s="205">
        <f>G259</f>
        <v>68</v>
      </c>
      <c r="H269" s="263">
        <f t="shared" si="5"/>
        <v>65.592799999999997</v>
      </c>
      <c r="I269" s="263">
        <v>65.592799999999997</v>
      </c>
    </row>
    <row r="270" spans="1:9" x14ac:dyDescent="0.25">
      <c r="B270" s="233"/>
      <c r="C270" s="620"/>
      <c r="H270" s="263"/>
      <c r="I270" s="263"/>
    </row>
    <row r="271" spans="1:9" ht="15" x14ac:dyDescent="0.25">
      <c r="A271" s="206" t="s">
        <v>9</v>
      </c>
      <c r="B271" s="233" t="s">
        <v>562</v>
      </c>
      <c r="C271" s="620">
        <v>19.292000000000002</v>
      </c>
      <c r="D271" s="206" t="s">
        <v>22</v>
      </c>
      <c r="E271" s="304">
        <v>2500</v>
      </c>
      <c r="F271" s="212">
        <f>C271*E271</f>
        <v>48230.000000000007</v>
      </c>
      <c r="G271" s="205">
        <f>G257</f>
        <v>20</v>
      </c>
      <c r="H271" s="263">
        <f t="shared" si="5"/>
        <v>19.292000000000002</v>
      </c>
      <c r="I271" s="263">
        <v>19.292000000000002</v>
      </c>
    </row>
    <row r="272" spans="1:9" ht="15" x14ac:dyDescent="0.25">
      <c r="B272" s="233"/>
      <c r="C272" s="620"/>
      <c r="F272" s="212"/>
      <c r="H272" s="263"/>
      <c r="I272" s="263"/>
    </row>
    <row r="273" spans="1:9" ht="15" x14ac:dyDescent="0.25">
      <c r="A273" s="206" t="s">
        <v>10</v>
      </c>
      <c r="B273" s="233" t="s">
        <v>146</v>
      </c>
      <c r="C273" s="620">
        <v>34.7256</v>
      </c>
      <c r="D273" s="206" t="s">
        <v>22</v>
      </c>
      <c r="E273" s="304">
        <f>E267*0.45</f>
        <v>2025</v>
      </c>
      <c r="F273" s="212">
        <f>C273*E273</f>
        <v>70319.34</v>
      </c>
      <c r="G273" s="205">
        <f>G261</f>
        <v>36</v>
      </c>
      <c r="H273" s="263">
        <f t="shared" si="5"/>
        <v>34.7256</v>
      </c>
      <c r="I273" s="263">
        <v>34.7256</v>
      </c>
    </row>
    <row r="274" spans="1:9" x14ac:dyDescent="0.25">
      <c r="C274" s="620"/>
      <c r="F274" s="230"/>
      <c r="H274" s="263"/>
      <c r="I274" s="263"/>
    </row>
    <row r="275" spans="1:9" x14ac:dyDescent="0.25">
      <c r="B275" s="211" t="s">
        <v>147</v>
      </c>
      <c r="C275" s="620"/>
      <c r="F275" s="230"/>
      <c r="H275" s="263"/>
      <c r="I275" s="263"/>
    </row>
    <row r="276" spans="1:9" x14ac:dyDescent="0.25">
      <c r="C276" s="620"/>
      <c r="F276" s="230"/>
      <c r="H276" s="263"/>
      <c r="I276" s="263"/>
    </row>
    <row r="277" spans="1:9" ht="30" x14ac:dyDescent="0.25">
      <c r="B277" s="224" t="s">
        <v>563</v>
      </c>
      <c r="C277" s="620"/>
      <c r="F277" s="230"/>
      <c r="H277" s="263"/>
      <c r="I277" s="263"/>
    </row>
    <row r="278" spans="1:9" x14ac:dyDescent="0.25">
      <c r="B278" s="224"/>
      <c r="C278" s="620"/>
      <c r="F278" s="230"/>
      <c r="H278" s="263"/>
      <c r="I278" s="263"/>
    </row>
    <row r="279" spans="1:9" x14ac:dyDescent="0.25">
      <c r="A279" s="206" t="s">
        <v>11</v>
      </c>
      <c r="B279" s="233" t="s">
        <v>149</v>
      </c>
      <c r="C279" s="620">
        <v>40.513199999999998</v>
      </c>
      <c r="D279" s="206" t="s">
        <v>511</v>
      </c>
      <c r="E279" s="304">
        <v>3500</v>
      </c>
      <c r="F279" s="207">
        <f>C279*E279</f>
        <v>141796.19999999998</v>
      </c>
      <c r="G279" s="205">
        <f>G226</f>
        <v>42</v>
      </c>
      <c r="H279" s="263">
        <f t="shared" si="5"/>
        <v>40.513199999999998</v>
      </c>
      <c r="I279" s="263">
        <v>40.513199999999998</v>
      </c>
    </row>
    <row r="280" spans="1:9" x14ac:dyDescent="0.25">
      <c r="B280" s="233"/>
      <c r="C280" s="620"/>
      <c r="H280" s="263"/>
      <c r="I280" s="263"/>
    </row>
    <row r="281" spans="1:9" x14ac:dyDescent="0.25">
      <c r="A281" s="206" t="s">
        <v>12</v>
      </c>
      <c r="B281" s="214" t="s">
        <v>38</v>
      </c>
      <c r="C281" s="620">
        <v>9.6460000000000008</v>
      </c>
      <c r="D281" s="206" t="s">
        <v>511</v>
      </c>
      <c r="E281" s="304">
        <f>E279</f>
        <v>3500</v>
      </c>
      <c r="F281" s="207">
        <f>C281*E281</f>
        <v>33761</v>
      </c>
      <c r="G281" s="205">
        <f>G228</f>
        <v>10</v>
      </c>
      <c r="H281" s="263">
        <f t="shared" si="5"/>
        <v>9.6460000000000008</v>
      </c>
      <c r="I281" s="263">
        <v>9.6460000000000008</v>
      </c>
    </row>
    <row r="282" spans="1:9" x14ac:dyDescent="0.25">
      <c r="C282" s="620"/>
      <c r="H282" s="263"/>
      <c r="I282" s="263"/>
    </row>
    <row r="283" spans="1:9" x14ac:dyDescent="0.25">
      <c r="A283" s="206" t="s">
        <v>13</v>
      </c>
      <c r="B283" s="214" t="s">
        <v>37</v>
      </c>
      <c r="C283" s="620">
        <v>5.7876000000000003</v>
      </c>
      <c r="D283" s="206" t="s">
        <v>511</v>
      </c>
      <c r="E283" s="304">
        <f>E281</f>
        <v>3500</v>
      </c>
      <c r="F283" s="207">
        <f>C283*E283</f>
        <v>20256.600000000002</v>
      </c>
      <c r="G283" s="205">
        <f>G232</f>
        <v>6</v>
      </c>
      <c r="H283" s="263">
        <f t="shared" si="5"/>
        <v>5.7876000000000003</v>
      </c>
      <c r="I283" s="263">
        <v>5.7876000000000003</v>
      </c>
    </row>
    <row r="284" spans="1:9" x14ac:dyDescent="0.25">
      <c r="C284" s="620"/>
      <c r="F284" s="230"/>
      <c r="H284" s="263"/>
      <c r="I284" s="263"/>
    </row>
    <row r="285" spans="1:9" x14ac:dyDescent="0.25">
      <c r="C285" s="620"/>
      <c r="F285" s="230"/>
      <c r="H285" s="263"/>
      <c r="I285" s="263"/>
    </row>
    <row r="286" spans="1:9" x14ac:dyDescent="0.25">
      <c r="C286" s="620"/>
      <c r="F286" s="230"/>
      <c r="H286" s="263"/>
      <c r="I286" s="263"/>
    </row>
    <row r="287" spans="1:9" x14ac:dyDescent="0.25">
      <c r="C287" s="620"/>
      <c r="F287" s="230"/>
      <c r="H287" s="263"/>
      <c r="I287" s="263"/>
    </row>
    <row r="288" spans="1:9" x14ac:dyDescent="0.25">
      <c r="C288" s="620"/>
      <c r="F288" s="230"/>
      <c r="H288" s="263"/>
      <c r="I288" s="263"/>
    </row>
    <row r="289" spans="1:9" x14ac:dyDescent="0.25">
      <c r="C289" s="620"/>
      <c r="F289" s="230"/>
      <c r="H289" s="263"/>
      <c r="I289" s="263"/>
    </row>
    <row r="290" spans="1:9" x14ac:dyDescent="0.25">
      <c r="C290" s="620"/>
      <c r="F290" s="230"/>
      <c r="H290" s="263"/>
      <c r="I290" s="263"/>
    </row>
    <row r="291" spans="1:9" x14ac:dyDescent="0.25">
      <c r="C291" s="620"/>
      <c r="F291" s="230"/>
      <c r="H291" s="263"/>
      <c r="I291" s="263"/>
    </row>
    <row r="292" spans="1:9" x14ac:dyDescent="0.25">
      <c r="B292" s="220" t="s">
        <v>520</v>
      </c>
      <c r="C292" s="620"/>
      <c r="D292" s="209"/>
      <c r="E292" s="303" t="s">
        <v>15</v>
      </c>
      <c r="F292" s="235">
        <f>SUM(F251:F291)</f>
        <v>1207428.4040000001</v>
      </c>
      <c r="G292" s="221"/>
      <c r="H292" s="263"/>
      <c r="I292" s="263"/>
    </row>
    <row r="293" spans="1:9" x14ac:dyDescent="0.25">
      <c r="A293" s="209" t="s">
        <v>796</v>
      </c>
      <c r="B293" s="209"/>
      <c r="C293" s="620"/>
      <c r="D293" s="209" t="s">
        <v>765</v>
      </c>
      <c r="E293" s="388" t="s">
        <v>914</v>
      </c>
      <c r="F293" s="273" t="s">
        <v>768</v>
      </c>
      <c r="G293" s="221" t="s">
        <v>773</v>
      </c>
      <c r="H293" s="263"/>
      <c r="I293" s="263"/>
    </row>
    <row r="294" spans="1:9" x14ac:dyDescent="0.25">
      <c r="B294" s="210" t="s">
        <v>557</v>
      </c>
      <c r="C294" s="620"/>
      <c r="F294" s="230"/>
      <c r="H294" s="263"/>
      <c r="I294" s="263"/>
    </row>
    <row r="295" spans="1:9" x14ac:dyDescent="0.25">
      <c r="C295" s="620"/>
      <c r="F295" s="230"/>
      <c r="H295" s="263"/>
      <c r="I295" s="263"/>
    </row>
    <row r="296" spans="1:9" x14ac:dyDescent="0.25">
      <c r="B296" s="210" t="s">
        <v>564</v>
      </c>
      <c r="C296" s="620"/>
      <c r="F296" s="230"/>
      <c r="H296" s="263"/>
      <c r="I296" s="263"/>
    </row>
    <row r="297" spans="1:9" x14ac:dyDescent="0.25">
      <c r="C297" s="620"/>
      <c r="F297" s="230"/>
      <c r="H297" s="263"/>
      <c r="I297" s="263"/>
    </row>
    <row r="298" spans="1:9" ht="30" x14ac:dyDescent="0.25">
      <c r="B298" s="224" t="s">
        <v>565</v>
      </c>
      <c r="C298" s="620"/>
      <c r="F298" s="230"/>
      <c r="H298" s="263"/>
      <c r="I298" s="263"/>
    </row>
    <row r="299" spans="1:9" x14ac:dyDescent="0.25">
      <c r="C299" s="620"/>
      <c r="F299" s="230"/>
      <c r="H299" s="263"/>
      <c r="I299" s="263"/>
    </row>
    <row r="300" spans="1:9" x14ac:dyDescent="0.25">
      <c r="A300" s="206" t="s">
        <v>2</v>
      </c>
      <c r="B300" s="233" t="s">
        <v>149</v>
      </c>
      <c r="C300" s="620">
        <v>40.513199999999998</v>
      </c>
      <c r="D300" s="206" t="s">
        <v>511</v>
      </c>
      <c r="E300" s="304">
        <v>1400</v>
      </c>
      <c r="F300" s="207">
        <f>C300*E300</f>
        <v>56718.479999999996</v>
      </c>
      <c r="G300" s="205">
        <f>G279</f>
        <v>42</v>
      </c>
      <c r="H300" s="263">
        <f t="shared" si="5"/>
        <v>40.513199999999998</v>
      </c>
      <c r="I300" s="263">
        <v>40.513199999999998</v>
      </c>
    </row>
    <row r="301" spans="1:9" x14ac:dyDescent="0.25">
      <c r="B301" s="233"/>
      <c r="C301" s="620"/>
      <c r="H301" s="263"/>
      <c r="I301" s="263"/>
    </row>
    <row r="302" spans="1:9" x14ac:dyDescent="0.25">
      <c r="A302" s="206" t="s">
        <v>4</v>
      </c>
      <c r="B302" s="214" t="s">
        <v>38</v>
      </c>
      <c r="C302" s="620">
        <v>9.6460000000000008</v>
      </c>
      <c r="D302" s="206" t="s">
        <v>511</v>
      </c>
      <c r="E302" s="304">
        <f>E300</f>
        <v>1400</v>
      </c>
      <c r="F302" s="207">
        <f>C302*E302</f>
        <v>13504.400000000001</v>
      </c>
      <c r="G302" s="205">
        <f>G281</f>
        <v>10</v>
      </c>
      <c r="H302" s="263">
        <f t="shared" si="5"/>
        <v>9.6460000000000008</v>
      </c>
      <c r="I302" s="263">
        <v>9.6460000000000008</v>
      </c>
    </row>
    <row r="303" spans="1:9" x14ac:dyDescent="0.25">
      <c r="C303" s="620"/>
      <c r="H303" s="263"/>
      <c r="I303" s="263"/>
    </row>
    <row r="304" spans="1:9" x14ac:dyDescent="0.25">
      <c r="A304" s="206" t="s">
        <v>5</v>
      </c>
      <c r="B304" s="214" t="s">
        <v>37</v>
      </c>
      <c r="C304" s="620">
        <v>5.7876000000000003</v>
      </c>
      <c r="D304" s="206" t="s">
        <v>511</v>
      </c>
      <c r="E304" s="304">
        <f>E302</f>
        <v>1400</v>
      </c>
      <c r="F304" s="207">
        <f>C304*E304</f>
        <v>8102.64</v>
      </c>
      <c r="G304" s="205">
        <f>G283</f>
        <v>6</v>
      </c>
      <c r="H304" s="263">
        <f t="shared" si="5"/>
        <v>5.7876000000000003</v>
      </c>
      <c r="I304" s="263">
        <v>5.7876000000000003</v>
      </c>
    </row>
    <row r="305" spans="1:9" x14ac:dyDescent="0.25">
      <c r="B305" s="233"/>
      <c r="C305" s="620"/>
      <c r="F305" s="230"/>
      <c r="H305" s="263"/>
      <c r="I305" s="263"/>
    </row>
    <row r="306" spans="1:9" x14ac:dyDescent="0.25">
      <c r="B306" s="211" t="s">
        <v>152</v>
      </c>
      <c r="C306" s="620"/>
      <c r="F306" s="230"/>
      <c r="H306" s="263"/>
      <c r="I306" s="263"/>
    </row>
    <row r="307" spans="1:9" x14ac:dyDescent="0.25">
      <c r="C307" s="620"/>
      <c r="F307" s="230"/>
      <c r="H307" s="263"/>
      <c r="I307" s="263"/>
    </row>
    <row r="308" spans="1:9" ht="30" x14ac:dyDescent="0.25">
      <c r="B308" s="224" t="s">
        <v>675</v>
      </c>
      <c r="C308" s="620"/>
      <c r="F308" s="230"/>
      <c r="H308" s="263"/>
      <c r="I308" s="263"/>
    </row>
    <row r="309" spans="1:9" x14ac:dyDescent="0.25">
      <c r="C309" s="620"/>
      <c r="F309" s="230"/>
      <c r="H309" s="263"/>
      <c r="I309" s="263"/>
    </row>
    <row r="310" spans="1:9" x14ac:dyDescent="0.25">
      <c r="A310" s="206" t="s">
        <v>6</v>
      </c>
      <c r="B310" s="233" t="s">
        <v>149</v>
      </c>
      <c r="C310" s="620">
        <v>40.513199999999998</v>
      </c>
      <c r="D310" s="206" t="s">
        <v>511</v>
      </c>
      <c r="E310" s="304">
        <v>2200</v>
      </c>
      <c r="F310" s="207">
        <f>C310*E310</f>
        <v>89129.04</v>
      </c>
      <c r="G310" s="205">
        <f>G300</f>
        <v>42</v>
      </c>
      <c r="H310" s="263">
        <f t="shared" si="5"/>
        <v>40.513199999999998</v>
      </c>
      <c r="I310" s="263">
        <v>40.513199999999998</v>
      </c>
    </row>
    <row r="311" spans="1:9" x14ac:dyDescent="0.25">
      <c r="B311" s="233"/>
      <c r="C311" s="620"/>
      <c r="H311" s="263"/>
      <c r="I311" s="263"/>
    </row>
    <row r="312" spans="1:9" x14ac:dyDescent="0.25">
      <c r="A312" s="206" t="s">
        <v>7</v>
      </c>
      <c r="B312" s="214" t="s">
        <v>38</v>
      </c>
      <c r="C312" s="620">
        <v>9.6460000000000008</v>
      </c>
      <c r="D312" s="206" t="s">
        <v>511</v>
      </c>
      <c r="E312" s="304">
        <f>E310</f>
        <v>2200</v>
      </c>
      <c r="F312" s="207">
        <f>C312*E312</f>
        <v>21221.200000000001</v>
      </c>
      <c r="G312" s="205">
        <f>G302</f>
        <v>10</v>
      </c>
      <c r="H312" s="263">
        <f t="shared" si="5"/>
        <v>9.6460000000000008</v>
      </c>
      <c r="I312" s="263">
        <v>9.6460000000000008</v>
      </c>
    </row>
    <row r="313" spans="1:9" x14ac:dyDescent="0.25">
      <c r="C313" s="620"/>
      <c r="H313" s="263"/>
      <c r="I313" s="263"/>
    </row>
    <row r="314" spans="1:9" x14ac:dyDescent="0.25">
      <c r="A314" s="206" t="s">
        <v>8</v>
      </c>
      <c r="B314" s="214" t="s">
        <v>37</v>
      </c>
      <c r="C314" s="620">
        <v>5.7876000000000003</v>
      </c>
      <c r="D314" s="206" t="s">
        <v>511</v>
      </c>
      <c r="E314" s="304">
        <f>E312</f>
        <v>2200</v>
      </c>
      <c r="F314" s="207">
        <f>C314*E314</f>
        <v>12732.720000000001</v>
      </c>
      <c r="G314" s="205">
        <f>G304</f>
        <v>6</v>
      </c>
      <c r="H314" s="263">
        <f t="shared" si="5"/>
        <v>5.7876000000000003</v>
      </c>
      <c r="I314" s="263">
        <v>5.7876000000000003</v>
      </c>
    </row>
    <row r="315" spans="1:9" x14ac:dyDescent="0.25">
      <c r="C315" s="620"/>
      <c r="H315" s="263"/>
      <c r="I315" s="263"/>
    </row>
    <row r="316" spans="1:9" x14ac:dyDescent="0.25">
      <c r="C316" s="620"/>
      <c r="F316" s="230"/>
      <c r="H316" s="263"/>
      <c r="I316" s="263"/>
    </row>
    <row r="317" spans="1:9" x14ac:dyDescent="0.25">
      <c r="B317" s="220" t="s">
        <v>520</v>
      </c>
      <c r="C317" s="620"/>
      <c r="E317" s="303" t="s">
        <v>15</v>
      </c>
      <c r="F317" s="222">
        <f>SUM(F297:F316)</f>
        <v>201408.48</v>
      </c>
      <c r="H317" s="263"/>
      <c r="I317" s="263"/>
    </row>
    <row r="318" spans="1:9" x14ac:dyDescent="0.25">
      <c r="C318" s="620"/>
      <c r="H318" s="263"/>
      <c r="I318" s="263"/>
    </row>
    <row r="319" spans="1:9" x14ac:dyDescent="0.25">
      <c r="B319" s="219" t="s">
        <v>531</v>
      </c>
      <c r="C319" s="620"/>
      <c r="F319" s="230"/>
      <c r="H319" s="263"/>
      <c r="I319" s="263"/>
    </row>
    <row r="320" spans="1:9" x14ac:dyDescent="0.25">
      <c r="B320" s="231" t="s">
        <v>566</v>
      </c>
      <c r="C320" s="620"/>
      <c r="E320" s="304">
        <f>F247</f>
        <v>3704112.2299999995</v>
      </c>
      <c r="F320" s="230"/>
      <c r="H320" s="263"/>
      <c r="I320" s="263"/>
    </row>
    <row r="321" spans="2:9" x14ac:dyDescent="0.25">
      <c r="B321" s="243"/>
      <c r="C321" s="620"/>
      <c r="F321" s="230"/>
      <c r="H321" s="263"/>
      <c r="I321" s="263"/>
    </row>
    <row r="322" spans="2:9" x14ac:dyDescent="0.25">
      <c r="B322" s="231" t="s">
        <v>567</v>
      </c>
      <c r="C322" s="620"/>
      <c r="E322" s="304">
        <f>F292</f>
        <v>1207428.4040000001</v>
      </c>
      <c r="F322" s="230"/>
      <c r="H322" s="263"/>
      <c r="I322" s="263"/>
    </row>
    <row r="323" spans="2:9" x14ac:dyDescent="0.25">
      <c r="B323" s="244"/>
      <c r="C323" s="620"/>
      <c r="F323" s="230"/>
      <c r="H323" s="263"/>
      <c r="I323" s="263"/>
    </row>
    <row r="324" spans="2:9" x14ac:dyDescent="0.25">
      <c r="B324" s="231" t="s">
        <v>568</v>
      </c>
      <c r="C324" s="620"/>
      <c r="E324" s="304">
        <f>F317</f>
        <v>201408.48</v>
      </c>
      <c r="F324" s="230"/>
      <c r="H324" s="263"/>
      <c r="I324" s="263"/>
    </row>
    <row r="325" spans="2:9" x14ac:dyDescent="0.25">
      <c r="B325" s="231"/>
      <c r="C325" s="620"/>
      <c r="F325" s="230"/>
      <c r="H325" s="263"/>
      <c r="I325" s="263"/>
    </row>
    <row r="326" spans="2:9" x14ac:dyDescent="0.25">
      <c r="B326" s="231"/>
      <c r="C326" s="620"/>
      <c r="F326" s="230"/>
      <c r="H326" s="263"/>
      <c r="I326" s="263"/>
    </row>
    <row r="327" spans="2:9" x14ac:dyDescent="0.25">
      <c r="B327" s="231"/>
      <c r="C327" s="620"/>
      <c r="F327" s="230"/>
      <c r="H327" s="263"/>
      <c r="I327" s="263"/>
    </row>
    <row r="328" spans="2:9" x14ac:dyDescent="0.25">
      <c r="B328" s="231"/>
      <c r="C328" s="620"/>
      <c r="F328" s="230"/>
      <c r="H328" s="263"/>
      <c r="I328" s="263"/>
    </row>
    <row r="329" spans="2:9" x14ac:dyDescent="0.25">
      <c r="B329" s="231"/>
      <c r="C329" s="620"/>
      <c r="F329" s="230"/>
      <c r="H329" s="263"/>
      <c r="I329" s="263"/>
    </row>
    <row r="330" spans="2:9" x14ac:dyDescent="0.25">
      <c r="B330" s="231"/>
      <c r="C330" s="620"/>
      <c r="F330" s="230"/>
      <c r="H330" s="263"/>
      <c r="I330" s="263"/>
    </row>
    <row r="331" spans="2:9" x14ac:dyDescent="0.25">
      <c r="B331" s="231"/>
      <c r="C331" s="620"/>
      <c r="F331" s="230"/>
      <c r="H331" s="263"/>
      <c r="I331" s="263"/>
    </row>
    <row r="332" spans="2:9" x14ac:dyDescent="0.25">
      <c r="B332" s="231"/>
      <c r="C332" s="620"/>
      <c r="F332" s="230"/>
      <c r="H332" s="263"/>
      <c r="I332" s="263"/>
    </row>
    <row r="333" spans="2:9" x14ac:dyDescent="0.25">
      <c r="B333" s="231"/>
      <c r="C333" s="620"/>
      <c r="F333" s="230"/>
      <c r="H333" s="263"/>
      <c r="I333" s="263"/>
    </row>
    <row r="334" spans="2:9" x14ac:dyDescent="0.25">
      <c r="B334" s="231"/>
      <c r="C334" s="620"/>
      <c r="F334" s="230"/>
      <c r="H334" s="263"/>
      <c r="I334" s="263"/>
    </row>
    <row r="335" spans="2:9" x14ac:dyDescent="0.25">
      <c r="B335" s="231"/>
      <c r="C335" s="620"/>
      <c r="F335" s="230"/>
      <c r="H335" s="263"/>
      <c r="I335" s="263"/>
    </row>
    <row r="336" spans="2:9" x14ac:dyDescent="0.25">
      <c r="B336" s="210" t="s">
        <v>125</v>
      </c>
      <c r="C336" s="620"/>
      <c r="F336" s="230"/>
      <c r="H336" s="263"/>
      <c r="I336" s="263"/>
    </row>
    <row r="337" spans="1:9" x14ac:dyDescent="0.25">
      <c r="B337" s="220" t="s">
        <v>534</v>
      </c>
      <c r="C337" s="620"/>
      <c r="E337" s="303" t="s">
        <v>15</v>
      </c>
      <c r="F337" s="286">
        <f>SUM(E319:E326)</f>
        <v>5112949.1140000001</v>
      </c>
      <c r="H337" s="263"/>
      <c r="I337" s="263"/>
    </row>
    <row r="338" spans="1:9" x14ac:dyDescent="0.25">
      <c r="A338" s="209" t="s">
        <v>796</v>
      </c>
      <c r="B338" s="209"/>
      <c r="C338" s="620"/>
      <c r="D338" s="209" t="s">
        <v>765</v>
      </c>
      <c r="E338" s="388" t="s">
        <v>914</v>
      </c>
      <c r="F338" s="273" t="s">
        <v>768</v>
      </c>
      <c r="G338" s="221" t="s">
        <v>773</v>
      </c>
      <c r="H338" s="263"/>
      <c r="I338" s="263"/>
    </row>
    <row r="339" spans="1:9" x14ac:dyDescent="0.25">
      <c r="B339" s="210"/>
      <c r="C339" s="620"/>
      <c r="F339" s="230"/>
      <c r="H339" s="263"/>
      <c r="I339" s="263"/>
    </row>
    <row r="340" spans="1:9" x14ac:dyDescent="0.25">
      <c r="B340" s="204" t="s">
        <v>569</v>
      </c>
      <c r="C340" s="620"/>
      <c r="F340" s="230"/>
      <c r="H340" s="263"/>
      <c r="I340" s="263"/>
    </row>
    <row r="341" spans="1:9" x14ac:dyDescent="0.25">
      <c r="C341" s="620"/>
      <c r="F341" s="230"/>
      <c r="H341" s="263"/>
      <c r="I341" s="263"/>
    </row>
    <row r="342" spans="1:9" x14ac:dyDescent="0.25">
      <c r="B342" s="210" t="s">
        <v>163</v>
      </c>
      <c r="C342" s="620"/>
      <c r="F342" s="230"/>
      <c r="H342" s="263"/>
      <c r="I342" s="263"/>
    </row>
    <row r="343" spans="1:9" x14ac:dyDescent="0.25">
      <c r="C343" s="620"/>
      <c r="F343" s="230"/>
      <c r="H343" s="263"/>
      <c r="I343" s="263"/>
    </row>
    <row r="344" spans="1:9" x14ac:dyDescent="0.25">
      <c r="B344" s="211" t="s">
        <v>98</v>
      </c>
      <c r="C344" s="620"/>
      <c r="F344" s="230"/>
      <c r="H344" s="263"/>
      <c r="I344" s="263"/>
    </row>
    <row r="345" spans="1:9" x14ac:dyDescent="0.25">
      <c r="C345" s="620"/>
      <c r="F345" s="230"/>
      <c r="H345" s="263"/>
      <c r="I345" s="263"/>
    </row>
    <row r="346" spans="1:9" x14ac:dyDescent="0.25">
      <c r="B346" s="219" t="s">
        <v>536</v>
      </c>
      <c r="C346" s="620"/>
      <c r="F346" s="230"/>
      <c r="H346" s="263"/>
      <c r="I346" s="263"/>
    </row>
    <row r="347" spans="1:9" x14ac:dyDescent="0.25">
      <c r="B347" s="219"/>
      <c r="C347" s="620"/>
      <c r="F347" s="230"/>
      <c r="H347" s="263"/>
      <c r="I347" s="263"/>
    </row>
    <row r="348" spans="1:9" x14ac:dyDescent="0.25">
      <c r="B348" s="219" t="s">
        <v>666</v>
      </c>
      <c r="C348" s="620"/>
      <c r="F348" s="230"/>
      <c r="H348" s="263"/>
      <c r="I348" s="263"/>
    </row>
    <row r="349" spans="1:9" x14ac:dyDescent="0.25">
      <c r="C349" s="620"/>
      <c r="F349" s="230"/>
      <c r="H349" s="263"/>
      <c r="I349" s="263"/>
    </row>
    <row r="350" spans="1:9" x14ac:dyDescent="0.25">
      <c r="A350" s="206" t="s">
        <v>2</v>
      </c>
      <c r="B350" s="214" t="s">
        <v>537</v>
      </c>
      <c r="C350" s="620">
        <v>29.9026</v>
      </c>
      <c r="D350" s="206" t="s">
        <v>513</v>
      </c>
      <c r="E350" s="304">
        <f>E123</f>
        <v>95000</v>
      </c>
      <c r="F350" s="230">
        <f>C350*E350</f>
        <v>2840747</v>
      </c>
      <c r="G350" s="205">
        <v>31</v>
      </c>
      <c r="H350" s="263">
        <f t="shared" ref="H350:H389" si="6">G350-G350*3.54%</f>
        <v>29.9026</v>
      </c>
      <c r="I350" s="263">
        <v>29.9026</v>
      </c>
    </row>
    <row r="351" spans="1:9" x14ac:dyDescent="0.25">
      <c r="C351" s="620"/>
      <c r="F351" s="230"/>
      <c r="H351" s="263"/>
      <c r="I351" s="263"/>
    </row>
    <row r="352" spans="1:9" x14ac:dyDescent="0.25">
      <c r="A352" s="206" t="s">
        <v>4</v>
      </c>
      <c r="B352" s="214" t="s">
        <v>1034</v>
      </c>
      <c r="C352" s="620">
        <v>7.7168000000000001</v>
      </c>
      <c r="D352" s="206" t="s">
        <v>513</v>
      </c>
      <c r="E352" s="304">
        <f>E125</f>
        <v>95000</v>
      </c>
      <c r="F352" s="230">
        <f>C352*E352</f>
        <v>733096</v>
      </c>
      <c r="G352" s="205">
        <v>8</v>
      </c>
      <c r="H352" s="263">
        <f t="shared" si="6"/>
        <v>7.7168000000000001</v>
      </c>
      <c r="I352" s="263">
        <v>7.7168000000000001</v>
      </c>
    </row>
    <row r="353" spans="1:9" x14ac:dyDescent="0.25">
      <c r="C353" s="620"/>
      <c r="F353" s="230"/>
      <c r="H353" s="263"/>
      <c r="I353" s="263"/>
    </row>
    <row r="354" spans="1:9" x14ac:dyDescent="0.25">
      <c r="A354" s="237"/>
      <c r="B354" s="211" t="s">
        <v>102</v>
      </c>
      <c r="C354" s="620"/>
      <c r="F354" s="230"/>
      <c r="H354" s="263"/>
      <c r="I354" s="263"/>
    </row>
    <row r="355" spans="1:9" x14ac:dyDescent="0.25">
      <c r="B355" s="219"/>
      <c r="C355" s="620"/>
      <c r="F355" s="230"/>
      <c r="H355" s="263"/>
      <c r="I355" s="263"/>
    </row>
    <row r="356" spans="1:9" ht="30" x14ac:dyDescent="0.25">
      <c r="B356" s="224" t="s">
        <v>570</v>
      </c>
      <c r="C356" s="620"/>
      <c r="F356" s="230"/>
      <c r="H356" s="263"/>
      <c r="I356" s="263"/>
    </row>
    <row r="357" spans="1:9" x14ac:dyDescent="0.25">
      <c r="B357" s="218"/>
      <c r="C357" s="620"/>
      <c r="D357" s="240"/>
      <c r="E357" s="305"/>
      <c r="F357" s="245"/>
      <c r="G357" s="239"/>
      <c r="H357" s="263"/>
      <c r="I357" s="263"/>
    </row>
    <row r="358" spans="1:9" x14ac:dyDescent="0.25">
      <c r="A358" s="206" t="s">
        <v>5</v>
      </c>
      <c r="B358" s="214" t="s">
        <v>927</v>
      </c>
      <c r="C358" s="620"/>
      <c r="D358" s="206" t="s">
        <v>75</v>
      </c>
      <c r="E358" s="304">
        <f>E362</f>
        <v>1450</v>
      </c>
      <c r="F358" s="287">
        <f>C358*E358</f>
        <v>0</v>
      </c>
      <c r="H358" s="263"/>
      <c r="I358" s="263"/>
    </row>
    <row r="359" spans="1:9" x14ac:dyDescent="0.25">
      <c r="B359" s="218"/>
      <c r="C359" s="620"/>
      <c r="D359" s="240"/>
      <c r="E359" s="305"/>
      <c r="F359" s="245"/>
      <c r="G359" s="239"/>
      <c r="H359" s="263"/>
      <c r="I359" s="263"/>
    </row>
    <row r="360" spans="1:9" x14ac:dyDescent="0.25">
      <c r="A360" s="206" t="s">
        <v>6</v>
      </c>
      <c r="B360" s="214" t="s">
        <v>928</v>
      </c>
      <c r="C360" s="620"/>
      <c r="D360" s="206" t="s">
        <v>75</v>
      </c>
      <c r="E360" s="304">
        <f>E358</f>
        <v>1450</v>
      </c>
      <c r="F360" s="287">
        <f>C360*E360</f>
        <v>0</v>
      </c>
      <c r="H360" s="263"/>
      <c r="I360" s="263"/>
    </row>
    <row r="361" spans="1:9" x14ac:dyDescent="0.25">
      <c r="B361" s="218"/>
      <c r="C361" s="620"/>
      <c r="D361" s="240"/>
      <c r="E361" s="305"/>
      <c r="F361" s="245"/>
      <c r="G361" s="239"/>
      <c r="H361" s="263"/>
      <c r="I361" s="263"/>
    </row>
    <row r="362" spans="1:9" x14ac:dyDescent="0.25">
      <c r="A362" s="206" t="s">
        <v>7</v>
      </c>
      <c r="B362" s="214" t="s">
        <v>806</v>
      </c>
      <c r="C362" s="620">
        <v>1900.2619999999999</v>
      </c>
      <c r="D362" s="206" t="s">
        <v>75</v>
      </c>
      <c r="E362" s="304">
        <f>E219</f>
        <v>1450</v>
      </c>
      <c r="F362" s="287">
        <f>C362*E362</f>
        <v>2755379.9</v>
      </c>
      <c r="G362" s="205">
        <v>1970</v>
      </c>
      <c r="H362" s="263">
        <f t="shared" si="6"/>
        <v>1900.2619999999999</v>
      </c>
      <c r="I362" s="263">
        <v>1900.2619999999999</v>
      </c>
    </row>
    <row r="363" spans="1:9" x14ac:dyDescent="0.25">
      <c r="A363" s="238"/>
      <c r="C363" s="620"/>
      <c r="F363" s="287"/>
      <c r="H363" s="263"/>
      <c r="I363" s="263"/>
    </row>
    <row r="364" spans="1:9" x14ac:dyDescent="0.25">
      <c r="A364" s="206" t="s">
        <v>8</v>
      </c>
      <c r="B364" s="214" t="s">
        <v>571</v>
      </c>
      <c r="C364" s="620">
        <v>222.82259999999999</v>
      </c>
      <c r="D364" s="206" t="s">
        <v>75</v>
      </c>
      <c r="E364" s="304">
        <f>E362</f>
        <v>1450</v>
      </c>
      <c r="F364" s="287">
        <f>C364*E364</f>
        <v>323092.77</v>
      </c>
      <c r="G364" s="205">
        <v>231</v>
      </c>
      <c r="H364" s="263">
        <f t="shared" si="6"/>
        <v>222.82259999999999</v>
      </c>
      <c r="I364" s="263">
        <v>222.82259999999999</v>
      </c>
    </row>
    <row r="365" spans="1:9" x14ac:dyDescent="0.25">
      <c r="C365" s="620"/>
      <c r="F365" s="287"/>
      <c r="H365" s="263"/>
      <c r="I365" s="263"/>
    </row>
    <row r="366" spans="1:9" x14ac:dyDescent="0.25">
      <c r="A366" s="206" t="s">
        <v>9</v>
      </c>
      <c r="B366" s="214" t="s">
        <v>804</v>
      </c>
      <c r="C366" s="620">
        <v>1354.2983999999999</v>
      </c>
      <c r="D366" s="206" t="s">
        <v>75</v>
      </c>
      <c r="E366" s="304">
        <f>E364</f>
        <v>1450</v>
      </c>
      <c r="F366" s="287">
        <f>C366*E366</f>
        <v>1963732.68</v>
      </c>
      <c r="G366" s="205">
        <v>1404</v>
      </c>
      <c r="H366" s="263">
        <f t="shared" si="6"/>
        <v>1354.2983999999999</v>
      </c>
      <c r="I366" s="263">
        <v>1354.2983999999999</v>
      </c>
    </row>
    <row r="367" spans="1:9" x14ac:dyDescent="0.25">
      <c r="B367" s="211" t="s">
        <v>67</v>
      </c>
      <c r="C367" s="620"/>
      <c r="F367" s="230"/>
      <c r="H367" s="263"/>
      <c r="I367" s="263"/>
    </row>
    <row r="368" spans="1:9" x14ac:dyDescent="0.25">
      <c r="C368" s="620"/>
      <c r="F368" s="230"/>
      <c r="H368" s="263"/>
      <c r="I368" s="263"/>
    </row>
    <row r="369" spans="1:9" x14ac:dyDescent="0.25">
      <c r="B369" s="219" t="s">
        <v>120</v>
      </c>
      <c r="C369" s="620"/>
      <c r="F369" s="230"/>
      <c r="H369" s="263"/>
      <c r="I369" s="263"/>
    </row>
    <row r="370" spans="1:9" x14ac:dyDescent="0.25">
      <c r="C370" s="620"/>
      <c r="F370" s="230"/>
      <c r="H370" s="263"/>
      <c r="I370" s="263"/>
    </row>
    <row r="371" spans="1:9" x14ac:dyDescent="0.25">
      <c r="A371" s="206" t="s">
        <v>10</v>
      </c>
      <c r="B371" s="214" t="s">
        <v>572</v>
      </c>
      <c r="C371" s="620">
        <v>199.6722</v>
      </c>
      <c r="D371" s="206" t="s">
        <v>511</v>
      </c>
      <c r="E371" s="304">
        <f>E181</f>
        <v>8500</v>
      </c>
      <c r="F371" s="230">
        <f>C371*E371</f>
        <v>1697213.7</v>
      </c>
      <c r="G371" s="205">
        <v>207</v>
      </c>
      <c r="H371" s="263">
        <f t="shared" si="6"/>
        <v>199.6722</v>
      </c>
      <c r="I371" s="263">
        <v>199.6722</v>
      </c>
    </row>
    <row r="372" spans="1:9" x14ac:dyDescent="0.25">
      <c r="C372" s="620"/>
      <c r="F372" s="230"/>
      <c r="H372" s="263"/>
      <c r="I372" s="263"/>
    </row>
    <row r="373" spans="1:9" x14ac:dyDescent="0.25">
      <c r="A373" s="206" t="s">
        <v>11</v>
      </c>
      <c r="B373" s="214" t="s">
        <v>1033</v>
      </c>
      <c r="C373" s="620">
        <v>55.946800000000003</v>
      </c>
      <c r="D373" s="206" t="s">
        <v>511</v>
      </c>
      <c r="E373" s="304">
        <f>E183</f>
        <v>1275</v>
      </c>
      <c r="F373" s="230">
        <f>C373*E373</f>
        <v>71332.17</v>
      </c>
      <c r="G373" s="205">
        <v>58</v>
      </c>
      <c r="H373" s="263">
        <f t="shared" si="6"/>
        <v>55.946800000000003</v>
      </c>
      <c r="I373" s="263">
        <v>55.946800000000003</v>
      </c>
    </row>
    <row r="374" spans="1:9" x14ac:dyDescent="0.25">
      <c r="C374" s="620"/>
      <c r="F374" s="230"/>
      <c r="H374" s="263"/>
      <c r="I374" s="263"/>
    </row>
    <row r="375" spans="1:9" x14ac:dyDescent="0.25">
      <c r="C375" s="620"/>
      <c r="F375" s="230"/>
      <c r="H375" s="263"/>
      <c r="I375" s="263"/>
    </row>
    <row r="376" spans="1:9" x14ac:dyDescent="0.25">
      <c r="C376" s="620"/>
      <c r="F376" s="230"/>
      <c r="H376" s="263"/>
      <c r="I376" s="263"/>
    </row>
    <row r="377" spans="1:9" x14ac:dyDescent="0.25">
      <c r="C377" s="620"/>
      <c r="F377" s="230"/>
      <c r="H377" s="263"/>
      <c r="I377" s="263"/>
    </row>
    <row r="378" spans="1:9" x14ac:dyDescent="0.25">
      <c r="C378" s="620"/>
      <c r="F378" s="230"/>
      <c r="H378" s="263"/>
      <c r="I378" s="263"/>
    </row>
    <row r="379" spans="1:9" x14ac:dyDescent="0.25">
      <c r="C379" s="620"/>
      <c r="F379" s="230"/>
      <c r="H379" s="263"/>
      <c r="I379" s="263"/>
    </row>
    <row r="380" spans="1:9" x14ac:dyDescent="0.25">
      <c r="C380" s="620"/>
      <c r="F380" s="230"/>
      <c r="H380" s="263"/>
      <c r="I380" s="263"/>
    </row>
    <row r="381" spans="1:9" x14ac:dyDescent="0.25">
      <c r="C381" s="620"/>
      <c r="F381" s="230"/>
      <c r="H381" s="263"/>
      <c r="I381" s="263"/>
    </row>
    <row r="382" spans="1:9" x14ac:dyDescent="0.25">
      <c r="C382" s="620"/>
      <c r="F382" s="230"/>
      <c r="H382" s="263"/>
      <c r="I382" s="263"/>
    </row>
    <row r="383" spans="1:9" x14ac:dyDescent="0.25">
      <c r="B383" s="220" t="s">
        <v>520</v>
      </c>
      <c r="C383" s="620"/>
      <c r="D383" s="209"/>
      <c r="E383" s="303" t="s">
        <v>15</v>
      </c>
      <c r="F383" s="235">
        <f>SUM(F343:F375)</f>
        <v>10384594.219999999</v>
      </c>
      <c r="G383" s="221"/>
      <c r="H383" s="263"/>
      <c r="I383" s="263"/>
    </row>
    <row r="384" spans="1:9" x14ac:dyDescent="0.25">
      <c r="A384" s="209" t="s">
        <v>796</v>
      </c>
      <c r="B384" s="209"/>
      <c r="C384" s="620"/>
      <c r="D384" s="209" t="s">
        <v>765</v>
      </c>
      <c r="E384" s="388" t="s">
        <v>914</v>
      </c>
      <c r="F384" s="273" t="s">
        <v>768</v>
      </c>
      <c r="G384" s="221" t="s">
        <v>773</v>
      </c>
      <c r="H384" s="263"/>
      <c r="I384" s="263"/>
    </row>
    <row r="385" spans="1:9" x14ac:dyDescent="0.25">
      <c r="B385" s="210" t="s">
        <v>573</v>
      </c>
      <c r="C385" s="620"/>
      <c r="F385" s="230"/>
      <c r="H385" s="263"/>
      <c r="I385" s="263"/>
    </row>
    <row r="386" spans="1:9" ht="8.4499999999999993" customHeight="1" x14ac:dyDescent="0.25">
      <c r="C386" s="620"/>
      <c r="F386" s="230"/>
      <c r="H386" s="263"/>
      <c r="I386" s="263"/>
    </row>
    <row r="387" spans="1:9" ht="49.5" x14ac:dyDescent="0.25">
      <c r="B387" s="242" t="s">
        <v>909</v>
      </c>
      <c r="C387" s="620"/>
      <c r="H387" s="263"/>
      <c r="I387" s="263"/>
    </row>
    <row r="388" spans="1:9" x14ac:dyDescent="0.25">
      <c r="B388" s="233"/>
      <c r="C388" s="620"/>
      <c r="H388" s="263"/>
      <c r="I388" s="263"/>
    </row>
    <row r="389" spans="1:9" x14ac:dyDescent="0.25">
      <c r="A389" s="206" t="s">
        <v>2</v>
      </c>
      <c r="B389" s="246" t="s">
        <v>575</v>
      </c>
      <c r="C389" s="620">
        <v>436.96379999999999</v>
      </c>
      <c r="D389" s="206" t="s">
        <v>511</v>
      </c>
      <c r="E389" s="304">
        <v>10100</v>
      </c>
      <c r="F389" s="289">
        <f>E389*C389</f>
        <v>4413334.38</v>
      </c>
      <c r="G389" s="205">
        <v>453</v>
      </c>
      <c r="H389" s="263">
        <f t="shared" si="6"/>
        <v>436.96379999999999</v>
      </c>
      <c r="I389" s="263">
        <v>436.96379999999999</v>
      </c>
    </row>
    <row r="390" spans="1:9" ht="10.9" customHeight="1" x14ac:dyDescent="0.25">
      <c r="B390" s="246"/>
      <c r="C390" s="620"/>
      <c r="F390" s="289"/>
      <c r="H390" s="263"/>
      <c r="I390" s="263"/>
    </row>
    <row r="391" spans="1:9" x14ac:dyDescent="0.25">
      <c r="C391" s="620"/>
      <c r="F391" s="289"/>
      <c r="H391" s="263"/>
      <c r="I391" s="263"/>
    </row>
    <row r="392" spans="1:9" x14ac:dyDescent="0.25">
      <c r="B392" s="211" t="s">
        <v>577</v>
      </c>
      <c r="C392" s="620"/>
      <c r="H392" s="263"/>
      <c r="I392" s="263"/>
    </row>
    <row r="393" spans="1:9" ht="12.6" customHeight="1" x14ac:dyDescent="0.25">
      <c r="C393" s="620"/>
      <c r="H393" s="263"/>
      <c r="I393" s="263"/>
    </row>
    <row r="394" spans="1:9" ht="14.25" customHeight="1" x14ac:dyDescent="0.25">
      <c r="B394" s="224" t="s">
        <v>187</v>
      </c>
      <c r="C394" s="620"/>
      <c r="H394" s="263"/>
      <c r="I394" s="263"/>
    </row>
    <row r="395" spans="1:9" x14ac:dyDescent="0.25">
      <c r="C395" s="620"/>
      <c r="H395" s="263"/>
      <c r="I395" s="263"/>
    </row>
    <row r="396" spans="1:9" s="202" customFormat="1" ht="17.100000000000001" customHeight="1" x14ac:dyDescent="0.25">
      <c r="A396" s="197" t="s">
        <v>4</v>
      </c>
      <c r="B396" s="214" t="s">
        <v>578</v>
      </c>
      <c r="C396" s="620"/>
      <c r="D396" s="197" t="s">
        <v>579</v>
      </c>
      <c r="E396" s="307"/>
      <c r="F396" s="248"/>
      <c r="G396" s="247"/>
      <c r="H396" s="263"/>
      <c r="I396" s="263"/>
    </row>
    <row r="397" spans="1:9" x14ac:dyDescent="0.25">
      <c r="C397" s="620"/>
      <c r="H397" s="263"/>
      <c r="I397" s="263"/>
    </row>
    <row r="398" spans="1:9" x14ac:dyDescent="0.25">
      <c r="A398" s="206" t="s">
        <v>5</v>
      </c>
      <c r="B398" s="214" t="s">
        <v>678</v>
      </c>
      <c r="C398" s="620">
        <v>116.7166</v>
      </c>
      <c r="D398" s="206" t="s">
        <v>22</v>
      </c>
      <c r="E398" s="304">
        <v>800</v>
      </c>
      <c r="F398" s="289">
        <f>C398*E398</f>
        <v>93373.28</v>
      </c>
      <c r="G398" s="205">
        <v>121</v>
      </c>
      <c r="H398" s="263">
        <f t="shared" ref="H398:H453" si="7">G398-G398*3.54%</f>
        <v>116.7166</v>
      </c>
      <c r="I398" s="263">
        <v>116.7166</v>
      </c>
    </row>
    <row r="399" spans="1:9" x14ac:dyDescent="0.25">
      <c r="C399" s="620"/>
      <c r="H399" s="263"/>
      <c r="I399" s="263"/>
    </row>
    <row r="400" spans="1:9" x14ac:dyDescent="0.25">
      <c r="A400" s="206" t="s">
        <v>6</v>
      </c>
      <c r="B400" s="214" t="s">
        <v>580</v>
      </c>
      <c r="C400" s="620">
        <v>293.23840000000001</v>
      </c>
      <c r="D400" s="206" t="s">
        <v>22</v>
      </c>
      <c r="E400" s="304">
        <f>E398</f>
        <v>800</v>
      </c>
      <c r="F400" s="289">
        <f>C400*E400</f>
        <v>234590.72</v>
      </c>
      <c r="G400" s="205">
        <v>304</v>
      </c>
      <c r="H400" s="263">
        <f t="shared" si="7"/>
        <v>293.23840000000001</v>
      </c>
      <c r="I400" s="263">
        <v>293.23840000000001</v>
      </c>
    </row>
    <row r="401" spans="1:9" ht="12.75" customHeight="1" x14ac:dyDescent="0.25">
      <c r="C401" s="620"/>
      <c r="F401" s="289"/>
      <c r="H401" s="263"/>
      <c r="I401" s="263"/>
    </row>
    <row r="402" spans="1:9" x14ac:dyDescent="0.25">
      <c r="A402" s="206" t="s">
        <v>7</v>
      </c>
      <c r="B402" s="214" t="s">
        <v>188</v>
      </c>
      <c r="C402" s="620">
        <v>191.9554</v>
      </c>
      <c r="D402" s="206" t="s">
        <v>22</v>
      </c>
      <c r="E402" s="304">
        <f>E400</f>
        <v>800</v>
      </c>
      <c r="F402" s="289">
        <f>C402*E402</f>
        <v>153564.32</v>
      </c>
      <c r="G402" s="205">
        <v>199</v>
      </c>
      <c r="H402" s="263">
        <f t="shared" si="7"/>
        <v>191.9554</v>
      </c>
      <c r="I402" s="263">
        <v>191.9554</v>
      </c>
    </row>
    <row r="403" spans="1:9" ht="12.75" customHeight="1" x14ac:dyDescent="0.25">
      <c r="C403" s="620"/>
      <c r="H403" s="263"/>
      <c r="I403" s="263"/>
    </row>
    <row r="404" spans="1:9" x14ac:dyDescent="0.25">
      <c r="A404" s="206" t="s">
        <v>8</v>
      </c>
      <c r="B404" s="214" t="s">
        <v>581</v>
      </c>
      <c r="C404" s="620">
        <v>366.548</v>
      </c>
      <c r="D404" s="206" t="s">
        <v>22</v>
      </c>
      <c r="E404" s="304">
        <f>E402</f>
        <v>800</v>
      </c>
      <c r="F404" s="289">
        <f>C404*E404</f>
        <v>293238.40000000002</v>
      </c>
      <c r="G404" s="205">
        <v>380</v>
      </c>
      <c r="H404" s="263">
        <f t="shared" si="7"/>
        <v>366.548</v>
      </c>
      <c r="I404" s="263">
        <v>366.548</v>
      </c>
    </row>
    <row r="405" spans="1:9" ht="12.75" customHeight="1" x14ac:dyDescent="0.25">
      <c r="C405" s="620"/>
      <c r="F405" s="289"/>
      <c r="H405" s="263"/>
      <c r="I405" s="263"/>
    </row>
    <row r="406" spans="1:9" x14ac:dyDescent="0.25">
      <c r="A406" s="206" t="s">
        <v>9</v>
      </c>
      <c r="B406" s="214" t="s">
        <v>191</v>
      </c>
      <c r="C406" s="620">
        <v>396.45060000000001</v>
      </c>
      <c r="D406" s="206" t="s">
        <v>22</v>
      </c>
      <c r="E406" s="304">
        <v>550</v>
      </c>
      <c r="F406" s="289">
        <f>C406*E406</f>
        <v>218047.83000000002</v>
      </c>
      <c r="G406" s="205">
        <v>411</v>
      </c>
      <c r="H406" s="263">
        <f t="shared" si="7"/>
        <v>396.45060000000001</v>
      </c>
      <c r="I406" s="263">
        <v>396.45060000000001</v>
      </c>
    </row>
    <row r="407" spans="1:9" ht="12.6" customHeight="1" x14ac:dyDescent="0.25">
      <c r="C407" s="620"/>
      <c r="F407" s="289"/>
      <c r="H407" s="263"/>
      <c r="I407" s="263"/>
    </row>
    <row r="408" spans="1:9" x14ac:dyDescent="0.25">
      <c r="B408" s="211" t="s">
        <v>84</v>
      </c>
      <c r="C408" s="620"/>
      <c r="D408" s="209"/>
      <c r="E408" s="303"/>
      <c r="F408" s="286"/>
      <c r="G408" s="221"/>
      <c r="H408" s="263"/>
      <c r="I408" s="263"/>
    </row>
    <row r="409" spans="1:9" x14ac:dyDescent="0.25">
      <c r="B409" s="226"/>
      <c r="C409" s="620"/>
      <c r="D409" s="209"/>
      <c r="E409" s="303"/>
      <c r="F409" s="286"/>
      <c r="G409" s="221"/>
      <c r="H409" s="263"/>
      <c r="I409" s="263"/>
    </row>
    <row r="410" spans="1:9" ht="32.25" customHeight="1" x14ac:dyDescent="0.25">
      <c r="B410" s="224" t="s">
        <v>582</v>
      </c>
      <c r="C410" s="620"/>
      <c r="D410" s="209"/>
      <c r="E410" s="303"/>
      <c r="F410" s="286"/>
      <c r="G410" s="221"/>
      <c r="H410" s="263"/>
      <c r="I410" s="263"/>
    </row>
    <row r="411" spans="1:9" x14ac:dyDescent="0.25">
      <c r="B411" s="224"/>
      <c r="C411" s="620"/>
      <c r="D411" s="209"/>
      <c r="E411" s="303"/>
      <c r="F411" s="286"/>
      <c r="G411" s="221"/>
      <c r="H411" s="263"/>
      <c r="I411" s="263"/>
    </row>
    <row r="412" spans="1:9" x14ac:dyDescent="0.25">
      <c r="A412" s="206" t="s">
        <v>10</v>
      </c>
      <c r="B412" s="218" t="s">
        <v>680</v>
      </c>
      <c r="C412" s="620">
        <v>249.8314</v>
      </c>
      <c r="D412" s="206" t="s">
        <v>511</v>
      </c>
      <c r="E412" s="304">
        <v>10300</v>
      </c>
      <c r="F412" s="207">
        <f>C412*E412</f>
        <v>2573263.42</v>
      </c>
      <c r="G412" s="205">
        <v>259</v>
      </c>
      <c r="H412" s="263">
        <f t="shared" si="7"/>
        <v>249.8314</v>
      </c>
      <c r="I412" s="263">
        <v>249.8314</v>
      </c>
    </row>
    <row r="413" spans="1:9" x14ac:dyDescent="0.25">
      <c r="C413" s="620"/>
      <c r="H413" s="263"/>
      <c r="I413" s="263"/>
    </row>
    <row r="414" spans="1:9" x14ac:dyDescent="0.25">
      <c r="B414" s="211" t="s">
        <v>147</v>
      </c>
      <c r="C414" s="620"/>
      <c r="F414" s="230"/>
      <c r="H414" s="263"/>
      <c r="I414" s="263"/>
    </row>
    <row r="415" spans="1:9" ht="12.95" customHeight="1" x14ac:dyDescent="0.25">
      <c r="C415" s="620"/>
      <c r="F415" s="230"/>
      <c r="H415" s="263"/>
      <c r="I415" s="263"/>
    </row>
    <row r="416" spans="1:9" ht="30" x14ac:dyDescent="0.25">
      <c r="B416" s="224" t="s">
        <v>583</v>
      </c>
      <c r="C416" s="620"/>
      <c r="F416" s="230"/>
      <c r="H416" s="263"/>
      <c r="I416" s="263"/>
    </row>
    <row r="417" spans="1:9" ht="16.5" customHeight="1" x14ac:dyDescent="0.25">
      <c r="B417" s="224"/>
      <c r="C417" s="620"/>
      <c r="F417" s="230"/>
      <c r="H417" s="263"/>
      <c r="I417" s="263"/>
    </row>
    <row r="418" spans="1:9" ht="19.5" customHeight="1" x14ac:dyDescent="0.25">
      <c r="A418" s="206" t="s">
        <v>11</v>
      </c>
      <c r="B418" s="233" t="s">
        <v>24</v>
      </c>
      <c r="C418" s="620">
        <v>499.6628</v>
      </c>
      <c r="D418" s="206" t="s">
        <v>511</v>
      </c>
      <c r="E418" s="304">
        <f>E279</f>
        <v>3500</v>
      </c>
      <c r="F418" s="207">
        <f>C418*E418</f>
        <v>1748819.8</v>
      </c>
      <c r="G418" s="205">
        <f>G412*2</f>
        <v>518</v>
      </c>
      <c r="H418" s="263">
        <f t="shared" si="7"/>
        <v>499.6628</v>
      </c>
      <c r="I418" s="263">
        <v>499.6628</v>
      </c>
    </row>
    <row r="419" spans="1:9" x14ac:dyDescent="0.25">
      <c r="B419" s="233"/>
      <c r="C419" s="620"/>
      <c r="H419" s="263"/>
      <c r="I419" s="263"/>
    </row>
    <row r="420" spans="1:9" x14ac:dyDescent="0.25">
      <c r="A420" s="206" t="s">
        <v>12</v>
      </c>
      <c r="B420" s="214" t="s">
        <v>1032</v>
      </c>
      <c r="C420" s="620">
        <v>40.513199999999998</v>
      </c>
      <c r="D420" s="206" t="s">
        <v>511</v>
      </c>
      <c r="E420" s="304">
        <f>E418</f>
        <v>3500</v>
      </c>
      <c r="F420" s="207">
        <f>C420*E420</f>
        <v>141796.19999999998</v>
      </c>
      <c r="G420" s="205">
        <v>42</v>
      </c>
      <c r="H420" s="263">
        <f t="shared" si="7"/>
        <v>40.513199999999998</v>
      </c>
      <c r="I420" s="263">
        <v>40.513199999999998</v>
      </c>
    </row>
    <row r="421" spans="1:9" ht="14.25" customHeight="1" x14ac:dyDescent="0.25">
      <c r="C421" s="620"/>
      <c r="H421" s="263"/>
      <c r="I421" s="263"/>
    </row>
    <row r="422" spans="1:9" x14ac:dyDescent="0.25">
      <c r="B422" s="211" t="s">
        <v>585</v>
      </c>
      <c r="C422" s="620"/>
      <c r="H422" s="263"/>
      <c r="I422" s="263"/>
    </row>
    <row r="423" spans="1:9" x14ac:dyDescent="0.25">
      <c r="C423" s="620"/>
      <c r="H423" s="263"/>
      <c r="I423" s="263"/>
    </row>
    <row r="424" spans="1:9" x14ac:dyDescent="0.25">
      <c r="B424" s="219" t="s">
        <v>560</v>
      </c>
      <c r="C424" s="620"/>
      <c r="F424" s="230"/>
      <c r="H424" s="263"/>
      <c r="I424" s="263"/>
    </row>
    <row r="425" spans="1:9" x14ac:dyDescent="0.25">
      <c r="B425" s="219"/>
      <c r="C425" s="620"/>
      <c r="F425" s="230"/>
      <c r="H425" s="263"/>
      <c r="I425" s="263"/>
    </row>
    <row r="426" spans="1:9" x14ac:dyDescent="0.25">
      <c r="A426" s="206" t="s">
        <v>13</v>
      </c>
      <c r="B426" s="233" t="s">
        <v>586</v>
      </c>
      <c r="C426" s="620">
        <v>25.079599999999999</v>
      </c>
      <c r="D426" s="206" t="s">
        <v>511</v>
      </c>
      <c r="E426" s="304">
        <v>3200</v>
      </c>
      <c r="F426" s="207">
        <f>C426*E426</f>
        <v>80254.720000000001</v>
      </c>
      <c r="G426" s="205">
        <v>26</v>
      </c>
      <c r="H426" s="263">
        <f t="shared" si="7"/>
        <v>25.079599999999999</v>
      </c>
      <c r="I426" s="263">
        <v>25.079599999999999</v>
      </c>
    </row>
    <row r="427" spans="1:9" x14ac:dyDescent="0.25">
      <c r="B427" s="233"/>
      <c r="C427" s="620"/>
      <c r="H427" s="263"/>
      <c r="I427" s="263"/>
    </row>
    <row r="428" spans="1:9" x14ac:dyDescent="0.25">
      <c r="B428" s="220" t="s">
        <v>520</v>
      </c>
      <c r="C428" s="620"/>
      <c r="D428" s="209"/>
      <c r="E428" s="303" t="s">
        <v>15</v>
      </c>
      <c r="F428" s="222">
        <f>SUM(F387:F427)</f>
        <v>9950283.0700000003</v>
      </c>
      <c r="G428" s="221"/>
      <c r="H428" s="263"/>
      <c r="I428" s="263"/>
    </row>
    <row r="429" spans="1:9" x14ac:dyDescent="0.25">
      <c r="A429" s="209" t="s">
        <v>796</v>
      </c>
      <c r="B429" s="209"/>
      <c r="C429" s="620"/>
      <c r="D429" s="209" t="s">
        <v>765</v>
      </c>
      <c r="E429" s="388" t="s">
        <v>914</v>
      </c>
      <c r="F429" s="273" t="s">
        <v>768</v>
      </c>
      <c r="G429" s="221" t="s">
        <v>773</v>
      </c>
      <c r="H429" s="263"/>
      <c r="I429" s="263"/>
    </row>
    <row r="430" spans="1:9" x14ac:dyDescent="0.25">
      <c r="B430" s="210" t="s">
        <v>573</v>
      </c>
      <c r="C430" s="620"/>
      <c r="H430" s="263"/>
      <c r="I430" s="263"/>
    </row>
    <row r="431" spans="1:9" x14ac:dyDescent="0.25">
      <c r="B431" s="233"/>
      <c r="C431" s="620"/>
      <c r="H431" s="263"/>
      <c r="I431" s="263"/>
    </row>
    <row r="432" spans="1:9" x14ac:dyDescent="0.25">
      <c r="B432" s="210" t="s">
        <v>587</v>
      </c>
      <c r="C432" s="620"/>
      <c r="H432" s="263"/>
      <c r="I432" s="263"/>
    </row>
    <row r="433" spans="1:9" x14ac:dyDescent="0.25">
      <c r="B433" s="219"/>
      <c r="C433" s="620"/>
      <c r="H433" s="263"/>
      <c r="I433" s="263"/>
    </row>
    <row r="434" spans="1:9" x14ac:dyDescent="0.25">
      <c r="B434" s="252" t="s">
        <v>588</v>
      </c>
      <c r="C434" s="620"/>
      <c r="H434" s="263"/>
      <c r="I434" s="263"/>
    </row>
    <row r="435" spans="1:9" x14ac:dyDescent="0.25">
      <c r="B435" s="244"/>
      <c r="C435" s="620"/>
      <c r="H435" s="263"/>
      <c r="I435" s="263"/>
    </row>
    <row r="436" spans="1:9" x14ac:dyDescent="0.25">
      <c r="A436" s="206" t="s">
        <v>2</v>
      </c>
      <c r="B436" s="253" t="s">
        <v>589</v>
      </c>
      <c r="C436" s="620"/>
      <c r="D436" s="206" t="s">
        <v>511</v>
      </c>
      <c r="E436" s="304">
        <v>7100</v>
      </c>
      <c r="F436" s="207">
        <f>C436*E436</f>
        <v>0</v>
      </c>
      <c r="G436" s="205">
        <v>0</v>
      </c>
      <c r="H436" s="263"/>
      <c r="I436" s="263"/>
    </row>
    <row r="437" spans="1:9" ht="14.25" customHeight="1" x14ac:dyDescent="0.25">
      <c r="B437" s="254"/>
      <c r="C437" s="620"/>
      <c r="H437" s="263"/>
      <c r="I437" s="263"/>
    </row>
    <row r="438" spans="1:9" x14ac:dyDescent="0.25">
      <c r="A438" s="206" t="s">
        <v>4</v>
      </c>
      <c r="B438" s="233" t="s">
        <v>590</v>
      </c>
      <c r="C438" s="620"/>
      <c r="D438" s="206" t="s">
        <v>511</v>
      </c>
      <c r="E438" s="304">
        <f>E436</f>
        <v>7100</v>
      </c>
      <c r="F438" s="207">
        <f>C438*E438</f>
        <v>0</v>
      </c>
      <c r="G438" s="205">
        <v>0</v>
      </c>
      <c r="H438" s="263"/>
      <c r="I438" s="263"/>
    </row>
    <row r="439" spans="1:9" ht="12" customHeight="1" x14ac:dyDescent="0.25">
      <c r="B439" s="233"/>
      <c r="C439" s="620"/>
      <c r="H439" s="263"/>
      <c r="I439" s="263"/>
    </row>
    <row r="440" spans="1:9" x14ac:dyDescent="0.25">
      <c r="A440" s="206" t="s">
        <v>5</v>
      </c>
      <c r="B440" s="233" t="s">
        <v>591</v>
      </c>
      <c r="C440" s="620"/>
      <c r="D440" s="206" t="s">
        <v>3</v>
      </c>
      <c r="E440" s="304">
        <v>24000</v>
      </c>
      <c r="F440" s="207">
        <f>C440*E440</f>
        <v>0</v>
      </c>
      <c r="H440" s="263"/>
      <c r="I440" s="263"/>
    </row>
    <row r="441" spans="1:9" x14ac:dyDescent="0.25">
      <c r="B441" s="233"/>
      <c r="C441" s="620"/>
      <c r="H441" s="263"/>
      <c r="I441" s="263"/>
    </row>
    <row r="442" spans="1:9" s="269" customFormat="1" x14ac:dyDescent="0.25">
      <c r="A442" s="265"/>
      <c r="B442" s="266" t="s">
        <v>615</v>
      </c>
      <c r="C442" s="620"/>
      <c r="D442" s="265"/>
      <c r="E442" s="304"/>
      <c r="F442" s="268"/>
      <c r="G442" s="267"/>
      <c r="H442" s="263"/>
      <c r="I442" s="263"/>
    </row>
    <row r="443" spans="1:9" s="269" customFormat="1" ht="30" x14ac:dyDescent="0.25">
      <c r="A443" s="265"/>
      <c r="B443" s="270" t="s">
        <v>616</v>
      </c>
      <c r="C443" s="620"/>
      <c r="D443" s="265"/>
      <c r="E443" s="304"/>
      <c r="F443" s="268"/>
      <c r="G443" s="267"/>
      <c r="H443" s="263"/>
      <c r="I443" s="263"/>
    </row>
    <row r="444" spans="1:9" s="269" customFormat="1" x14ac:dyDescent="0.25">
      <c r="A444" s="265" t="s">
        <v>6</v>
      </c>
      <c r="B444" s="233" t="s">
        <v>24</v>
      </c>
      <c r="C444" s="620">
        <v>249.8314</v>
      </c>
      <c r="D444" s="265" t="s">
        <v>35</v>
      </c>
      <c r="E444" s="304">
        <v>1400</v>
      </c>
      <c r="F444" s="268">
        <f>E444*C444</f>
        <v>349763.96</v>
      </c>
      <c r="G444" s="262">
        <f>G412</f>
        <v>259</v>
      </c>
      <c r="H444" s="263">
        <f t="shared" si="7"/>
        <v>249.8314</v>
      </c>
      <c r="I444" s="263">
        <v>249.8314</v>
      </c>
    </row>
    <row r="445" spans="1:9" s="269" customFormat="1" x14ac:dyDescent="0.25">
      <c r="A445" s="265"/>
      <c r="B445" s="233"/>
      <c r="C445" s="620"/>
      <c r="D445" s="265"/>
      <c r="E445" s="304"/>
      <c r="F445" s="268"/>
      <c r="G445" s="262"/>
      <c r="H445" s="263"/>
      <c r="I445" s="263"/>
    </row>
    <row r="446" spans="1:9" s="269" customFormat="1" ht="24" customHeight="1" x14ac:dyDescent="0.25">
      <c r="A446" s="265" t="s">
        <v>7</v>
      </c>
      <c r="B446" s="214" t="s">
        <v>584</v>
      </c>
      <c r="C446" s="620">
        <v>34.7256</v>
      </c>
      <c r="D446" s="265" t="s">
        <v>22</v>
      </c>
      <c r="E446" s="304">
        <v>590</v>
      </c>
      <c r="F446" s="268">
        <f>E446*C446</f>
        <v>20488.103999999999</v>
      </c>
      <c r="G446" s="262">
        <v>36</v>
      </c>
      <c r="H446" s="263">
        <f t="shared" si="7"/>
        <v>34.7256</v>
      </c>
      <c r="I446" s="263">
        <v>34.7256</v>
      </c>
    </row>
    <row r="447" spans="1:9" x14ac:dyDescent="0.25">
      <c r="B447" s="211" t="s">
        <v>592</v>
      </c>
      <c r="C447" s="620"/>
      <c r="H447" s="263"/>
      <c r="I447" s="263"/>
    </row>
    <row r="448" spans="1:9" x14ac:dyDescent="0.25">
      <c r="C448" s="620"/>
      <c r="H448" s="263"/>
      <c r="I448" s="263"/>
    </row>
    <row r="449" spans="1:9" ht="30" x14ac:dyDescent="0.25">
      <c r="B449" s="224" t="s">
        <v>681</v>
      </c>
      <c r="C449" s="620"/>
      <c r="H449" s="263"/>
      <c r="I449" s="263"/>
    </row>
    <row r="450" spans="1:9" x14ac:dyDescent="0.25">
      <c r="C450" s="620"/>
      <c r="H450" s="263"/>
      <c r="I450" s="263"/>
    </row>
    <row r="451" spans="1:9" x14ac:dyDescent="0.25">
      <c r="A451" s="206" t="s">
        <v>8</v>
      </c>
      <c r="B451" s="233" t="s">
        <v>24</v>
      </c>
      <c r="C451" s="620">
        <v>499.6628</v>
      </c>
      <c r="D451" s="206" t="s">
        <v>35</v>
      </c>
      <c r="E451" s="304">
        <v>2200</v>
      </c>
      <c r="F451" s="289">
        <f>C451*E451</f>
        <v>1099258.1599999999</v>
      </c>
      <c r="G451" s="205">
        <f>G418</f>
        <v>518</v>
      </c>
      <c r="H451" s="263">
        <f t="shared" si="7"/>
        <v>499.6628</v>
      </c>
      <c r="I451" s="263">
        <v>499.6628</v>
      </c>
    </row>
    <row r="452" spans="1:9" x14ac:dyDescent="0.25">
      <c r="B452" s="233"/>
      <c r="C452" s="620"/>
      <c r="F452" s="289"/>
      <c r="H452" s="263"/>
      <c r="I452" s="263"/>
    </row>
    <row r="453" spans="1:9" x14ac:dyDescent="0.25">
      <c r="A453" s="206" t="s">
        <v>9</v>
      </c>
      <c r="B453" s="214" t="s">
        <v>584</v>
      </c>
      <c r="C453" s="620">
        <v>34.7256</v>
      </c>
      <c r="D453" s="206" t="s">
        <v>35</v>
      </c>
      <c r="E453" s="304">
        <f>E451</f>
        <v>2200</v>
      </c>
      <c r="F453" s="289">
        <f>C453*E453</f>
        <v>76396.320000000007</v>
      </c>
      <c r="G453" s="205">
        <f>G446</f>
        <v>36</v>
      </c>
      <c r="H453" s="263">
        <f t="shared" si="7"/>
        <v>34.7256</v>
      </c>
      <c r="I453" s="263">
        <v>34.7256</v>
      </c>
    </row>
    <row r="454" spans="1:9" x14ac:dyDescent="0.25">
      <c r="C454" s="620"/>
      <c r="F454" s="289"/>
      <c r="H454" s="263"/>
      <c r="I454" s="263"/>
    </row>
    <row r="455" spans="1:9" x14ac:dyDescent="0.25">
      <c r="B455" s="220" t="s">
        <v>520</v>
      </c>
      <c r="C455" s="620"/>
      <c r="D455" s="209"/>
      <c r="E455" s="303" t="s">
        <v>15</v>
      </c>
      <c r="F455" s="286">
        <f>SUM(F432:F454)</f>
        <v>1545906.544</v>
      </c>
      <c r="G455" s="221"/>
      <c r="H455" s="263"/>
      <c r="I455" s="263"/>
    </row>
    <row r="456" spans="1:9" x14ac:dyDescent="0.25">
      <c r="B456" s="220"/>
      <c r="C456" s="620"/>
      <c r="D456" s="209"/>
      <c r="E456" s="303"/>
      <c r="F456" s="286"/>
      <c r="G456" s="221"/>
      <c r="H456" s="263"/>
      <c r="I456" s="263"/>
    </row>
    <row r="457" spans="1:9" x14ac:dyDescent="0.25">
      <c r="B457" s="220"/>
      <c r="C457" s="620"/>
      <c r="D457" s="209"/>
      <c r="E457" s="303"/>
      <c r="F457" s="286"/>
      <c r="G457" s="221"/>
      <c r="H457" s="263"/>
      <c r="I457" s="263"/>
    </row>
    <row r="458" spans="1:9" x14ac:dyDescent="0.25">
      <c r="B458" s="210" t="s">
        <v>531</v>
      </c>
      <c r="C458" s="620"/>
      <c r="F458" s="230"/>
      <c r="H458" s="263"/>
      <c r="I458" s="263"/>
    </row>
    <row r="459" spans="1:9" x14ac:dyDescent="0.25">
      <c r="B459" s="219"/>
      <c r="C459" s="620"/>
      <c r="F459" s="230"/>
      <c r="H459" s="263"/>
      <c r="I459" s="263"/>
    </row>
    <row r="460" spans="1:9" x14ac:dyDescent="0.25">
      <c r="B460" s="231" t="s">
        <v>457</v>
      </c>
      <c r="C460" s="620"/>
      <c r="E460" s="304">
        <f>F383</f>
        <v>10384594.219999999</v>
      </c>
      <c r="F460" s="230"/>
      <c r="H460" s="263"/>
      <c r="I460" s="263"/>
    </row>
    <row r="461" spans="1:9" x14ac:dyDescent="0.25">
      <c r="B461" s="231"/>
      <c r="C461" s="620"/>
      <c r="F461" s="230"/>
      <c r="H461" s="263"/>
      <c r="I461" s="263"/>
    </row>
    <row r="462" spans="1:9" x14ac:dyDescent="0.25">
      <c r="B462" s="231" t="s">
        <v>458</v>
      </c>
      <c r="C462" s="620"/>
      <c r="E462" s="304">
        <f>F428</f>
        <v>9950283.0700000003</v>
      </c>
      <c r="F462" s="230"/>
      <c r="H462" s="263"/>
      <c r="I462" s="263"/>
    </row>
    <row r="463" spans="1:9" x14ac:dyDescent="0.25">
      <c r="B463" s="231"/>
      <c r="C463" s="620"/>
      <c r="H463" s="263"/>
      <c r="I463" s="263"/>
    </row>
    <row r="464" spans="1:9" x14ac:dyDescent="0.25">
      <c r="B464" s="231" t="s">
        <v>459</v>
      </c>
      <c r="C464" s="620"/>
      <c r="E464" s="304">
        <f>F455</f>
        <v>1545906.544</v>
      </c>
      <c r="H464" s="263"/>
      <c r="I464" s="263"/>
    </row>
    <row r="465" spans="1:9" x14ac:dyDescent="0.25">
      <c r="B465" s="233"/>
      <c r="C465" s="620"/>
      <c r="H465" s="263"/>
      <c r="I465" s="263"/>
    </row>
    <row r="466" spans="1:9" x14ac:dyDescent="0.25">
      <c r="B466" s="233"/>
      <c r="C466" s="620"/>
      <c r="H466" s="263"/>
      <c r="I466" s="263"/>
    </row>
    <row r="467" spans="1:9" x14ac:dyDescent="0.25">
      <c r="B467" s="233"/>
      <c r="C467" s="620"/>
      <c r="H467" s="263"/>
      <c r="I467" s="263"/>
    </row>
    <row r="468" spans="1:9" x14ac:dyDescent="0.25">
      <c r="B468" s="233"/>
      <c r="C468" s="620"/>
      <c r="H468" s="263"/>
      <c r="I468" s="263"/>
    </row>
    <row r="469" spans="1:9" x14ac:dyDescent="0.25">
      <c r="B469" s="233"/>
      <c r="C469" s="620"/>
      <c r="H469" s="263"/>
      <c r="I469" s="263"/>
    </row>
    <row r="470" spans="1:9" x14ac:dyDescent="0.25">
      <c r="B470" s="233"/>
      <c r="C470" s="620"/>
      <c r="H470" s="263"/>
      <c r="I470" s="263"/>
    </row>
    <row r="471" spans="1:9" x14ac:dyDescent="0.25">
      <c r="B471" s="210" t="s">
        <v>163</v>
      </c>
      <c r="C471" s="620"/>
      <c r="F471" s="230"/>
      <c r="H471" s="263"/>
      <c r="I471" s="263"/>
    </row>
    <row r="472" spans="1:9" x14ac:dyDescent="0.25">
      <c r="B472" s="220" t="s">
        <v>534</v>
      </c>
      <c r="C472" s="620"/>
      <c r="D472" s="209"/>
      <c r="E472" s="303" t="s">
        <v>15</v>
      </c>
      <c r="F472" s="286">
        <f>SUM(E458:E465)</f>
        <v>21880783.833999999</v>
      </c>
      <c r="G472" s="221"/>
      <c r="H472" s="263"/>
      <c r="I472" s="263"/>
    </row>
    <row r="473" spans="1:9" x14ac:dyDescent="0.25">
      <c r="A473" s="209" t="s">
        <v>796</v>
      </c>
      <c r="B473" s="209"/>
      <c r="C473" s="620"/>
      <c r="D473" s="209" t="s">
        <v>765</v>
      </c>
      <c r="E473" s="388" t="s">
        <v>914</v>
      </c>
      <c r="F473" s="273" t="s">
        <v>768</v>
      </c>
      <c r="G473" s="221" t="s">
        <v>773</v>
      </c>
      <c r="H473" s="263"/>
      <c r="I473" s="263"/>
    </row>
    <row r="474" spans="1:9" x14ac:dyDescent="0.25">
      <c r="B474" s="204" t="s">
        <v>593</v>
      </c>
      <c r="C474" s="620"/>
      <c r="F474" s="230"/>
      <c r="H474" s="263"/>
      <c r="I474" s="263"/>
    </row>
    <row r="475" spans="1:9" x14ac:dyDescent="0.25">
      <c r="C475" s="620"/>
      <c r="F475" s="230"/>
      <c r="H475" s="263"/>
      <c r="I475" s="263"/>
    </row>
    <row r="476" spans="1:9" x14ac:dyDescent="0.25">
      <c r="B476" s="210" t="s">
        <v>195</v>
      </c>
      <c r="C476" s="620"/>
      <c r="F476" s="230"/>
      <c r="H476" s="263"/>
      <c r="I476" s="263"/>
    </row>
    <row r="477" spans="1:9" x14ac:dyDescent="0.25">
      <c r="B477" s="210"/>
      <c r="C477" s="620"/>
      <c r="F477" s="230"/>
      <c r="H477" s="263"/>
      <c r="I477" s="263"/>
    </row>
    <row r="478" spans="1:9" x14ac:dyDescent="0.25">
      <c r="B478" s="211" t="s">
        <v>84</v>
      </c>
      <c r="C478" s="620"/>
      <c r="D478" s="209"/>
      <c r="E478" s="303"/>
      <c r="F478" s="286"/>
      <c r="G478" s="221"/>
      <c r="H478" s="263"/>
      <c r="I478" s="263"/>
    </row>
    <row r="479" spans="1:9" x14ac:dyDescent="0.25">
      <c r="B479" s="226"/>
      <c r="C479" s="620"/>
      <c r="D479" s="209"/>
      <c r="E479" s="303"/>
      <c r="F479" s="286"/>
      <c r="G479" s="221"/>
      <c r="H479" s="263"/>
      <c r="I479" s="263"/>
    </row>
    <row r="480" spans="1:9" ht="30" x14ac:dyDescent="0.25">
      <c r="B480" s="224" t="s">
        <v>594</v>
      </c>
      <c r="C480" s="620"/>
      <c r="D480" s="209"/>
      <c r="E480" s="303"/>
      <c r="F480" s="286"/>
      <c r="G480" s="221"/>
      <c r="H480" s="263"/>
      <c r="I480" s="263"/>
    </row>
    <row r="481" spans="1:9" x14ac:dyDescent="0.25">
      <c r="B481" s="224"/>
      <c r="C481" s="620"/>
      <c r="D481" s="209"/>
      <c r="E481" s="303"/>
      <c r="F481" s="286"/>
      <c r="G481" s="221"/>
      <c r="H481" s="263"/>
      <c r="I481" s="263"/>
    </row>
    <row r="482" spans="1:9" x14ac:dyDescent="0.25">
      <c r="A482" s="206" t="s">
        <v>2</v>
      </c>
      <c r="B482" s="214" t="s">
        <v>595</v>
      </c>
      <c r="C482" s="620">
        <v>925.05140000000006</v>
      </c>
      <c r="D482" s="206" t="s">
        <v>511</v>
      </c>
      <c r="E482" s="304">
        <f>E412</f>
        <v>10300</v>
      </c>
      <c r="F482" s="289">
        <f>C482*E482</f>
        <v>9528029.4199999999</v>
      </c>
      <c r="G482" s="205">
        <v>959</v>
      </c>
      <c r="H482" s="263">
        <f t="shared" ref="H482:H506" si="8">G482-G482*3.54%</f>
        <v>925.05140000000006</v>
      </c>
      <c r="I482" s="263">
        <v>925.05140000000006</v>
      </c>
    </row>
    <row r="483" spans="1:9" x14ac:dyDescent="0.25">
      <c r="B483" s="210"/>
      <c r="C483" s="620"/>
      <c r="F483" s="291"/>
      <c r="H483" s="263"/>
      <c r="I483" s="263"/>
    </row>
    <row r="484" spans="1:9" x14ac:dyDescent="0.25">
      <c r="A484" s="206" t="s">
        <v>4</v>
      </c>
      <c r="B484" s="214" t="s">
        <v>596</v>
      </c>
      <c r="C484" s="620"/>
      <c r="D484" s="206" t="s">
        <v>511</v>
      </c>
      <c r="E484" s="304">
        <v>8400</v>
      </c>
      <c r="F484" s="289">
        <f>C484*E484</f>
        <v>0</v>
      </c>
      <c r="H484" s="263"/>
      <c r="I484" s="263"/>
    </row>
    <row r="485" spans="1:9" x14ac:dyDescent="0.25">
      <c r="C485" s="620"/>
      <c r="F485" s="257"/>
      <c r="G485" s="256"/>
      <c r="H485" s="263"/>
      <c r="I485" s="263"/>
    </row>
    <row r="486" spans="1:9" ht="29.25" customHeight="1" x14ac:dyDescent="0.25">
      <c r="B486" s="228" t="s">
        <v>923</v>
      </c>
      <c r="C486" s="620"/>
      <c r="D486" s="389"/>
      <c r="E486" s="206"/>
      <c r="G486" s="214"/>
      <c r="H486" s="263"/>
      <c r="I486" s="263"/>
    </row>
    <row r="487" spans="1:9" ht="29.25" customHeight="1" x14ac:dyDescent="0.25">
      <c r="A487" s="206" t="s">
        <v>5</v>
      </c>
      <c r="B487" s="215" t="s">
        <v>924</v>
      </c>
      <c r="C487" s="620"/>
      <c r="D487" s="206" t="s">
        <v>511</v>
      </c>
      <c r="E487" s="390">
        <v>9500</v>
      </c>
      <c r="F487" s="207">
        <f>C487*E487</f>
        <v>0</v>
      </c>
      <c r="G487" s="391"/>
      <c r="H487" s="263"/>
      <c r="I487" s="263"/>
    </row>
    <row r="488" spans="1:9" x14ac:dyDescent="0.25">
      <c r="B488" s="211" t="s">
        <v>98</v>
      </c>
      <c r="C488" s="620"/>
      <c r="F488" s="230"/>
      <c r="H488" s="263"/>
      <c r="I488" s="263"/>
    </row>
    <row r="489" spans="1:9" x14ac:dyDescent="0.25">
      <c r="C489" s="620"/>
      <c r="F489" s="230"/>
      <c r="H489" s="263"/>
      <c r="I489" s="263"/>
    </row>
    <row r="490" spans="1:9" ht="17.25" customHeight="1" x14ac:dyDescent="0.25">
      <c r="B490" s="219" t="s">
        <v>666</v>
      </c>
      <c r="C490" s="620"/>
      <c r="F490" s="230"/>
      <c r="H490" s="263"/>
      <c r="I490" s="263"/>
    </row>
    <row r="491" spans="1:9" ht="14.25" customHeight="1" x14ac:dyDescent="0.25">
      <c r="B491" s="219"/>
      <c r="C491" s="620"/>
      <c r="F491" s="230"/>
      <c r="H491" s="263"/>
      <c r="I491" s="263"/>
    </row>
    <row r="492" spans="1:9" x14ac:dyDescent="0.25">
      <c r="A492" s="206" t="s">
        <v>6</v>
      </c>
      <c r="B492" s="214" t="s">
        <v>597</v>
      </c>
      <c r="C492" s="620">
        <v>2.8938000000000001</v>
      </c>
      <c r="D492" s="206" t="s">
        <v>513</v>
      </c>
      <c r="E492" s="304">
        <f>E123</f>
        <v>95000</v>
      </c>
      <c r="F492" s="230">
        <f>C492*E492</f>
        <v>274911</v>
      </c>
      <c r="G492" s="205">
        <v>3</v>
      </c>
      <c r="H492" s="263">
        <f t="shared" si="8"/>
        <v>2.8938000000000001</v>
      </c>
      <c r="I492" s="263">
        <v>2.8938000000000001</v>
      </c>
    </row>
    <row r="493" spans="1:9" x14ac:dyDescent="0.25">
      <c r="C493" s="620"/>
      <c r="F493" s="230"/>
      <c r="G493" s="205" t="s">
        <v>20</v>
      </c>
      <c r="H493" s="263"/>
      <c r="I493" s="263"/>
    </row>
    <row r="494" spans="1:9" x14ac:dyDescent="0.25">
      <c r="B494" s="211" t="s">
        <v>102</v>
      </c>
      <c r="C494" s="620"/>
      <c r="F494" s="230"/>
      <c r="H494" s="263"/>
      <c r="I494" s="263"/>
    </row>
    <row r="495" spans="1:9" ht="14.25" customHeight="1" x14ac:dyDescent="0.25">
      <c r="B495" s="219"/>
      <c r="C495" s="620"/>
      <c r="F495" s="230"/>
      <c r="H495" s="263"/>
      <c r="I495" s="263"/>
    </row>
    <row r="496" spans="1:9" x14ac:dyDescent="0.25">
      <c r="B496" s="219" t="s">
        <v>598</v>
      </c>
      <c r="C496" s="620"/>
      <c r="F496" s="230"/>
      <c r="H496" s="263"/>
      <c r="I496" s="263"/>
    </row>
    <row r="497" spans="1:9" ht="12.75" customHeight="1" x14ac:dyDescent="0.25">
      <c r="C497" s="620"/>
      <c r="F497" s="230"/>
      <c r="H497" s="263"/>
      <c r="I497" s="263"/>
    </row>
    <row r="498" spans="1:9" x14ac:dyDescent="0.25">
      <c r="A498" s="206" t="s">
        <v>6</v>
      </c>
      <c r="B498" s="214" t="s">
        <v>571</v>
      </c>
      <c r="C498" s="620">
        <v>162.05279999999999</v>
      </c>
      <c r="D498" s="206" t="s">
        <v>75</v>
      </c>
      <c r="E498" s="304">
        <f>E362</f>
        <v>1450</v>
      </c>
      <c r="F498" s="230">
        <f>C498*E498</f>
        <v>234976.56</v>
      </c>
      <c r="G498" s="205">
        <v>168</v>
      </c>
      <c r="H498" s="263">
        <f t="shared" si="8"/>
        <v>162.05279999999999</v>
      </c>
      <c r="I498" s="263">
        <v>162.05279999999999</v>
      </c>
    </row>
    <row r="499" spans="1:9" x14ac:dyDescent="0.25">
      <c r="C499" s="620"/>
      <c r="F499" s="230"/>
      <c r="H499" s="263"/>
      <c r="I499" s="263"/>
    </row>
    <row r="500" spans="1:9" x14ac:dyDescent="0.25">
      <c r="A500" s="206" t="s">
        <v>7</v>
      </c>
      <c r="B500" s="214" t="s">
        <v>599</v>
      </c>
      <c r="C500" s="620">
        <v>85.849400000000003</v>
      </c>
      <c r="D500" s="206" t="s">
        <v>75</v>
      </c>
      <c r="E500" s="304">
        <f>E498</f>
        <v>1450</v>
      </c>
      <c r="F500" s="230">
        <f>C500*E500</f>
        <v>124481.63</v>
      </c>
      <c r="G500" s="205">
        <v>89</v>
      </c>
      <c r="H500" s="263">
        <f t="shared" si="8"/>
        <v>85.849400000000003</v>
      </c>
      <c r="I500" s="263">
        <v>85.849400000000003</v>
      </c>
    </row>
    <row r="501" spans="1:9" ht="14.25" customHeight="1" x14ac:dyDescent="0.25">
      <c r="C501" s="620"/>
      <c r="F501" s="230"/>
      <c r="H501" s="263"/>
      <c r="I501" s="263"/>
    </row>
    <row r="502" spans="1:9" x14ac:dyDescent="0.25">
      <c r="B502" s="211" t="s">
        <v>67</v>
      </c>
      <c r="C502" s="620"/>
      <c r="F502" s="230"/>
      <c r="H502" s="263"/>
      <c r="I502" s="263"/>
    </row>
    <row r="503" spans="1:9" ht="15" customHeight="1" x14ac:dyDescent="0.25">
      <c r="C503" s="620"/>
      <c r="F503" s="230"/>
      <c r="H503" s="263"/>
      <c r="I503" s="263"/>
    </row>
    <row r="504" spans="1:9" x14ac:dyDescent="0.25">
      <c r="B504" s="219" t="s">
        <v>120</v>
      </c>
      <c r="C504" s="620"/>
      <c r="F504" s="230"/>
      <c r="H504" s="263"/>
      <c r="I504" s="263"/>
    </row>
    <row r="505" spans="1:9" ht="9.75" customHeight="1" x14ac:dyDescent="0.25">
      <c r="C505" s="620"/>
      <c r="F505" s="230"/>
      <c r="H505" s="263"/>
      <c r="I505" s="263"/>
    </row>
    <row r="506" spans="1:9" x14ac:dyDescent="0.25">
      <c r="A506" s="206" t="s">
        <v>8</v>
      </c>
      <c r="B506" s="214" t="s">
        <v>600</v>
      </c>
      <c r="C506" s="620">
        <v>29.9026</v>
      </c>
      <c r="D506" s="206" t="s">
        <v>511</v>
      </c>
      <c r="E506" s="304">
        <f>E371</f>
        <v>8500</v>
      </c>
      <c r="F506" s="230">
        <f>C506*E506</f>
        <v>254172.1</v>
      </c>
      <c r="G506" s="205">
        <v>31</v>
      </c>
      <c r="H506" s="263">
        <f t="shared" si="8"/>
        <v>29.9026</v>
      </c>
      <c r="I506" s="263">
        <v>29.9026</v>
      </c>
    </row>
    <row r="507" spans="1:9" x14ac:dyDescent="0.25">
      <c r="B507" s="219"/>
      <c r="C507" s="620"/>
      <c r="F507" s="227"/>
      <c r="H507" s="263"/>
      <c r="I507" s="263"/>
    </row>
    <row r="508" spans="1:9" x14ac:dyDescent="0.25">
      <c r="C508" s="620"/>
      <c r="F508" s="261"/>
      <c r="H508" s="263"/>
      <c r="I508" s="263"/>
    </row>
    <row r="509" spans="1:9" x14ac:dyDescent="0.25">
      <c r="C509" s="620"/>
      <c r="F509" s="227"/>
      <c r="H509" s="263"/>
      <c r="I509" s="263"/>
    </row>
    <row r="510" spans="1:9" x14ac:dyDescent="0.25">
      <c r="B510" s="219"/>
      <c r="C510" s="620"/>
      <c r="F510" s="230"/>
      <c r="H510" s="263"/>
      <c r="I510" s="263"/>
    </row>
    <row r="511" spans="1:9" x14ac:dyDescent="0.25">
      <c r="B511" s="219"/>
      <c r="C511" s="620"/>
      <c r="F511" s="230"/>
      <c r="H511" s="263"/>
      <c r="I511" s="263"/>
    </row>
    <row r="512" spans="1:9" x14ac:dyDescent="0.25">
      <c r="B512" s="224"/>
      <c r="C512" s="620"/>
      <c r="F512" s="230"/>
      <c r="H512" s="263"/>
      <c r="I512" s="263"/>
    </row>
    <row r="513" spans="1:13" x14ac:dyDescent="0.25">
      <c r="C513" s="620"/>
      <c r="F513" s="257"/>
      <c r="H513" s="263"/>
      <c r="I513" s="263"/>
    </row>
    <row r="514" spans="1:13" x14ac:dyDescent="0.25">
      <c r="C514" s="620"/>
      <c r="F514" s="257"/>
      <c r="H514" s="263"/>
      <c r="I514" s="263"/>
    </row>
    <row r="515" spans="1:13" x14ac:dyDescent="0.25">
      <c r="B515" s="210" t="s">
        <v>195</v>
      </c>
      <c r="C515" s="620"/>
      <c r="D515" s="209"/>
      <c r="E515" s="303"/>
      <c r="F515" s="235"/>
      <c r="G515" s="221"/>
      <c r="H515" s="263"/>
      <c r="I515" s="263"/>
    </row>
    <row r="516" spans="1:13" ht="18.75" customHeight="1" x14ac:dyDescent="0.25">
      <c r="B516" s="220" t="s">
        <v>534</v>
      </c>
      <c r="C516" s="620"/>
      <c r="D516" s="209"/>
      <c r="E516" s="303" t="s">
        <v>15</v>
      </c>
      <c r="F516" s="235">
        <f>SUM(F480:F515)</f>
        <v>10416570.710000001</v>
      </c>
      <c r="G516" s="221"/>
      <c r="H516" s="263"/>
      <c r="I516" s="263"/>
    </row>
    <row r="517" spans="1:13" x14ac:dyDescent="0.25">
      <c r="A517" s="209" t="s">
        <v>796</v>
      </c>
      <c r="B517" s="209"/>
      <c r="C517" s="620"/>
      <c r="D517" s="209" t="s">
        <v>765</v>
      </c>
      <c r="E517" s="388" t="s">
        <v>914</v>
      </c>
      <c r="F517" s="273" t="s">
        <v>768</v>
      </c>
      <c r="G517" s="221" t="s">
        <v>773</v>
      </c>
      <c r="H517" s="263"/>
      <c r="I517" s="263"/>
    </row>
    <row r="518" spans="1:13" x14ac:dyDescent="0.25">
      <c r="B518" s="210" t="s">
        <v>601</v>
      </c>
      <c r="C518" s="620"/>
      <c r="F518" s="230"/>
      <c r="H518" s="263"/>
      <c r="I518" s="263"/>
    </row>
    <row r="519" spans="1:13" ht="8.25" customHeight="1" x14ac:dyDescent="0.25">
      <c r="B519" s="220"/>
      <c r="C519" s="620"/>
      <c r="F519" s="230"/>
      <c r="H519" s="263"/>
      <c r="I519" s="263"/>
    </row>
    <row r="520" spans="1:13" x14ac:dyDescent="0.25">
      <c r="B520" s="210" t="s">
        <v>602</v>
      </c>
      <c r="C520" s="620"/>
      <c r="F520" s="230"/>
      <c r="H520" s="263"/>
      <c r="I520" s="263"/>
    </row>
    <row r="521" spans="1:13" ht="10.5" customHeight="1" x14ac:dyDescent="0.25">
      <c r="C521" s="620"/>
      <c r="F521" s="230"/>
      <c r="H521" s="263"/>
      <c r="I521" s="263"/>
    </row>
    <row r="522" spans="1:13" x14ac:dyDescent="0.25">
      <c r="B522" s="211" t="s">
        <v>203</v>
      </c>
      <c r="C522" s="620"/>
      <c r="D522" s="209"/>
      <c r="E522" s="303"/>
      <c r="F522" s="286"/>
      <c r="G522" s="221"/>
      <c r="H522" s="263"/>
      <c r="I522" s="263"/>
    </row>
    <row r="523" spans="1:13" ht="9" customHeight="1" x14ac:dyDescent="0.25">
      <c r="B523" s="220"/>
      <c r="C523" s="620"/>
      <c r="D523" s="209"/>
      <c r="E523" s="303"/>
      <c r="F523" s="286"/>
      <c r="G523" s="221"/>
      <c r="H523" s="263"/>
      <c r="I523" s="263"/>
    </row>
    <row r="524" spans="1:13" x14ac:dyDescent="0.25">
      <c r="B524" s="214" t="s">
        <v>603</v>
      </c>
      <c r="C524" s="620"/>
      <c r="F524" s="230"/>
      <c r="H524" s="263"/>
      <c r="I524" s="263"/>
    </row>
    <row r="525" spans="1:13" ht="91.5" customHeight="1" x14ac:dyDescent="0.25">
      <c r="B525" s="218" t="s">
        <v>708</v>
      </c>
      <c r="C525" s="620"/>
      <c r="H525" s="263"/>
      <c r="I525" s="263"/>
      <c r="J525" s="214"/>
      <c r="K525" s="214"/>
      <c r="L525" s="214"/>
      <c r="M525" s="214"/>
    </row>
    <row r="526" spans="1:13" x14ac:dyDescent="0.25">
      <c r="B526" s="218"/>
      <c r="C526" s="620"/>
      <c r="H526" s="263"/>
      <c r="I526" s="263"/>
      <c r="J526" s="214"/>
      <c r="K526" s="214"/>
      <c r="L526" s="214"/>
      <c r="M526" s="214"/>
    </row>
    <row r="527" spans="1:13" ht="14.25" customHeight="1" x14ac:dyDescent="0.25">
      <c r="A527" s="206" t="s">
        <v>2</v>
      </c>
      <c r="B527" s="214" t="s">
        <v>1014</v>
      </c>
      <c r="C527" s="620">
        <v>48</v>
      </c>
      <c r="D527" s="206" t="s">
        <v>3</v>
      </c>
      <c r="E527" s="304">
        <v>175500</v>
      </c>
      <c r="F527" s="230">
        <f>E527*C527</f>
        <v>8424000</v>
      </c>
      <c r="G527" s="205">
        <v>18</v>
      </c>
      <c r="H527" s="263">
        <f t="shared" ref="H527:H581" si="9">G527-G527*3.54%</f>
        <v>17.3628</v>
      </c>
      <c r="I527" s="263">
        <v>17.3628</v>
      </c>
      <c r="J527" s="259"/>
      <c r="K527" s="214"/>
    </row>
    <row r="528" spans="1:13" x14ac:dyDescent="0.25">
      <c r="C528" s="620"/>
      <c r="F528" s="230"/>
      <c r="H528" s="263"/>
      <c r="I528" s="263"/>
      <c r="J528" s="259"/>
      <c r="K528" s="214"/>
    </row>
    <row r="529" spans="1:13" ht="14.25" customHeight="1" x14ac:dyDescent="0.25">
      <c r="A529" s="206" t="s">
        <v>4</v>
      </c>
      <c r="B529" s="214" t="s">
        <v>1015</v>
      </c>
      <c r="C529" s="620">
        <v>5.7876000000000003</v>
      </c>
      <c r="D529" s="206" t="s">
        <v>3</v>
      </c>
      <c r="E529" s="304">
        <v>140400</v>
      </c>
      <c r="F529" s="230">
        <f>E529*C529</f>
        <v>812579.04</v>
      </c>
      <c r="G529" s="205">
        <v>6</v>
      </c>
      <c r="H529" s="263">
        <f t="shared" si="9"/>
        <v>5.7876000000000003</v>
      </c>
      <c r="I529" s="263">
        <v>5.7876000000000003</v>
      </c>
      <c r="J529" s="259"/>
      <c r="K529" s="214"/>
    </row>
    <row r="530" spans="1:13" ht="14.25" customHeight="1" x14ac:dyDescent="0.25">
      <c r="C530" s="620"/>
      <c r="F530" s="230"/>
      <c r="H530" s="263"/>
      <c r="I530" s="263"/>
      <c r="J530" s="259"/>
      <c r="K530" s="214"/>
    </row>
    <row r="531" spans="1:13" ht="14.25" customHeight="1" x14ac:dyDescent="0.25">
      <c r="A531" s="206" t="s">
        <v>5</v>
      </c>
      <c r="B531" s="214" t="s">
        <v>994</v>
      </c>
      <c r="C531" s="620">
        <v>6</v>
      </c>
      <c r="D531" s="206" t="s">
        <v>3</v>
      </c>
      <c r="E531" s="304">
        <v>105300</v>
      </c>
      <c r="F531" s="230">
        <f>E531*C531</f>
        <v>631800</v>
      </c>
      <c r="G531" s="205">
        <v>24</v>
      </c>
      <c r="H531" s="263">
        <f t="shared" si="9"/>
        <v>23.150400000000001</v>
      </c>
      <c r="I531" s="263">
        <v>23.150400000000001</v>
      </c>
      <c r="J531" s="259"/>
      <c r="K531" s="214"/>
    </row>
    <row r="532" spans="1:13" ht="14.25" customHeight="1" x14ac:dyDescent="0.25">
      <c r="C532" s="620"/>
      <c r="F532" s="230"/>
      <c r="H532" s="263"/>
      <c r="I532" s="263"/>
      <c r="J532" s="259"/>
      <c r="K532" s="214"/>
    </row>
    <row r="533" spans="1:13" ht="22.5" customHeight="1" x14ac:dyDescent="0.25">
      <c r="A533" s="206" t="s">
        <v>6</v>
      </c>
      <c r="B533" s="214" t="s">
        <v>995</v>
      </c>
      <c r="C533" s="620">
        <v>5.7876000000000003</v>
      </c>
      <c r="D533" s="206" t="s">
        <v>3</v>
      </c>
      <c r="E533" s="304">
        <v>70200</v>
      </c>
      <c r="F533" s="207">
        <f>E533*C533</f>
        <v>406289.52</v>
      </c>
      <c r="G533" s="205">
        <v>6</v>
      </c>
      <c r="H533" s="263">
        <f t="shared" si="9"/>
        <v>5.7876000000000003</v>
      </c>
      <c r="I533" s="263">
        <v>5.7876000000000003</v>
      </c>
    </row>
    <row r="534" spans="1:13" ht="14.25" customHeight="1" x14ac:dyDescent="0.25">
      <c r="C534" s="620"/>
      <c r="F534" s="230"/>
      <c r="H534" s="263"/>
      <c r="I534" s="263"/>
      <c r="J534" s="259"/>
      <c r="K534" s="214"/>
    </row>
    <row r="535" spans="1:13" ht="22.5" customHeight="1" x14ac:dyDescent="0.25">
      <c r="A535" s="206" t="s">
        <v>7</v>
      </c>
      <c r="B535" s="214" t="s">
        <v>929</v>
      </c>
      <c r="C535" s="620">
        <v>24</v>
      </c>
      <c r="D535" s="206" t="s">
        <v>3</v>
      </c>
      <c r="E535" s="304">
        <v>46800</v>
      </c>
      <c r="F535" s="207">
        <f>E535*C535</f>
        <v>1123200</v>
      </c>
      <c r="G535" s="205">
        <v>24</v>
      </c>
      <c r="H535" s="263">
        <f t="shared" si="9"/>
        <v>23.150400000000001</v>
      </c>
      <c r="I535" s="263">
        <v>23.150400000000001</v>
      </c>
    </row>
    <row r="536" spans="1:13" ht="14.25" customHeight="1" x14ac:dyDescent="0.25">
      <c r="C536" s="620"/>
      <c r="F536" s="230"/>
      <c r="H536" s="263"/>
      <c r="I536" s="263"/>
      <c r="J536" s="259"/>
      <c r="K536" s="214"/>
    </row>
    <row r="537" spans="1:13" ht="11.45" customHeight="1" x14ac:dyDescent="0.25">
      <c r="C537" s="620"/>
      <c r="E537" s="304">
        <v>0</v>
      </c>
      <c r="F537" s="230"/>
      <c r="H537" s="263"/>
      <c r="I537" s="263"/>
    </row>
    <row r="538" spans="1:13" x14ac:dyDescent="0.25">
      <c r="B538" s="234" t="s">
        <v>682</v>
      </c>
      <c r="C538" s="620"/>
      <c r="H538" s="263"/>
      <c r="I538" s="263"/>
      <c r="J538" s="214"/>
      <c r="K538" s="214"/>
      <c r="L538" s="214"/>
      <c r="M538" s="214"/>
    </row>
    <row r="539" spans="1:13" x14ac:dyDescent="0.25">
      <c r="B539" s="234"/>
      <c r="C539" s="620"/>
      <c r="H539" s="263"/>
      <c r="I539" s="263"/>
      <c r="J539" s="214"/>
      <c r="K539" s="214"/>
      <c r="L539" s="214"/>
      <c r="M539" s="214"/>
    </row>
    <row r="540" spans="1:13" ht="19.149999999999999" customHeight="1" x14ac:dyDescent="0.25">
      <c r="A540" s="206" t="s">
        <v>8</v>
      </c>
      <c r="B540" s="214" t="s">
        <v>1014</v>
      </c>
      <c r="C540" s="620">
        <f>C527</f>
        <v>48</v>
      </c>
      <c r="D540" s="206" t="s">
        <v>3</v>
      </c>
      <c r="E540" s="304">
        <v>17550</v>
      </c>
      <c r="F540" s="230">
        <f>E540*C540</f>
        <v>842400</v>
      </c>
      <c r="G540" s="205">
        <f>G527</f>
        <v>18</v>
      </c>
      <c r="H540" s="263">
        <f t="shared" si="9"/>
        <v>17.3628</v>
      </c>
      <c r="I540" s="263">
        <v>17.3628</v>
      </c>
      <c r="J540" s="259"/>
      <c r="K540" s="214"/>
    </row>
    <row r="541" spans="1:13" ht="14.25" customHeight="1" x14ac:dyDescent="0.25">
      <c r="C541" s="620"/>
      <c r="F541" s="230"/>
      <c r="H541" s="263"/>
      <c r="I541" s="263"/>
      <c r="J541" s="259"/>
      <c r="K541" s="214"/>
    </row>
    <row r="542" spans="1:13" ht="14.25" customHeight="1" x14ac:dyDescent="0.25">
      <c r="A542" s="206" t="s">
        <v>9</v>
      </c>
      <c r="B542" s="214" t="s">
        <v>1015</v>
      </c>
      <c r="C542" s="620">
        <v>5.7876000000000003</v>
      </c>
      <c r="D542" s="206" t="s">
        <v>3</v>
      </c>
      <c r="E542" s="304">
        <v>14040</v>
      </c>
      <c r="F542" s="230">
        <f>E542*C542</f>
        <v>81257.90400000001</v>
      </c>
      <c r="G542" s="205">
        <f>G529</f>
        <v>6</v>
      </c>
      <c r="H542" s="263">
        <f t="shared" si="9"/>
        <v>5.7876000000000003</v>
      </c>
      <c r="I542" s="263">
        <v>5.7876000000000003</v>
      </c>
      <c r="J542" s="259"/>
      <c r="K542" s="214"/>
    </row>
    <row r="543" spans="1:13" ht="14.25" customHeight="1" x14ac:dyDescent="0.25">
      <c r="C543" s="620"/>
      <c r="F543" s="230"/>
      <c r="H543" s="263"/>
      <c r="I543" s="263"/>
      <c r="J543" s="259"/>
      <c r="K543" s="214"/>
    </row>
    <row r="544" spans="1:13" ht="14.25" customHeight="1" x14ac:dyDescent="0.25">
      <c r="A544" s="206" t="s">
        <v>10</v>
      </c>
      <c r="B544" s="214" t="s">
        <v>994</v>
      </c>
      <c r="C544" s="620">
        <v>6</v>
      </c>
      <c r="D544" s="206" t="s">
        <v>3</v>
      </c>
      <c r="E544" s="304">
        <v>10530</v>
      </c>
      <c r="F544" s="230">
        <f>E544*C544</f>
        <v>63180</v>
      </c>
      <c r="G544" s="205">
        <f>G531</f>
        <v>24</v>
      </c>
      <c r="H544" s="263">
        <f t="shared" si="9"/>
        <v>23.150400000000001</v>
      </c>
      <c r="I544" s="263">
        <v>23.150400000000001</v>
      </c>
      <c r="J544" s="259"/>
      <c r="K544" s="214"/>
    </row>
    <row r="545" spans="1:11" ht="10.9" customHeight="1" x14ac:dyDescent="0.25">
      <c r="C545" s="620"/>
      <c r="F545" s="230"/>
      <c r="H545" s="263"/>
      <c r="I545" s="263"/>
      <c r="J545" s="259"/>
      <c r="K545" s="214"/>
    </row>
    <row r="546" spans="1:11" ht="22.5" customHeight="1" x14ac:dyDescent="0.25">
      <c r="A546" s="206" t="s">
        <v>11</v>
      </c>
      <c r="B546" s="214" t="s">
        <v>995</v>
      </c>
      <c r="C546" s="620">
        <v>5.7876000000000003</v>
      </c>
      <c r="D546" s="206" t="s">
        <v>3</v>
      </c>
      <c r="E546" s="304">
        <v>7020</v>
      </c>
      <c r="F546" s="207">
        <f>E546*C546</f>
        <v>40628.952000000005</v>
      </c>
      <c r="G546" s="205">
        <f>G533</f>
        <v>6</v>
      </c>
      <c r="H546" s="263">
        <f t="shared" si="9"/>
        <v>5.7876000000000003</v>
      </c>
      <c r="I546" s="263">
        <v>5.7876000000000003</v>
      </c>
    </row>
    <row r="547" spans="1:11" x14ac:dyDescent="0.25">
      <c r="C547" s="620"/>
      <c r="F547" s="230"/>
      <c r="H547" s="263"/>
      <c r="I547" s="263"/>
    </row>
    <row r="548" spans="1:11" ht="22.5" customHeight="1" x14ac:dyDescent="0.25">
      <c r="A548" s="206" t="s">
        <v>12</v>
      </c>
      <c r="B548" s="214" t="s">
        <v>929</v>
      </c>
      <c r="C548" s="620">
        <v>24</v>
      </c>
      <c r="D548" s="206" t="s">
        <v>3</v>
      </c>
      <c r="E548" s="304">
        <v>4680</v>
      </c>
      <c r="F548" s="207">
        <f>E548*C548</f>
        <v>112320</v>
      </c>
      <c r="G548" s="205">
        <f>G535</f>
        <v>24</v>
      </c>
      <c r="H548" s="263">
        <f t="shared" si="9"/>
        <v>23.150400000000001</v>
      </c>
      <c r="I548" s="263">
        <v>23.150400000000001</v>
      </c>
    </row>
    <row r="549" spans="1:11" x14ac:dyDescent="0.25">
      <c r="B549" s="224"/>
      <c r="C549" s="620"/>
      <c r="F549" s="230"/>
      <c r="H549" s="263"/>
      <c r="I549" s="263"/>
    </row>
    <row r="550" spans="1:11" x14ac:dyDescent="0.25">
      <c r="C550" s="620"/>
      <c r="E550" s="306"/>
      <c r="H550" s="263"/>
      <c r="I550" s="263"/>
    </row>
    <row r="551" spans="1:11" ht="30" x14ac:dyDescent="0.25">
      <c r="B551" s="224" t="s">
        <v>704</v>
      </c>
      <c r="C551" s="620"/>
      <c r="F551" s="230"/>
      <c r="H551" s="263"/>
      <c r="I551" s="263"/>
    </row>
    <row r="552" spans="1:11" x14ac:dyDescent="0.25">
      <c r="B552" s="224"/>
      <c r="C552" s="620"/>
      <c r="F552" s="230"/>
      <c r="H552" s="263"/>
      <c r="I552" s="263"/>
    </row>
    <row r="553" spans="1:11" x14ac:dyDescent="0.25">
      <c r="A553" s="206" t="s">
        <v>13</v>
      </c>
      <c r="B553" s="214" t="s">
        <v>998</v>
      </c>
      <c r="C553" s="620">
        <v>5.7876000000000003</v>
      </c>
      <c r="D553" s="206" t="s">
        <v>3</v>
      </c>
      <c r="E553" s="306">
        <v>486000</v>
      </c>
      <c r="F553" s="207">
        <f>E553*C553</f>
        <v>2812773.6</v>
      </c>
      <c r="G553" s="205">
        <v>6</v>
      </c>
      <c r="H553" s="263">
        <f t="shared" si="9"/>
        <v>5.7876000000000003</v>
      </c>
      <c r="I553" s="263">
        <v>5.7876000000000003</v>
      </c>
    </row>
    <row r="554" spans="1:11" x14ac:dyDescent="0.25">
      <c r="B554" s="210"/>
      <c r="C554" s="620"/>
      <c r="E554" s="306"/>
      <c r="H554" s="263"/>
      <c r="I554" s="263"/>
    </row>
    <row r="555" spans="1:11" x14ac:dyDescent="0.25">
      <c r="A555" s="206" t="s">
        <v>14</v>
      </c>
      <c r="B555" s="214" t="s">
        <v>1018</v>
      </c>
      <c r="C555" s="620">
        <v>11.575200000000001</v>
      </c>
      <c r="D555" s="206" t="s">
        <v>3</v>
      </c>
      <c r="E555" s="306">
        <v>365500</v>
      </c>
      <c r="F555" s="207">
        <f>E555*C555</f>
        <v>4230735.6000000006</v>
      </c>
      <c r="G555" s="205">
        <v>12</v>
      </c>
      <c r="H555" s="263">
        <f t="shared" si="9"/>
        <v>11.575200000000001</v>
      </c>
      <c r="I555" s="263">
        <v>11.575200000000001</v>
      </c>
    </row>
    <row r="556" spans="1:11" x14ac:dyDescent="0.25">
      <c r="C556" s="620"/>
      <c r="E556" s="306"/>
      <c r="H556" s="263"/>
      <c r="I556" s="263"/>
    </row>
    <row r="557" spans="1:11" x14ac:dyDescent="0.25">
      <c r="C557" s="620"/>
      <c r="E557" s="306"/>
      <c r="H557" s="263"/>
      <c r="I557" s="263"/>
    </row>
    <row r="558" spans="1:11" ht="22.5" customHeight="1" x14ac:dyDescent="0.25">
      <c r="C558" s="620"/>
      <c r="E558" s="306"/>
      <c r="H558" s="263"/>
      <c r="I558" s="263"/>
    </row>
    <row r="559" spans="1:11" ht="22.5" customHeight="1" x14ac:dyDescent="0.25">
      <c r="C559" s="620"/>
      <c r="E559" s="306"/>
      <c r="H559" s="263"/>
      <c r="I559" s="263"/>
    </row>
    <row r="560" spans="1:11" ht="22.5" customHeight="1" x14ac:dyDescent="0.25">
      <c r="C560" s="620"/>
      <c r="E560" s="306"/>
      <c r="H560" s="263"/>
      <c r="I560" s="263"/>
    </row>
    <row r="561" spans="1:9" x14ac:dyDescent="0.25">
      <c r="C561" s="620"/>
      <c r="E561" s="306"/>
      <c r="H561" s="263"/>
      <c r="I561" s="263"/>
    </row>
    <row r="562" spans="1:9" x14ac:dyDescent="0.25">
      <c r="B562" s="210" t="s">
        <v>200</v>
      </c>
      <c r="C562" s="620"/>
      <c r="F562" s="230"/>
      <c r="H562" s="263"/>
      <c r="I562" s="263"/>
    </row>
    <row r="563" spans="1:9" x14ac:dyDescent="0.25">
      <c r="B563" s="220" t="s">
        <v>534</v>
      </c>
      <c r="C563" s="620"/>
      <c r="D563" s="209"/>
      <c r="E563" s="303" t="s">
        <v>15</v>
      </c>
      <c r="F563" s="235">
        <f>SUM(F522:F562)</f>
        <v>19581164.615999997</v>
      </c>
      <c r="G563" s="221"/>
      <c r="H563" s="263"/>
      <c r="I563" s="263"/>
    </row>
    <row r="564" spans="1:9" x14ac:dyDescent="0.25">
      <c r="A564" s="209" t="s">
        <v>796</v>
      </c>
      <c r="B564" s="209"/>
      <c r="C564" s="620"/>
      <c r="D564" s="209" t="s">
        <v>765</v>
      </c>
      <c r="E564" s="388" t="s">
        <v>914</v>
      </c>
      <c r="F564" s="273" t="s">
        <v>768</v>
      </c>
      <c r="G564" s="221" t="s">
        <v>773</v>
      </c>
      <c r="H564" s="263"/>
      <c r="I564" s="263"/>
    </row>
    <row r="565" spans="1:9" x14ac:dyDescent="0.25">
      <c r="B565" s="204" t="s">
        <v>604</v>
      </c>
      <c r="C565" s="620"/>
      <c r="F565" s="230"/>
      <c r="H565" s="263"/>
      <c r="I565" s="263"/>
    </row>
    <row r="566" spans="1:9" x14ac:dyDescent="0.25">
      <c r="C566" s="620"/>
      <c r="F566" s="230"/>
      <c r="H566" s="263"/>
      <c r="I566" s="263"/>
    </row>
    <row r="567" spans="1:9" x14ac:dyDescent="0.25">
      <c r="B567" s="210" t="s">
        <v>210</v>
      </c>
      <c r="C567" s="620"/>
      <c r="F567" s="230"/>
      <c r="H567" s="263"/>
      <c r="I567" s="263"/>
    </row>
    <row r="568" spans="1:9" ht="21" customHeight="1" x14ac:dyDescent="0.25">
      <c r="B568" s="210"/>
      <c r="C568" s="620"/>
      <c r="F568" s="230"/>
      <c r="H568" s="263"/>
      <c r="I568" s="263"/>
    </row>
    <row r="569" spans="1:9" x14ac:dyDescent="0.25">
      <c r="B569" s="211" t="s">
        <v>84</v>
      </c>
      <c r="C569" s="620"/>
      <c r="D569" s="209"/>
      <c r="E569" s="303"/>
      <c r="F569" s="286"/>
      <c r="G569" s="221"/>
      <c r="H569" s="263"/>
      <c r="I569" s="263"/>
    </row>
    <row r="570" spans="1:9" x14ac:dyDescent="0.25">
      <c r="B570" s="226"/>
      <c r="C570" s="620"/>
      <c r="D570" s="209"/>
      <c r="E570" s="303"/>
      <c r="F570" s="286"/>
      <c r="G570" s="221"/>
      <c r="H570" s="263"/>
      <c r="I570" s="263"/>
    </row>
    <row r="571" spans="1:9" ht="30" x14ac:dyDescent="0.25">
      <c r="B571" s="224" t="s">
        <v>594</v>
      </c>
      <c r="C571" s="620"/>
      <c r="D571" s="209"/>
      <c r="E571" s="303"/>
      <c r="F571" s="286"/>
      <c r="G571" s="221"/>
      <c r="H571" s="263"/>
      <c r="I571" s="263"/>
    </row>
    <row r="572" spans="1:9" x14ac:dyDescent="0.25">
      <c r="B572" s="224"/>
      <c r="C572" s="620"/>
      <c r="D572" s="209"/>
      <c r="E572" s="303"/>
      <c r="F572" s="286"/>
      <c r="G572" s="221"/>
      <c r="H572" s="263"/>
      <c r="I572" s="263"/>
    </row>
    <row r="573" spans="1:9" x14ac:dyDescent="0.25">
      <c r="A573" s="206" t="s">
        <v>2</v>
      </c>
      <c r="B573" s="214" t="s">
        <v>595</v>
      </c>
      <c r="C573" s="620">
        <v>854.63559999999995</v>
      </c>
      <c r="D573" s="206" t="s">
        <v>511</v>
      </c>
      <c r="E573" s="304">
        <f>E482</f>
        <v>10300</v>
      </c>
      <c r="F573" s="289">
        <f>C573*E573</f>
        <v>8802746.6799999997</v>
      </c>
      <c r="G573" s="205">
        <v>886</v>
      </c>
      <c r="H573" s="263">
        <f t="shared" si="9"/>
        <v>854.63559999999995</v>
      </c>
      <c r="I573" s="263">
        <v>854.63559999999995</v>
      </c>
    </row>
    <row r="574" spans="1:9" x14ac:dyDescent="0.25">
      <c r="B574" s="210"/>
      <c r="C574" s="620"/>
      <c r="F574" s="291"/>
      <c r="H574" s="263"/>
      <c r="I574" s="263"/>
    </row>
    <row r="575" spans="1:9" x14ac:dyDescent="0.25">
      <c r="A575" s="206" t="s">
        <v>4</v>
      </c>
      <c r="B575" s="214" t="s">
        <v>596</v>
      </c>
      <c r="C575" s="620">
        <v>243.07920000000001</v>
      </c>
      <c r="D575" s="206" t="s">
        <v>511</v>
      </c>
      <c r="E575" s="304">
        <f>E484</f>
        <v>8400</v>
      </c>
      <c r="F575" s="289">
        <f>C575*E575</f>
        <v>2041865.28</v>
      </c>
      <c r="G575" s="205">
        <v>252</v>
      </c>
      <c r="H575" s="263">
        <f t="shared" si="9"/>
        <v>243.07920000000001</v>
      </c>
      <c r="I575" s="263">
        <v>243.07920000000001</v>
      </c>
    </row>
    <row r="576" spans="1:9" x14ac:dyDescent="0.25">
      <c r="C576" s="620"/>
      <c r="F576" s="257"/>
      <c r="G576" s="256"/>
      <c r="H576" s="263"/>
      <c r="I576" s="263"/>
    </row>
    <row r="577" spans="1:9" x14ac:dyDescent="0.25">
      <c r="B577" s="211" t="s">
        <v>98</v>
      </c>
      <c r="C577" s="620"/>
      <c r="F577" s="230"/>
      <c r="H577" s="263"/>
      <c r="I577" s="263"/>
    </row>
    <row r="578" spans="1:9" x14ac:dyDescent="0.25">
      <c r="C578" s="620"/>
      <c r="F578" s="230"/>
      <c r="H578" s="263"/>
      <c r="I578" s="263"/>
    </row>
    <row r="579" spans="1:9" x14ac:dyDescent="0.25">
      <c r="B579" s="219" t="s">
        <v>666</v>
      </c>
      <c r="C579" s="620"/>
      <c r="F579" s="230"/>
      <c r="H579" s="263"/>
      <c r="I579" s="263"/>
    </row>
    <row r="580" spans="1:9" x14ac:dyDescent="0.25">
      <c r="C580" s="620"/>
      <c r="F580" s="230"/>
      <c r="H580" s="263"/>
      <c r="I580" s="263"/>
    </row>
    <row r="581" spans="1:9" x14ac:dyDescent="0.25">
      <c r="A581" s="206" t="s">
        <v>5</v>
      </c>
      <c r="B581" s="214" t="s">
        <v>597</v>
      </c>
      <c r="C581" s="620">
        <v>2.8938000000000001</v>
      </c>
      <c r="D581" s="206" t="s">
        <v>513</v>
      </c>
      <c r="E581" s="304">
        <f>E492</f>
        <v>95000</v>
      </c>
      <c r="F581" s="230">
        <f>C581*E581</f>
        <v>274911</v>
      </c>
      <c r="G581" s="205">
        <v>3</v>
      </c>
      <c r="H581" s="263">
        <f t="shared" si="9"/>
        <v>2.8938000000000001</v>
      </c>
      <c r="I581" s="263">
        <v>2.8938000000000001</v>
      </c>
    </row>
    <row r="582" spans="1:9" x14ac:dyDescent="0.25">
      <c r="C582" s="620"/>
      <c r="F582" s="230"/>
      <c r="G582" s="205" t="s">
        <v>20</v>
      </c>
      <c r="H582" s="263"/>
      <c r="I582" s="263"/>
    </row>
    <row r="583" spans="1:9" x14ac:dyDescent="0.25">
      <c r="B583" s="211" t="s">
        <v>102</v>
      </c>
      <c r="C583" s="620"/>
      <c r="F583" s="230"/>
      <c r="H583" s="263"/>
      <c r="I583" s="263"/>
    </row>
    <row r="584" spans="1:9" x14ac:dyDescent="0.25">
      <c r="B584" s="219"/>
      <c r="C584" s="620"/>
      <c r="F584" s="230"/>
      <c r="H584" s="263"/>
      <c r="I584" s="263"/>
    </row>
    <row r="585" spans="1:9" x14ac:dyDescent="0.25">
      <c r="B585" s="219" t="s">
        <v>598</v>
      </c>
      <c r="C585" s="620"/>
      <c r="F585" s="230"/>
      <c r="H585" s="263"/>
      <c r="I585" s="263"/>
    </row>
    <row r="586" spans="1:9" x14ac:dyDescent="0.25">
      <c r="C586" s="620"/>
      <c r="F586" s="230"/>
      <c r="H586" s="263"/>
      <c r="I586" s="263"/>
    </row>
    <row r="587" spans="1:9" x14ac:dyDescent="0.25">
      <c r="A587" s="206" t="s">
        <v>6</v>
      </c>
      <c r="B587" s="214" t="s">
        <v>571</v>
      </c>
      <c r="C587" s="620">
        <v>162.05279999999999</v>
      </c>
      <c r="D587" s="206" t="s">
        <v>75</v>
      </c>
      <c r="E587" s="304">
        <f>E498</f>
        <v>1450</v>
      </c>
      <c r="F587" s="230">
        <f>C587*E587</f>
        <v>234976.56</v>
      </c>
      <c r="G587" s="205">
        <v>168</v>
      </c>
      <c r="H587" s="263">
        <f t="shared" ref="H587:H622" si="10">G587-G587*3.54%</f>
        <v>162.05279999999999</v>
      </c>
      <c r="I587" s="263">
        <v>162.05279999999999</v>
      </c>
    </row>
    <row r="588" spans="1:9" x14ac:dyDescent="0.25">
      <c r="C588" s="620"/>
      <c r="F588" s="230"/>
      <c r="H588" s="263"/>
      <c r="I588" s="263"/>
    </row>
    <row r="589" spans="1:9" x14ac:dyDescent="0.25">
      <c r="A589" s="206" t="s">
        <v>7</v>
      </c>
      <c r="B589" s="214" t="s">
        <v>599</v>
      </c>
      <c r="C589" s="620">
        <v>85.849400000000003</v>
      </c>
      <c r="D589" s="206" t="s">
        <v>75</v>
      </c>
      <c r="E589" s="304">
        <f>E587</f>
        <v>1450</v>
      </c>
      <c r="F589" s="230">
        <f>C589*E589</f>
        <v>124481.63</v>
      </c>
      <c r="G589" s="205">
        <v>89</v>
      </c>
      <c r="H589" s="263">
        <f t="shared" si="10"/>
        <v>85.849400000000003</v>
      </c>
      <c r="I589" s="263">
        <v>85.849400000000003</v>
      </c>
    </row>
    <row r="590" spans="1:9" x14ac:dyDescent="0.25">
      <c r="C590" s="620"/>
      <c r="F590" s="230"/>
      <c r="H590" s="263"/>
      <c r="I590" s="263"/>
    </row>
    <row r="591" spans="1:9" x14ac:dyDescent="0.25">
      <c r="B591" s="211" t="s">
        <v>67</v>
      </c>
      <c r="C591" s="620"/>
      <c r="F591" s="230"/>
      <c r="H591" s="263"/>
      <c r="I591" s="263"/>
    </row>
    <row r="592" spans="1:9" x14ac:dyDescent="0.25">
      <c r="C592" s="620"/>
      <c r="F592" s="230"/>
      <c r="H592" s="263"/>
      <c r="I592" s="263"/>
    </row>
    <row r="593" spans="1:9" x14ac:dyDescent="0.25">
      <c r="B593" s="219" t="s">
        <v>120</v>
      </c>
      <c r="C593" s="620"/>
      <c r="F593" s="230"/>
      <c r="H593" s="263"/>
      <c r="I593" s="263"/>
    </row>
    <row r="594" spans="1:9" x14ac:dyDescent="0.25">
      <c r="C594" s="620"/>
      <c r="F594" s="230"/>
      <c r="H594" s="263"/>
      <c r="I594" s="263"/>
    </row>
    <row r="595" spans="1:9" x14ac:dyDescent="0.25">
      <c r="A595" s="206" t="s">
        <v>8</v>
      </c>
      <c r="B595" s="214" t="s">
        <v>600</v>
      </c>
      <c r="C595" s="620">
        <v>29.9026</v>
      </c>
      <c r="D595" s="206" t="s">
        <v>511</v>
      </c>
      <c r="E595" s="304">
        <f>E506</f>
        <v>8500</v>
      </c>
      <c r="F595" s="230">
        <f>C595*E595</f>
        <v>254172.1</v>
      </c>
      <c r="G595" s="205">
        <v>31</v>
      </c>
      <c r="H595" s="263">
        <f t="shared" si="10"/>
        <v>29.9026</v>
      </c>
      <c r="I595" s="263">
        <v>29.9026</v>
      </c>
    </row>
    <row r="596" spans="1:9" x14ac:dyDescent="0.25">
      <c r="B596" s="219"/>
      <c r="C596" s="620"/>
      <c r="F596" s="227"/>
      <c r="H596" s="263"/>
      <c r="I596" s="263"/>
    </row>
    <row r="597" spans="1:9" x14ac:dyDescent="0.25">
      <c r="C597" s="620"/>
      <c r="F597" s="227"/>
      <c r="H597" s="263"/>
      <c r="I597" s="263"/>
    </row>
    <row r="598" spans="1:9" x14ac:dyDescent="0.25">
      <c r="C598" s="620"/>
      <c r="F598" s="227"/>
      <c r="H598" s="263"/>
      <c r="I598" s="263"/>
    </row>
    <row r="599" spans="1:9" x14ac:dyDescent="0.25">
      <c r="C599" s="620"/>
      <c r="F599" s="227"/>
      <c r="H599" s="263"/>
      <c r="I599" s="263"/>
    </row>
    <row r="600" spans="1:9" x14ac:dyDescent="0.25">
      <c r="B600" s="219"/>
      <c r="C600" s="620"/>
      <c r="F600" s="230"/>
      <c r="H600" s="263"/>
      <c r="I600" s="263"/>
    </row>
    <row r="601" spans="1:9" x14ac:dyDescent="0.25">
      <c r="B601" s="219"/>
      <c r="C601" s="620"/>
      <c r="F601" s="230"/>
      <c r="H601" s="263"/>
      <c r="I601" s="263"/>
    </row>
    <row r="602" spans="1:9" x14ac:dyDescent="0.25">
      <c r="B602" s="224"/>
      <c r="C602" s="620"/>
      <c r="F602" s="230"/>
      <c r="H602" s="263"/>
      <c r="I602" s="263"/>
    </row>
    <row r="603" spans="1:9" x14ac:dyDescent="0.25">
      <c r="B603" s="224"/>
      <c r="C603" s="620"/>
      <c r="F603" s="257"/>
      <c r="H603" s="263"/>
      <c r="I603" s="263"/>
    </row>
    <row r="604" spans="1:9" x14ac:dyDescent="0.25">
      <c r="B604" s="224"/>
      <c r="C604" s="620"/>
      <c r="F604" s="257"/>
      <c r="H604" s="263"/>
      <c r="I604" s="263"/>
    </row>
    <row r="605" spans="1:9" x14ac:dyDescent="0.25">
      <c r="B605" s="224"/>
      <c r="C605" s="620"/>
      <c r="F605" s="257"/>
      <c r="H605" s="263"/>
      <c r="I605" s="263"/>
    </row>
    <row r="606" spans="1:9" x14ac:dyDescent="0.25">
      <c r="B606" s="224"/>
      <c r="C606" s="620"/>
      <c r="F606" s="257"/>
      <c r="H606" s="263"/>
      <c r="I606" s="263"/>
    </row>
    <row r="607" spans="1:9" x14ac:dyDescent="0.25">
      <c r="B607" s="210" t="s">
        <v>210</v>
      </c>
      <c r="C607" s="620"/>
      <c r="D607" s="209"/>
      <c r="E607" s="303"/>
      <c r="F607" s="235"/>
      <c r="G607" s="221"/>
      <c r="H607" s="263"/>
      <c r="I607" s="263"/>
    </row>
    <row r="608" spans="1:9" x14ac:dyDescent="0.25">
      <c r="B608" s="220" t="s">
        <v>534</v>
      </c>
      <c r="C608" s="620"/>
      <c r="D608" s="209"/>
      <c r="E608" s="303" t="s">
        <v>15</v>
      </c>
      <c r="F608" s="235">
        <f>SUM(F569:F607)</f>
        <v>11733153.25</v>
      </c>
      <c r="G608" s="221"/>
      <c r="H608" s="263"/>
      <c r="I608" s="263"/>
    </row>
    <row r="609" spans="1:9" x14ac:dyDescent="0.25">
      <c r="A609" s="209" t="s">
        <v>796</v>
      </c>
      <c r="B609" s="209"/>
      <c r="C609" s="620"/>
      <c r="D609" s="209" t="s">
        <v>765</v>
      </c>
      <c r="E609" s="388" t="s">
        <v>914</v>
      </c>
      <c r="F609" s="273" t="s">
        <v>768</v>
      </c>
      <c r="G609" s="221" t="s">
        <v>773</v>
      </c>
      <c r="H609" s="263"/>
      <c r="I609" s="263"/>
    </row>
    <row r="610" spans="1:9" x14ac:dyDescent="0.25">
      <c r="B610" s="210" t="s">
        <v>605</v>
      </c>
      <c r="C610" s="620"/>
      <c r="F610" s="230"/>
      <c r="H610" s="263"/>
      <c r="I610" s="263"/>
    </row>
    <row r="611" spans="1:9" x14ac:dyDescent="0.25">
      <c r="B611" s="220"/>
      <c r="C611" s="620"/>
      <c r="F611" s="230"/>
      <c r="H611" s="263"/>
      <c r="I611" s="263"/>
    </row>
    <row r="612" spans="1:9" x14ac:dyDescent="0.25">
      <c r="B612" s="210" t="s">
        <v>213</v>
      </c>
      <c r="C612" s="620"/>
      <c r="F612" s="230"/>
      <c r="H612" s="263"/>
      <c r="I612" s="263"/>
    </row>
    <row r="613" spans="1:9" x14ac:dyDescent="0.25">
      <c r="C613" s="620"/>
      <c r="F613" s="230"/>
      <c r="H613" s="263"/>
      <c r="I613" s="263"/>
    </row>
    <row r="614" spans="1:9" x14ac:dyDescent="0.25">
      <c r="B614" s="210" t="s">
        <v>606</v>
      </c>
      <c r="C614" s="620"/>
      <c r="F614" s="230"/>
      <c r="H614" s="263"/>
      <c r="I614" s="263"/>
    </row>
    <row r="615" spans="1:9" x14ac:dyDescent="0.25">
      <c r="C615" s="620"/>
      <c r="F615" s="230"/>
      <c r="H615" s="263"/>
      <c r="I615" s="263"/>
    </row>
    <row r="616" spans="1:9" ht="63" customHeight="1" x14ac:dyDescent="0.25">
      <c r="B616" s="224" t="s">
        <v>683</v>
      </c>
      <c r="C616" s="620"/>
      <c r="F616" s="230"/>
      <c r="H616" s="263"/>
      <c r="I616" s="263"/>
    </row>
    <row r="617" spans="1:9" x14ac:dyDescent="0.25">
      <c r="C617" s="620"/>
      <c r="F617" s="289"/>
      <c r="H617" s="263"/>
      <c r="I617" s="263"/>
    </row>
    <row r="618" spans="1:9" x14ac:dyDescent="0.25">
      <c r="A618" s="206" t="s">
        <v>2</v>
      </c>
      <c r="B618" s="214" t="s">
        <v>894</v>
      </c>
      <c r="C618" s="620">
        <v>24</v>
      </c>
      <c r="D618" s="206" t="s">
        <v>3</v>
      </c>
      <c r="E618" s="306">
        <v>170100</v>
      </c>
      <c r="F618" s="207">
        <f>E618*C618</f>
        <v>4082400</v>
      </c>
      <c r="G618" s="205">
        <v>30</v>
      </c>
      <c r="H618" s="263">
        <f t="shared" si="10"/>
        <v>28.937999999999999</v>
      </c>
      <c r="I618" s="263">
        <v>28.937999999999999</v>
      </c>
    </row>
    <row r="619" spans="1:9" x14ac:dyDescent="0.25">
      <c r="B619" s="219"/>
      <c r="C619" s="620"/>
      <c r="E619" s="306"/>
      <c r="F619" s="230"/>
      <c r="H619" s="263"/>
      <c r="I619" s="263"/>
    </row>
    <row r="620" spans="1:9" x14ac:dyDescent="0.25">
      <c r="A620" s="206" t="s">
        <v>4</v>
      </c>
      <c r="B620" s="214" t="s">
        <v>1019</v>
      </c>
      <c r="C620" s="620"/>
      <c r="D620" s="206" t="s">
        <v>3</v>
      </c>
      <c r="E620" s="306">
        <v>318938</v>
      </c>
      <c r="F620" s="207">
        <f>E620*C620</f>
        <v>0</v>
      </c>
      <c r="H620" s="263"/>
      <c r="I620" s="263"/>
    </row>
    <row r="621" spans="1:9" x14ac:dyDescent="0.25">
      <c r="B621" s="219"/>
      <c r="C621" s="620"/>
      <c r="E621" s="306"/>
      <c r="F621" s="230"/>
      <c r="H621" s="263"/>
      <c r="I621" s="263"/>
    </row>
    <row r="622" spans="1:9" x14ac:dyDescent="0.25">
      <c r="A622" s="206" t="s">
        <v>5</v>
      </c>
      <c r="B622" s="214" t="s">
        <v>1020</v>
      </c>
      <c r="C622" s="620">
        <v>24</v>
      </c>
      <c r="D622" s="206" t="s">
        <v>3</v>
      </c>
      <c r="E622" s="306">
        <v>141750</v>
      </c>
      <c r="F622" s="207">
        <f>E622*C622</f>
        <v>3402000</v>
      </c>
      <c r="G622" s="205">
        <v>30</v>
      </c>
      <c r="H622" s="263">
        <f t="shared" si="10"/>
        <v>28.937999999999999</v>
      </c>
      <c r="I622" s="263">
        <v>28.937999999999999</v>
      </c>
    </row>
    <row r="623" spans="1:9" x14ac:dyDescent="0.25">
      <c r="C623" s="620"/>
      <c r="E623" s="306"/>
      <c r="H623" s="263"/>
      <c r="I623" s="263"/>
    </row>
    <row r="624" spans="1:9" x14ac:dyDescent="0.25">
      <c r="C624" s="620"/>
      <c r="E624" s="306"/>
      <c r="H624" s="263"/>
      <c r="I624" s="263"/>
    </row>
    <row r="625" spans="1:19" x14ac:dyDescent="0.25">
      <c r="C625" s="620"/>
      <c r="E625" s="306"/>
      <c r="H625" s="263"/>
      <c r="I625" s="263"/>
    </row>
    <row r="626" spans="1:19" x14ac:dyDescent="0.25">
      <c r="C626" s="620"/>
      <c r="E626" s="306"/>
      <c r="H626" s="263"/>
      <c r="I626" s="263"/>
    </row>
    <row r="627" spans="1:19" s="207" customFormat="1" x14ac:dyDescent="0.25">
      <c r="A627" s="206"/>
      <c r="B627" s="214"/>
      <c r="C627" s="620"/>
      <c r="D627" s="206"/>
      <c r="E627" s="306"/>
      <c r="G627" s="205"/>
      <c r="H627" s="263"/>
      <c r="I627" s="263"/>
      <c r="J627" s="208"/>
      <c r="K627" s="208"/>
      <c r="L627" s="208"/>
      <c r="M627" s="208"/>
      <c r="N627" s="208"/>
      <c r="O627" s="208"/>
      <c r="P627" s="208"/>
      <c r="Q627" s="208"/>
      <c r="R627" s="208"/>
      <c r="S627" s="208"/>
    </row>
    <row r="628" spans="1:19" s="207" customFormat="1" x14ac:dyDescent="0.25">
      <c r="A628" s="206"/>
      <c r="B628" s="214"/>
      <c r="C628" s="620"/>
      <c r="D628" s="206"/>
      <c r="E628" s="306"/>
      <c r="G628" s="205"/>
      <c r="H628" s="263"/>
      <c r="I628" s="263"/>
      <c r="J628" s="208"/>
      <c r="K628" s="208"/>
      <c r="L628" s="208"/>
      <c r="M628" s="208"/>
      <c r="N628" s="208"/>
      <c r="O628" s="208"/>
      <c r="P628" s="208"/>
      <c r="Q628" s="208"/>
      <c r="R628" s="208"/>
      <c r="S628" s="208"/>
    </row>
    <row r="629" spans="1:19" s="207" customFormat="1" x14ac:dyDescent="0.25">
      <c r="A629" s="206"/>
      <c r="B629" s="214"/>
      <c r="C629" s="620"/>
      <c r="D629" s="206"/>
      <c r="E629" s="306"/>
      <c r="G629" s="205"/>
      <c r="H629" s="263"/>
      <c r="I629" s="263"/>
      <c r="J629" s="208"/>
      <c r="K629" s="208"/>
      <c r="L629" s="208"/>
      <c r="M629" s="208"/>
      <c r="N629" s="208"/>
      <c r="O629" s="208"/>
      <c r="P629" s="208"/>
      <c r="Q629" s="208"/>
      <c r="R629" s="208"/>
      <c r="S629" s="208"/>
    </row>
    <row r="630" spans="1:19" s="207" customFormat="1" x14ac:dyDescent="0.25">
      <c r="A630" s="206"/>
      <c r="B630" s="214"/>
      <c r="C630" s="620"/>
      <c r="D630" s="206"/>
      <c r="E630" s="306"/>
      <c r="G630" s="205"/>
      <c r="H630" s="263"/>
      <c r="I630" s="263"/>
      <c r="J630" s="208"/>
      <c r="K630" s="208"/>
      <c r="L630" s="208"/>
      <c r="M630" s="208"/>
      <c r="N630" s="208"/>
      <c r="O630" s="208"/>
      <c r="P630" s="208"/>
      <c r="Q630" s="208"/>
      <c r="R630" s="208"/>
      <c r="S630" s="208"/>
    </row>
    <row r="631" spans="1:19" s="207" customFormat="1" x14ac:dyDescent="0.25">
      <c r="A631" s="206"/>
      <c r="B631" s="214"/>
      <c r="C631" s="620"/>
      <c r="D631" s="206"/>
      <c r="E631" s="306"/>
      <c r="G631" s="205"/>
      <c r="H631" s="263"/>
      <c r="I631" s="263"/>
      <c r="J631" s="208"/>
      <c r="K631" s="208"/>
      <c r="L631" s="208"/>
      <c r="M631" s="208"/>
      <c r="N631" s="208"/>
      <c r="O631" s="208"/>
      <c r="P631" s="208"/>
      <c r="Q631" s="208"/>
      <c r="R631" s="208"/>
      <c r="S631" s="208"/>
    </row>
    <row r="632" spans="1:19" s="207" customFormat="1" x14ac:dyDescent="0.25">
      <c r="A632" s="206"/>
      <c r="B632" s="214"/>
      <c r="C632" s="620"/>
      <c r="D632" s="206"/>
      <c r="E632" s="306"/>
      <c r="G632" s="205"/>
      <c r="H632" s="263"/>
      <c r="I632" s="263"/>
      <c r="J632" s="208"/>
      <c r="K632" s="208"/>
      <c r="L632" s="208"/>
      <c r="M632" s="208"/>
      <c r="N632" s="208"/>
      <c r="O632" s="208"/>
      <c r="P632" s="208"/>
      <c r="Q632" s="208"/>
      <c r="R632" s="208"/>
      <c r="S632" s="208"/>
    </row>
    <row r="633" spans="1:19" s="207" customFormat="1" x14ac:dyDescent="0.25">
      <c r="A633" s="206"/>
      <c r="B633" s="214"/>
      <c r="C633" s="620"/>
      <c r="D633" s="206"/>
      <c r="E633" s="306"/>
      <c r="G633" s="205"/>
      <c r="H633" s="263"/>
      <c r="I633" s="263"/>
      <c r="J633" s="208"/>
      <c r="K633" s="208"/>
      <c r="L633" s="208"/>
      <c r="M633" s="208"/>
      <c r="N633" s="208"/>
      <c r="O633" s="208"/>
      <c r="P633" s="208"/>
      <c r="Q633" s="208"/>
      <c r="R633" s="208"/>
      <c r="S633" s="208"/>
    </row>
    <row r="634" spans="1:19" s="207" customFormat="1" x14ac:dyDescent="0.25">
      <c r="A634" s="206"/>
      <c r="B634" s="214"/>
      <c r="C634" s="620"/>
      <c r="D634" s="206"/>
      <c r="E634" s="306"/>
      <c r="G634" s="205"/>
      <c r="H634" s="263"/>
      <c r="I634" s="263"/>
      <c r="J634" s="208"/>
      <c r="K634" s="208"/>
      <c r="L634" s="208"/>
      <c r="M634" s="208"/>
      <c r="N634" s="208"/>
      <c r="O634" s="208"/>
      <c r="P634" s="208"/>
      <c r="Q634" s="208"/>
      <c r="R634" s="208"/>
      <c r="S634" s="208"/>
    </row>
    <row r="635" spans="1:19" s="207" customFormat="1" x14ac:dyDescent="0.25">
      <c r="A635" s="206"/>
      <c r="B635" s="214"/>
      <c r="C635" s="620"/>
      <c r="D635" s="206"/>
      <c r="E635" s="306"/>
      <c r="G635" s="205"/>
      <c r="H635" s="263"/>
      <c r="I635" s="263"/>
      <c r="J635" s="208"/>
      <c r="K635" s="208"/>
      <c r="L635" s="208"/>
      <c r="M635" s="208"/>
      <c r="N635" s="208"/>
      <c r="O635" s="208"/>
      <c r="P635" s="208"/>
      <c r="Q635" s="208"/>
      <c r="R635" s="208"/>
      <c r="S635" s="208"/>
    </row>
    <row r="636" spans="1:19" s="207" customFormat="1" x14ac:dyDescent="0.25">
      <c r="A636" s="206"/>
      <c r="B636" s="214"/>
      <c r="C636" s="620"/>
      <c r="D636" s="206"/>
      <c r="E636" s="306"/>
      <c r="G636" s="205"/>
      <c r="H636" s="263"/>
      <c r="I636" s="263"/>
      <c r="J636" s="208"/>
      <c r="K636" s="208"/>
      <c r="L636" s="208"/>
      <c r="M636" s="208"/>
      <c r="N636" s="208"/>
      <c r="O636" s="208"/>
      <c r="P636" s="208"/>
      <c r="Q636" s="208"/>
      <c r="R636" s="208"/>
      <c r="S636" s="208"/>
    </row>
    <row r="637" spans="1:19" s="207" customFormat="1" x14ac:dyDescent="0.25">
      <c r="A637" s="206"/>
      <c r="B637" s="214"/>
      <c r="C637" s="620"/>
      <c r="D637" s="206"/>
      <c r="E637" s="306"/>
      <c r="G637" s="205"/>
      <c r="H637" s="263"/>
      <c r="I637" s="263"/>
      <c r="J637" s="208"/>
      <c r="K637" s="208"/>
      <c r="L637" s="208"/>
      <c r="M637" s="208"/>
      <c r="N637" s="208"/>
      <c r="O637" s="208"/>
      <c r="P637" s="208"/>
      <c r="Q637" s="208"/>
      <c r="R637" s="208"/>
      <c r="S637" s="208"/>
    </row>
    <row r="638" spans="1:19" s="207" customFormat="1" x14ac:dyDescent="0.25">
      <c r="A638" s="206"/>
      <c r="B638" s="214"/>
      <c r="C638" s="620"/>
      <c r="D638" s="206"/>
      <c r="E638" s="306"/>
      <c r="G638" s="205"/>
      <c r="H638" s="263"/>
      <c r="I638" s="263"/>
      <c r="J638" s="208"/>
      <c r="K638" s="208"/>
      <c r="L638" s="208"/>
      <c r="M638" s="208"/>
      <c r="N638" s="208"/>
      <c r="O638" s="208"/>
      <c r="P638" s="208"/>
      <c r="Q638" s="208"/>
      <c r="R638" s="208"/>
      <c r="S638" s="208"/>
    </row>
    <row r="639" spans="1:19" s="207" customFormat="1" x14ac:dyDescent="0.25">
      <c r="A639" s="206"/>
      <c r="B639" s="214"/>
      <c r="C639" s="620"/>
      <c r="D639" s="206"/>
      <c r="E639" s="306"/>
      <c r="G639" s="205"/>
      <c r="H639" s="263"/>
      <c r="I639" s="263"/>
      <c r="J639" s="208"/>
      <c r="K639" s="208"/>
      <c r="L639" s="208"/>
      <c r="M639" s="208"/>
      <c r="N639" s="208"/>
      <c r="O639" s="208"/>
      <c r="P639" s="208"/>
      <c r="Q639" s="208"/>
      <c r="R639" s="208"/>
      <c r="S639" s="208"/>
    </row>
    <row r="640" spans="1:19" s="207" customFormat="1" x14ac:dyDescent="0.25">
      <c r="A640" s="206"/>
      <c r="B640" s="214"/>
      <c r="C640" s="620"/>
      <c r="D640" s="206"/>
      <c r="E640" s="306"/>
      <c r="G640" s="205"/>
      <c r="H640" s="263"/>
      <c r="I640" s="263"/>
      <c r="J640" s="208"/>
      <c r="K640" s="208"/>
      <c r="L640" s="208"/>
      <c r="M640" s="208"/>
      <c r="N640" s="208"/>
      <c r="O640" s="208"/>
      <c r="P640" s="208"/>
      <c r="Q640" s="208"/>
      <c r="R640" s="208"/>
      <c r="S640" s="208"/>
    </row>
    <row r="641" spans="1:19" s="207" customFormat="1" x14ac:dyDescent="0.25">
      <c r="A641" s="206"/>
      <c r="B641" s="214"/>
      <c r="C641" s="620"/>
      <c r="D641" s="206"/>
      <c r="E641" s="306"/>
      <c r="G641" s="205"/>
      <c r="H641" s="263"/>
      <c r="I641" s="263"/>
      <c r="J641" s="208"/>
      <c r="K641" s="208"/>
      <c r="L641" s="208"/>
      <c r="M641" s="208"/>
      <c r="N641" s="208"/>
      <c r="O641" s="208"/>
      <c r="P641" s="208"/>
      <c r="Q641" s="208"/>
      <c r="R641" s="208"/>
      <c r="S641" s="208"/>
    </row>
    <row r="642" spans="1:19" s="207" customFormat="1" x14ac:dyDescent="0.25">
      <c r="A642" s="206"/>
      <c r="B642" s="214"/>
      <c r="C642" s="620"/>
      <c r="D642" s="206"/>
      <c r="E642" s="306"/>
      <c r="G642" s="205"/>
      <c r="H642" s="263"/>
      <c r="I642" s="263"/>
      <c r="J642" s="208"/>
      <c r="K642" s="208"/>
      <c r="L642" s="208"/>
      <c r="M642" s="208"/>
      <c r="N642" s="208"/>
      <c r="O642" s="208"/>
      <c r="P642" s="208"/>
      <c r="Q642" s="208"/>
      <c r="R642" s="208"/>
      <c r="S642" s="208"/>
    </row>
    <row r="643" spans="1:19" x14ac:dyDescent="0.25">
      <c r="C643" s="620"/>
      <c r="E643" s="306"/>
      <c r="H643" s="263"/>
      <c r="I643" s="263"/>
    </row>
    <row r="644" spans="1:19" x14ac:dyDescent="0.25">
      <c r="B644" s="219"/>
      <c r="C644" s="620"/>
      <c r="F644" s="230"/>
      <c r="H644" s="263"/>
      <c r="I644" s="263"/>
    </row>
    <row r="645" spans="1:19" x14ac:dyDescent="0.25">
      <c r="B645" s="219"/>
      <c r="C645" s="620"/>
      <c r="F645" s="230"/>
      <c r="H645" s="263"/>
      <c r="I645" s="263"/>
    </row>
    <row r="646" spans="1:19" x14ac:dyDescent="0.25">
      <c r="B646" s="210" t="s">
        <v>607</v>
      </c>
      <c r="C646" s="620"/>
      <c r="D646" s="209"/>
      <c r="E646" s="303"/>
      <c r="F646" s="235"/>
      <c r="G646" s="221"/>
      <c r="H646" s="263"/>
      <c r="I646" s="263"/>
    </row>
    <row r="647" spans="1:19" x14ac:dyDescent="0.25">
      <c r="B647" s="220" t="s">
        <v>534</v>
      </c>
      <c r="C647" s="620"/>
      <c r="D647" s="209"/>
      <c r="E647" s="303" t="s">
        <v>15</v>
      </c>
      <c r="F647" s="286">
        <f>SUM(F613:F646)</f>
        <v>7484400</v>
      </c>
      <c r="G647" s="221"/>
      <c r="H647" s="263"/>
      <c r="I647" s="263"/>
    </row>
    <row r="648" spans="1:19" x14ac:dyDescent="0.25">
      <c r="A648" s="209" t="s">
        <v>796</v>
      </c>
      <c r="B648" s="209"/>
      <c r="C648" s="620"/>
      <c r="D648" s="209" t="s">
        <v>765</v>
      </c>
      <c r="E648" s="388" t="s">
        <v>914</v>
      </c>
      <c r="F648" s="273" t="s">
        <v>768</v>
      </c>
      <c r="G648" s="221" t="s">
        <v>773</v>
      </c>
      <c r="H648" s="263"/>
      <c r="I648" s="263"/>
    </row>
    <row r="649" spans="1:19" s="497" customFormat="1" ht="16.5" customHeight="1" x14ac:dyDescent="0.3">
      <c r="A649" s="373"/>
      <c r="B649" s="374" t="s">
        <v>608</v>
      </c>
      <c r="C649" s="620"/>
      <c r="D649" s="373"/>
      <c r="E649" s="375"/>
      <c r="F649" s="376"/>
      <c r="G649" s="373"/>
      <c r="H649" s="263"/>
      <c r="I649" s="263"/>
      <c r="J649" s="377"/>
      <c r="K649" s="377"/>
      <c r="L649" s="377"/>
      <c r="M649" s="377"/>
      <c r="N649" s="377"/>
      <c r="O649" s="377"/>
      <c r="P649" s="377"/>
      <c r="Q649" s="377"/>
      <c r="R649" s="377"/>
      <c r="S649" s="377"/>
    </row>
    <row r="650" spans="1:19" s="497" customFormat="1" ht="12" customHeight="1" x14ac:dyDescent="0.3">
      <c r="A650" s="373"/>
      <c r="B650" s="374"/>
      <c r="C650" s="620"/>
      <c r="D650" s="373"/>
      <c r="E650" s="375"/>
      <c r="F650" s="376"/>
      <c r="G650" s="373"/>
      <c r="H650" s="263"/>
      <c r="I650" s="263"/>
      <c r="J650" s="377"/>
      <c r="K650" s="377"/>
      <c r="L650" s="377"/>
      <c r="M650" s="377"/>
      <c r="N650" s="377"/>
      <c r="O650" s="377"/>
      <c r="P650" s="377"/>
      <c r="Q650" s="377"/>
      <c r="R650" s="377"/>
      <c r="S650" s="377"/>
    </row>
    <row r="651" spans="1:19" s="497" customFormat="1" ht="16.5" customHeight="1" x14ac:dyDescent="0.3">
      <c r="A651" s="373"/>
      <c r="B651" s="374" t="s">
        <v>781</v>
      </c>
      <c r="C651" s="620"/>
      <c r="D651" s="373"/>
      <c r="E651" s="375"/>
      <c r="F651" s="376"/>
      <c r="G651" s="373"/>
      <c r="H651" s="263"/>
      <c r="I651" s="263"/>
      <c r="J651" s="377"/>
      <c r="K651" s="377"/>
      <c r="L651" s="377"/>
      <c r="M651" s="377"/>
      <c r="N651" s="377"/>
      <c r="O651" s="377"/>
      <c r="P651" s="377"/>
      <c r="Q651" s="377"/>
      <c r="R651" s="377"/>
      <c r="S651" s="377"/>
    </row>
    <row r="652" spans="1:19" s="497" customFormat="1" ht="12" customHeight="1" x14ac:dyDescent="0.3">
      <c r="A652" s="373"/>
      <c r="B652" s="374"/>
      <c r="C652" s="620"/>
      <c r="D652" s="373"/>
      <c r="E652" s="375"/>
      <c r="F652" s="376"/>
      <c r="G652" s="373"/>
      <c r="H652" s="263"/>
      <c r="I652" s="263"/>
      <c r="J652" s="377"/>
      <c r="K652" s="377"/>
      <c r="L652" s="377"/>
      <c r="M652" s="377"/>
      <c r="N652" s="377"/>
      <c r="O652" s="377"/>
      <c r="P652" s="377"/>
      <c r="Q652" s="377"/>
      <c r="R652" s="377"/>
      <c r="S652" s="377"/>
    </row>
    <row r="653" spans="1:19" s="497" customFormat="1" ht="16.5" customHeight="1" x14ac:dyDescent="0.3">
      <c r="A653" s="373"/>
      <c r="B653" s="378" t="s">
        <v>226</v>
      </c>
      <c r="C653" s="620"/>
      <c r="D653" s="373"/>
      <c r="E653" s="375"/>
      <c r="F653" s="376"/>
      <c r="G653" s="373"/>
      <c r="H653" s="263"/>
      <c r="I653" s="263"/>
      <c r="J653" s="377"/>
      <c r="K653" s="377"/>
      <c r="L653" s="377"/>
      <c r="M653" s="377"/>
      <c r="N653" s="377"/>
      <c r="O653" s="377"/>
      <c r="P653" s="377"/>
      <c r="Q653" s="377"/>
      <c r="R653" s="377"/>
      <c r="S653" s="377"/>
    </row>
    <row r="654" spans="1:19" s="497" customFormat="1" ht="12" customHeight="1" x14ac:dyDescent="0.3">
      <c r="A654" s="373"/>
      <c r="B654" s="379"/>
      <c r="C654" s="620"/>
      <c r="D654" s="373"/>
      <c r="E654" s="375"/>
      <c r="F654" s="376"/>
      <c r="G654" s="373"/>
      <c r="H654" s="263"/>
      <c r="I654" s="263"/>
      <c r="J654" s="377"/>
      <c r="K654" s="377"/>
      <c r="L654" s="377"/>
      <c r="M654" s="377"/>
      <c r="N654" s="377"/>
      <c r="O654" s="377"/>
      <c r="P654" s="377"/>
      <c r="Q654" s="377"/>
      <c r="R654" s="377"/>
      <c r="S654" s="377"/>
    </row>
    <row r="655" spans="1:19" s="497" customFormat="1" ht="30" x14ac:dyDescent="0.3">
      <c r="A655" s="516"/>
      <c r="B655" s="517" t="s">
        <v>782</v>
      </c>
      <c r="C655" s="620"/>
      <c r="D655" s="516"/>
      <c r="E655" s="518"/>
      <c r="F655" s="518"/>
      <c r="G655" s="516"/>
      <c r="H655" s="263"/>
      <c r="I655" s="263"/>
      <c r="J655" s="518"/>
      <c r="K655" s="518"/>
      <c r="L655" s="518"/>
      <c r="M655" s="518"/>
      <c r="N655" s="518"/>
      <c r="O655" s="518"/>
      <c r="P655" s="518"/>
      <c r="Q655" s="518"/>
      <c r="R655" s="518"/>
      <c r="S655" s="518"/>
    </row>
    <row r="656" spans="1:19" s="497" customFormat="1" ht="30" customHeight="1" x14ac:dyDescent="0.3">
      <c r="A656" s="516" t="s">
        <v>2</v>
      </c>
      <c r="B656" s="520" t="s">
        <v>1031</v>
      </c>
      <c r="C656" s="620"/>
      <c r="D656" s="516" t="s">
        <v>3</v>
      </c>
      <c r="E656" s="521">
        <f>150000*6.6</f>
        <v>990000</v>
      </c>
      <c r="F656" s="522">
        <f>E656*C656</f>
        <v>0</v>
      </c>
      <c r="G656" s="516"/>
      <c r="H656" s="263"/>
      <c r="I656" s="263"/>
      <c r="J656" s="518"/>
      <c r="K656" s="518"/>
      <c r="L656" s="518"/>
      <c r="M656" s="518"/>
      <c r="N656" s="518"/>
      <c r="O656" s="518"/>
      <c r="P656" s="518"/>
      <c r="Q656" s="518"/>
      <c r="R656" s="518"/>
      <c r="S656" s="518"/>
    </row>
    <row r="657" spans="1:19" s="497" customFormat="1" ht="30" x14ac:dyDescent="0.3">
      <c r="A657" s="516" t="s">
        <v>4</v>
      </c>
      <c r="B657" s="520" t="s">
        <v>1110</v>
      </c>
      <c r="C657" s="620"/>
      <c r="D657" s="516" t="s">
        <v>3</v>
      </c>
      <c r="E657" s="521">
        <f>3.6*150000</f>
        <v>540000</v>
      </c>
      <c r="F657" s="522">
        <f>E657*C657</f>
        <v>0</v>
      </c>
      <c r="G657" s="516">
        <v>6</v>
      </c>
      <c r="H657" s="263">
        <f t="shared" ref="H657:H708" si="11">G657-G657*3.54%</f>
        <v>5.7876000000000003</v>
      </c>
      <c r="I657" s="263">
        <v>5.7876000000000003</v>
      </c>
      <c r="J657" s="518"/>
      <c r="K657" s="518"/>
      <c r="L657" s="518"/>
      <c r="M657" s="518"/>
      <c r="N657" s="518"/>
      <c r="O657" s="518"/>
      <c r="P657" s="518"/>
      <c r="Q657" s="518"/>
      <c r="R657" s="518"/>
      <c r="S657" s="518"/>
    </row>
    <row r="658" spans="1:19" s="497" customFormat="1" ht="21" customHeight="1" x14ac:dyDescent="0.3">
      <c r="A658" s="516" t="s">
        <v>5</v>
      </c>
      <c r="B658" s="520" t="s">
        <v>1106</v>
      </c>
      <c r="C658" s="620"/>
      <c r="D658" s="516" t="s">
        <v>3</v>
      </c>
      <c r="E658" s="521">
        <f>2.15*150000</f>
        <v>322500</v>
      </c>
      <c r="F658" s="522">
        <f>E658*C658</f>
        <v>0</v>
      </c>
      <c r="G658" s="516">
        <v>12</v>
      </c>
      <c r="H658" s="263">
        <f t="shared" si="11"/>
        <v>11.575200000000001</v>
      </c>
      <c r="I658" s="263">
        <v>11.575200000000001</v>
      </c>
      <c r="J658" s="518"/>
      <c r="K658" s="518"/>
      <c r="L658" s="518"/>
      <c r="M658" s="518"/>
      <c r="N658" s="518"/>
      <c r="O658" s="518"/>
      <c r="P658" s="518"/>
      <c r="Q658" s="518"/>
      <c r="R658" s="518"/>
      <c r="S658" s="518"/>
    </row>
    <row r="659" spans="1:19" s="497" customFormat="1" ht="21" customHeight="1" x14ac:dyDescent="0.3">
      <c r="A659" s="516"/>
      <c r="B659" s="520"/>
      <c r="C659" s="620"/>
      <c r="D659" s="516"/>
      <c r="E659" s="519"/>
      <c r="F659" s="522"/>
      <c r="G659" s="516"/>
      <c r="H659" s="263"/>
      <c r="I659" s="263"/>
      <c r="J659" s="518"/>
      <c r="K659" s="518"/>
      <c r="L659" s="518"/>
      <c r="M659" s="518"/>
      <c r="N659" s="518"/>
      <c r="O659" s="518"/>
      <c r="P659" s="518"/>
      <c r="Q659" s="518"/>
      <c r="R659" s="518"/>
      <c r="S659" s="518"/>
    </row>
    <row r="660" spans="1:19" s="497" customFormat="1" ht="17.25" customHeight="1" x14ac:dyDescent="0.35">
      <c r="A660" s="516"/>
      <c r="B660" s="523" t="s">
        <v>783</v>
      </c>
      <c r="C660" s="620"/>
      <c r="D660" s="516"/>
      <c r="E660" s="519"/>
      <c r="F660" s="522"/>
      <c r="G660" s="516"/>
      <c r="H660" s="263"/>
      <c r="I660" s="263"/>
      <c r="J660" s="518"/>
      <c r="K660" s="518"/>
      <c r="L660" s="518"/>
      <c r="M660" s="518"/>
      <c r="N660" s="518"/>
      <c r="O660" s="518"/>
      <c r="P660" s="518"/>
      <c r="Q660" s="518"/>
      <c r="R660" s="518"/>
      <c r="S660" s="518"/>
    </row>
    <row r="661" spans="1:19" s="497" customFormat="1" ht="30" x14ac:dyDescent="0.3">
      <c r="A661" s="516"/>
      <c r="B661" s="524" t="s">
        <v>784</v>
      </c>
      <c r="C661" s="620"/>
      <c r="D661" s="516"/>
      <c r="E661" s="519"/>
      <c r="F661" s="522"/>
      <c r="G661" s="516"/>
      <c r="H661" s="263"/>
      <c r="I661" s="263"/>
      <c r="J661" s="518"/>
      <c r="K661" s="518"/>
      <c r="L661" s="518"/>
      <c r="M661" s="518"/>
      <c r="N661" s="518"/>
      <c r="O661" s="518"/>
      <c r="P661" s="518"/>
      <c r="Q661" s="518"/>
      <c r="R661" s="518"/>
      <c r="S661" s="518"/>
    </row>
    <row r="662" spans="1:19" s="497" customFormat="1" x14ac:dyDescent="0.3">
      <c r="A662" s="525"/>
      <c r="B662" s="524"/>
      <c r="C662" s="620"/>
      <c r="D662" s="525"/>
      <c r="E662" s="526"/>
      <c r="F662" s="527"/>
      <c r="G662" s="525"/>
      <c r="H662" s="263"/>
      <c r="I662" s="263"/>
      <c r="J662" s="528"/>
      <c r="K662" s="528"/>
      <c r="L662" s="528"/>
      <c r="M662" s="528"/>
      <c r="N662" s="528"/>
      <c r="O662" s="528"/>
      <c r="P662" s="528"/>
      <c r="Q662" s="528"/>
      <c r="R662" s="528"/>
      <c r="S662" s="528"/>
    </row>
    <row r="663" spans="1:19" s="497" customFormat="1" ht="60" x14ac:dyDescent="0.3">
      <c r="A663" s="525" t="s">
        <v>8</v>
      </c>
      <c r="B663" s="524" t="s">
        <v>1107</v>
      </c>
      <c r="C663" s="620">
        <v>5.7876000000000003</v>
      </c>
      <c r="D663" s="525" t="s">
        <v>3</v>
      </c>
      <c r="E663" s="526">
        <v>3500000</v>
      </c>
      <c r="F663" s="527">
        <f>E663*C663</f>
        <v>20256600</v>
      </c>
      <c r="G663" s="525">
        <v>6</v>
      </c>
      <c r="H663" s="263">
        <f t="shared" si="11"/>
        <v>5.7876000000000003</v>
      </c>
      <c r="I663" s="263">
        <v>5.7876000000000003</v>
      </c>
      <c r="J663" s="528"/>
      <c r="K663" s="528"/>
      <c r="L663" s="528"/>
      <c r="M663" s="528"/>
      <c r="N663" s="528"/>
      <c r="O663" s="528"/>
      <c r="P663" s="528"/>
      <c r="Q663" s="528"/>
      <c r="R663" s="528"/>
      <c r="S663" s="528"/>
    </row>
    <row r="664" spans="1:19" s="497" customFormat="1" x14ac:dyDescent="0.3">
      <c r="A664" s="525"/>
      <c r="B664" s="524"/>
      <c r="C664" s="620"/>
      <c r="D664" s="525"/>
      <c r="E664" s="526"/>
      <c r="F664" s="527"/>
      <c r="G664" s="525"/>
      <c r="H664" s="263"/>
      <c r="I664" s="263"/>
      <c r="J664" s="528"/>
      <c r="K664" s="528"/>
      <c r="L664" s="528"/>
      <c r="M664" s="528"/>
      <c r="N664" s="528"/>
      <c r="O664" s="528"/>
      <c r="P664" s="528"/>
      <c r="Q664" s="528"/>
      <c r="R664" s="528"/>
      <c r="S664" s="528"/>
    </row>
    <row r="665" spans="1:19" s="497" customFormat="1" ht="17.25" customHeight="1" x14ac:dyDescent="0.35">
      <c r="A665" s="516"/>
      <c r="B665" s="523" t="s">
        <v>785</v>
      </c>
      <c r="C665" s="620"/>
      <c r="D665" s="516"/>
      <c r="E665" s="519"/>
      <c r="F665" s="522"/>
      <c r="G665" s="516"/>
      <c r="H665" s="263"/>
      <c r="I665" s="263"/>
      <c r="J665" s="518"/>
      <c r="K665" s="518"/>
      <c r="L665" s="518"/>
      <c r="M665" s="518"/>
      <c r="N665" s="518"/>
      <c r="O665" s="518"/>
      <c r="P665" s="518"/>
      <c r="Q665" s="518"/>
      <c r="R665" s="518"/>
      <c r="S665" s="518"/>
    </row>
    <row r="666" spans="1:19" s="497" customFormat="1" ht="33" customHeight="1" x14ac:dyDescent="0.3">
      <c r="A666" s="516"/>
      <c r="B666" s="529" t="s">
        <v>786</v>
      </c>
      <c r="C666" s="620"/>
      <c r="D666" s="516"/>
      <c r="E666" s="519"/>
      <c r="F666" s="522"/>
      <c r="G666" s="516"/>
      <c r="H666" s="263"/>
      <c r="I666" s="263"/>
      <c r="J666" s="518"/>
      <c r="K666" s="518"/>
      <c r="L666" s="518"/>
      <c r="M666" s="518"/>
      <c r="N666" s="518"/>
      <c r="O666" s="518"/>
      <c r="P666" s="518"/>
      <c r="Q666" s="518"/>
      <c r="R666" s="518"/>
      <c r="S666" s="518"/>
    </row>
    <row r="667" spans="1:19" s="497" customFormat="1" x14ac:dyDescent="0.3">
      <c r="A667" s="516" t="s">
        <v>9</v>
      </c>
      <c r="B667" s="529" t="s">
        <v>787</v>
      </c>
      <c r="C667" s="620">
        <v>32.796399999999998</v>
      </c>
      <c r="D667" s="516" t="s">
        <v>22</v>
      </c>
      <c r="E667" s="519">
        <v>58000</v>
      </c>
      <c r="F667" s="522">
        <f>E667*C667</f>
        <v>1902191.2</v>
      </c>
      <c r="G667" s="530">
        <v>34</v>
      </c>
      <c r="H667" s="263">
        <f t="shared" si="11"/>
        <v>32.796399999999998</v>
      </c>
      <c r="I667" s="263">
        <v>32.796399999999998</v>
      </c>
      <c r="J667" s="518"/>
      <c r="K667" s="518"/>
      <c r="L667" s="518"/>
      <c r="M667" s="518"/>
      <c r="N667" s="518"/>
      <c r="O667" s="518"/>
      <c r="P667" s="518"/>
      <c r="Q667" s="518"/>
      <c r="R667" s="518"/>
      <c r="S667" s="518"/>
    </row>
    <row r="668" spans="1:19" s="497" customFormat="1" ht="16.5" customHeight="1" x14ac:dyDescent="0.3">
      <c r="A668" s="516" t="s">
        <v>10</v>
      </c>
      <c r="B668" s="518" t="s">
        <v>1002</v>
      </c>
      <c r="C668" s="620">
        <v>15.4336</v>
      </c>
      <c r="D668" s="516" t="s">
        <v>22</v>
      </c>
      <c r="E668" s="519">
        <v>39000</v>
      </c>
      <c r="F668" s="522">
        <f>E668*C668</f>
        <v>601910.4</v>
      </c>
      <c r="G668" s="516">
        <v>16</v>
      </c>
      <c r="H668" s="263">
        <f t="shared" si="11"/>
        <v>15.4336</v>
      </c>
      <c r="I668" s="263">
        <v>15.4336</v>
      </c>
      <c r="J668" s="518"/>
      <c r="K668" s="518"/>
      <c r="L668" s="518"/>
      <c r="M668" s="518"/>
      <c r="N668" s="518"/>
      <c r="O668" s="518"/>
      <c r="P668" s="518"/>
      <c r="Q668" s="518"/>
      <c r="R668" s="518"/>
      <c r="S668" s="518"/>
    </row>
    <row r="669" spans="1:19" s="497" customFormat="1" ht="15" customHeight="1" x14ac:dyDescent="0.3">
      <c r="A669" s="516"/>
      <c r="B669" s="531"/>
      <c r="C669" s="620"/>
      <c r="D669" s="516"/>
      <c r="E669" s="519"/>
      <c r="F669" s="522"/>
      <c r="G669" s="516"/>
      <c r="H669" s="263"/>
      <c r="I669" s="263"/>
      <c r="J669" s="518"/>
      <c r="K669" s="518"/>
      <c r="L669" s="518"/>
      <c r="M669" s="518"/>
      <c r="N669" s="518"/>
      <c r="O669" s="518"/>
      <c r="P669" s="518"/>
      <c r="Q669" s="518"/>
      <c r="R669" s="518"/>
      <c r="S669" s="518"/>
    </row>
    <row r="670" spans="1:19" s="497" customFormat="1" ht="15" customHeight="1" x14ac:dyDescent="0.3">
      <c r="A670" s="516"/>
      <c r="B670" s="532" t="s">
        <v>795</v>
      </c>
      <c r="C670" s="620"/>
      <c r="D670" s="516"/>
      <c r="E670" s="519"/>
      <c r="F670" s="522"/>
      <c r="G670" s="516"/>
      <c r="H670" s="263"/>
      <c r="I670" s="263"/>
      <c r="J670" s="518"/>
      <c r="K670" s="518"/>
      <c r="L670" s="518"/>
      <c r="M670" s="518"/>
      <c r="N670" s="518"/>
      <c r="O670" s="518"/>
      <c r="P670" s="518"/>
      <c r="Q670" s="518"/>
      <c r="R670" s="518"/>
      <c r="S670" s="518"/>
    </row>
    <row r="671" spans="1:19" s="497" customFormat="1" ht="15" customHeight="1" x14ac:dyDescent="0.3">
      <c r="A671" s="516" t="s">
        <v>11</v>
      </c>
      <c r="B671" s="518" t="s">
        <v>794</v>
      </c>
      <c r="C671" s="620">
        <v>30.8672</v>
      </c>
      <c r="D671" s="516" t="s">
        <v>35</v>
      </c>
      <c r="E671" s="519">
        <v>65000</v>
      </c>
      <c r="F671" s="522">
        <f>E671*C671</f>
        <v>2006368</v>
      </c>
      <c r="G671" s="516">
        <v>32</v>
      </c>
      <c r="H671" s="263">
        <f t="shared" si="11"/>
        <v>30.8672</v>
      </c>
      <c r="I671" s="263">
        <v>30.8672</v>
      </c>
      <c r="J671" s="518"/>
      <c r="K671" s="518"/>
      <c r="L671" s="518"/>
      <c r="M671" s="518"/>
      <c r="N671" s="518"/>
      <c r="O671" s="518"/>
      <c r="P671" s="518"/>
      <c r="Q671" s="518"/>
      <c r="R671" s="518"/>
      <c r="S671" s="518"/>
    </row>
    <row r="672" spans="1:19" s="497" customFormat="1" ht="15" customHeight="1" x14ac:dyDescent="0.3">
      <c r="A672" s="516" t="s">
        <v>12</v>
      </c>
      <c r="B672" s="518" t="s">
        <v>931</v>
      </c>
      <c r="C672" s="620"/>
      <c r="D672" s="516" t="s">
        <v>35</v>
      </c>
      <c r="E672" s="519">
        <v>12000</v>
      </c>
      <c r="F672" s="522">
        <f>E672*C672</f>
        <v>0</v>
      </c>
      <c r="G672" s="516"/>
      <c r="H672" s="263"/>
      <c r="I672" s="263"/>
      <c r="J672" s="518"/>
      <c r="K672" s="518"/>
      <c r="L672" s="518"/>
      <c r="M672" s="518"/>
      <c r="N672" s="518"/>
      <c r="O672" s="518"/>
      <c r="P672" s="518"/>
      <c r="Q672" s="518"/>
      <c r="R672" s="518"/>
      <c r="S672" s="518"/>
    </row>
    <row r="673" spans="1:19" s="497" customFormat="1" ht="15" customHeight="1" x14ac:dyDescent="0.3">
      <c r="A673" s="516"/>
      <c r="B673" s="518"/>
      <c r="C673" s="620"/>
      <c r="D673" s="516"/>
      <c r="E673" s="519"/>
      <c r="F673" s="522"/>
      <c r="G673" s="516"/>
      <c r="H673" s="263"/>
      <c r="I673" s="263"/>
      <c r="J673" s="518"/>
      <c r="K673" s="518"/>
      <c r="L673" s="518"/>
      <c r="M673" s="518"/>
      <c r="N673" s="518"/>
      <c r="O673" s="518"/>
      <c r="P673" s="518"/>
      <c r="Q673" s="518"/>
      <c r="R673" s="518"/>
      <c r="S673" s="518"/>
    </row>
    <row r="674" spans="1:19" s="497" customFormat="1" ht="16.5" customHeight="1" x14ac:dyDescent="0.3">
      <c r="A674" s="373"/>
      <c r="B674" s="381" t="s">
        <v>788</v>
      </c>
      <c r="C674" s="620"/>
      <c r="D674" s="377"/>
      <c r="E674" s="377"/>
      <c r="F674" s="533"/>
      <c r="G674" s="377"/>
      <c r="H674" s="263"/>
      <c r="I674" s="263"/>
      <c r="J674" s="377"/>
      <c r="K674" s="377"/>
      <c r="L674" s="377"/>
      <c r="M674" s="377"/>
      <c r="N674" s="377"/>
      <c r="O674" s="377"/>
      <c r="P674" s="377"/>
      <c r="Q674" s="377"/>
      <c r="R674" s="377"/>
      <c r="S674" s="377"/>
    </row>
    <row r="675" spans="1:19" s="497" customFormat="1" ht="30" x14ac:dyDescent="0.3">
      <c r="A675" s="516"/>
      <c r="B675" s="529" t="s">
        <v>789</v>
      </c>
      <c r="C675" s="620"/>
      <c r="D675" s="516"/>
      <c r="E675" s="519"/>
      <c r="F675" s="533"/>
      <c r="G675" s="516"/>
      <c r="H675" s="263"/>
      <c r="I675" s="263"/>
      <c r="J675" s="518"/>
      <c r="K675" s="518"/>
      <c r="L675" s="518"/>
      <c r="M675" s="518"/>
      <c r="N675" s="518"/>
      <c r="O675" s="518"/>
      <c r="P675" s="518"/>
      <c r="Q675" s="518"/>
      <c r="R675" s="518"/>
      <c r="S675" s="518"/>
    </row>
    <row r="676" spans="1:19" s="497" customFormat="1" ht="16.5" customHeight="1" x14ac:dyDescent="0.3">
      <c r="A676" s="516"/>
      <c r="B676" s="529"/>
      <c r="C676" s="620"/>
      <c r="D676" s="516"/>
      <c r="E676" s="519"/>
      <c r="F676" s="533"/>
      <c r="G676" s="516"/>
      <c r="H676" s="263"/>
      <c r="I676" s="263"/>
      <c r="J676" s="518"/>
      <c r="K676" s="518"/>
      <c r="L676" s="518"/>
      <c r="M676" s="518"/>
      <c r="N676" s="518"/>
      <c r="O676" s="518"/>
      <c r="P676" s="518"/>
      <c r="Q676" s="518"/>
      <c r="R676" s="518"/>
      <c r="S676" s="518"/>
    </row>
    <row r="677" spans="1:19" s="497" customFormat="1" ht="16.5" customHeight="1" x14ac:dyDescent="0.3">
      <c r="A677" s="516" t="s">
        <v>13</v>
      </c>
      <c r="B677" s="379" t="s">
        <v>790</v>
      </c>
      <c r="C677" s="620">
        <v>96</v>
      </c>
      <c r="D677" s="373" t="s">
        <v>35</v>
      </c>
      <c r="E677" s="519">
        <v>6500</v>
      </c>
      <c r="F677" s="533">
        <f>E677*C677</f>
        <v>624000</v>
      </c>
      <c r="G677" s="516">
        <v>103</v>
      </c>
      <c r="H677" s="263">
        <f t="shared" si="11"/>
        <v>99.353800000000007</v>
      </c>
      <c r="I677" s="263">
        <v>99.353800000000007</v>
      </c>
      <c r="J677" s="518"/>
      <c r="K677" s="518"/>
      <c r="L677" s="518"/>
      <c r="M677" s="518"/>
      <c r="N677" s="518"/>
      <c r="O677" s="518"/>
      <c r="P677" s="518"/>
      <c r="Q677" s="518"/>
      <c r="R677" s="518"/>
      <c r="S677" s="518"/>
    </row>
    <row r="678" spans="1:19" s="497" customFormat="1" ht="16.5" customHeight="1" x14ac:dyDescent="0.3">
      <c r="A678" s="516"/>
      <c r="B678" s="379"/>
      <c r="C678" s="620"/>
      <c r="D678" s="373"/>
      <c r="E678" s="519"/>
      <c r="F678" s="533"/>
      <c r="G678" s="516"/>
      <c r="H678" s="263"/>
      <c r="I678" s="263"/>
      <c r="J678" s="518"/>
      <c r="K678" s="518"/>
      <c r="L678" s="518"/>
      <c r="M678" s="518"/>
      <c r="N678" s="518"/>
      <c r="O678" s="518"/>
      <c r="P678" s="518"/>
      <c r="Q678" s="518"/>
      <c r="R678" s="518"/>
      <c r="S678" s="518"/>
    </row>
    <row r="679" spans="1:19" s="497" customFormat="1" ht="16.5" customHeight="1" x14ac:dyDescent="0.3">
      <c r="A679" s="516"/>
      <c r="B679" s="379"/>
      <c r="C679" s="620"/>
      <c r="D679" s="373"/>
      <c r="E679" s="519"/>
      <c r="F679" s="533"/>
      <c r="G679" s="516"/>
      <c r="H679" s="263"/>
      <c r="I679" s="263"/>
      <c r="J679" s="518"/>
      <c r="K679" s="518"/>
      <c r="L679" s="518"/>
      <c r="M679" s="518"/>
      <c r="N679" s="518"/>
      <c r="O679" s="518"/>
      <c r="P679" s="518"/>
      <c r="Q679" s="518"/>
      <c r="R679" s="518"/>
      <c r="S679" s="518"/>
    </row>
    <row r="680" spans="1:19" s="497" customFormat="1" ht="16.5" customHeight="1" x14ac:dyDescent="0.3">
      <c r="A680" s="516"/>
      <c r="B680" s="374" t="s">
        <v>781</v>
      </c>
      <c r="C680" s="620"/>
      <c r="D680" s="373"/>
      <c r="E680" s="519"/>
      <c r="F680" s="533"/>
      <c r="G680" s="516"/>
      <c r="H680" s="263"/>
      <c r="I680" s="263"/>
      <c r="J680" s="518"/>
      <c r="K680" s="518"/>
      <c r="L680" s="518"/>
      <c r="M680" s="518"/>
      <c r="N680" s="518"/>
      <c r="O680" s="518"/>
      <c r="P680" s="518"/>
      <c r="Q680" s="518"/>
      <c r="R680" s="518"/>
      <c r="S680" s="518"/>
    </row>
    <row r="681" spans="1:19" s="497" customFormat="1" ht="18" customHeight="1" x14ac:dyDescent="0.35">
      <c r="A681" s="373"/>
      <c r="B681" s="382" t="s">
        <v>791</v>
      </c>
      <c r="C681" s="620"/>
      <c r="D681" s="380"/>
      <c r="E681" s="383" t="s">
        <v>15</v>
      </c>
      <c r="F681" s="553">
        <f>SUM(F650:F677)</f>
        <v>25391069.599999998</v>
      </c>
      <c r="G681" s="380"/>
      <c r="H681" s="263"/>
      <c r="I681" s="263"/>
      <c r="J681" s="377"/>
      <c r="K681" s="377"/>
      <c r="L681" s="377"/>
      <c r="M681" s="377"/>
      <c r="N681" s="377"/>
      <c r="O681" s="377"/>
      <c r="P681" s="377"/>
      <c r="Q681" s="377"/>
      <c r="R681" s="377"/>
      <c r="S681" s="377"/>
    </row>
    <row r="682" spans="1:19" x14ac:dyDescent="0.25">
      <c r="A682" s="209" t="s">
        <v>796</v>
      </c>
      <c r="B682" s="209"/>
      <c r="C682" s="620"/>
      <c r="D682" s="209" t="s">
        <v>765</v>
      </c>
      <c r="E682" s="388" t="s">
        <v>914</v>
      </c>
      <c r="F682" s="273" t="s">
        <v>768</v>
      </c>
      <c r="G682" s="221" t="s">
        <v>773</v>
      </c>
      <c r="H682" s="263"/>
      <c r="I682" s="263"/>
    </row>
    <row r="683" spans="1:19" x14ac:dyDescent="0.25">
      <c r="B683" s="210" t="s">
        <v>609</v>
      </c>
      <c r="C683" s="620"/>
      <c r="H683" s="263"/>
      <c r="I683" s="263"/>
    </row>
    <row r="684" spans="1:19" ht="9" customHeight="1" x14ac:dyDescent="0.25">
      <c r="B684" s="220"/>
      <c r="C684" s="620"/>
      <c r="H684" s="263"/>
      <c r="I684" s="263"/>
    </row>
    <row r="685" spans="1:19" x14ac:dyDescent="0.25">
      <c r="B685" s="210" t="s">
        <v>236</v>
      </c>
      <c r="C685" s="620"/>
      <c r="H685" s="263"/>
      <c r="I685" s="263"/>
    </row>
    <row r="686" spans="1:19" x14ac:dyDescent="0.25">
      <c r="B686" s="219" t="s">
        <v>610</v>
      </c>
      <c r="C686" s="620"/>
      <c r="H686" s="263"/>
      <c r="I686" s="263"/>
    </row>
    <row r="687" spans="1:19" ht="12.6" customHeight="1" x14ac:dyDescent="0.25">
      <c r="C687" s="620"/>
      <c r="H687" s="263"/>
      <c r="I687" s="263"/>
    </row>
    <row r="688" spans="1:19" x14ac:dyDescent="0.25">
      <c r="B688" s="211" t="s">
        <v>283</v>
      </c>
      <c r="C688" s="620"/>
      <c r="H688" s="263"/>
      <c r="I688" s="263"/>
    </row>
    <row r="689" spans="1:9" ht="30" x14ac:dyDescent="0.25">
      <c r="B689" s="224" t="s">
        <v>611</v>
      </c>
      <c r="C689" s="620"/>
      <c r="H689" s="263"/>
      <c r="I689" s="263"/>
    </row>
    <row r="690" spans="1:9" ht="11.45" customHeight="1" x14ac:dyDescent="0.25">
      <c r="C690" s="620"/>
      <c r="H690" s="263"/>
      <c r="I690" s="263"/>
    </row>
    <row r="691" spans="1:9" x14ac:dyDescent="0.25">
      <c r="A691" s="206" t="s">
        <v>2</v>
      </c>
      <c r="B691" s="214" t="s">
        <v>612</v>
      </c>
      <c r="C691" s="620">
        <v>3118.5518000000002</v>
      </c>
      <c r="D691" s="206" t="s">
        <v>35</v>
      </c>
      <c r="E691" s="304">
        <f>E418</f>
        <v>3500</v>
      </c>
      <c r="F691" s="207">
        <f>E691*C691</f>
        <v>10914931.300000001</v>
      </c>
      <c r="G691" s="205">
        <v>3233</v>
      </c>
      <c r="H691" s="263">
        <f t="shared" si="11"/>
        <v>3118.5518000000002</v>
      </c>
      <c r="I691" s="263">
        <v>3118.5518000000002</v>
      </c>
    </row>
    <row r="692" spans="1:9" ht="30" x14ac:dyDescent="0.25">
      <c r="A692" s="206" t="s">
        <v>4</v>
      </c>
      <c r="B692" s="218" t="s">
        <v>613</v>
      </c>
      <c r="C692" s="620">
        <v>417.67180000000002</v>
      </c>
      <c r="D692" s="206" t="s">
        <v>22</v>
      </c>
      <c r="E692" s="304">
        <f>E691*0.3</f>
        <v>1050</v>
      </c>
      <c r="F692" s="207">
        <f>E692*C692</f>
        <v>438555.39</v>
      </c>
      <c r="G692" s="205">
        <v>433</v>
      </c>
      <c r="H692" s="263">
        <f t="shared" si="11"/>
        <v>417.67180000000002</v>
      </c>
      <c r="I692" s="263">
        <v>417.67180000000002</v>
      </c>
    </row>
    <row r="693" spans="1:9" x14ac:dyDescent="0.25">
      <c r="B693" s="210" t="s">
        <v>614</v>
      </c>
      <c r="C693" s="620"/>
      <c r="H693" s="263"/>
      <c r="I693" s="263"/>
    </row>
    <row r="694" spans="1:9" x14ac:dyDescent="0.25">
      <c r="B694" s="219" t="s">
        <v>615</v>
      </c>
      <c r="C694" s="620"/>
      <c r="G694" s="256"/>
      <c r="H694" s="263"/>
      <c r="I694" s="263"/>
    </row>
    <row r="695" spans="1:9" ht="30" x14ac:dyDescent="0.25">
      <c r="B695" s="246" t="s">
        <v>616</v>
      </c>
      <c r="C695" s="620"/>
      <c r="H695" s="263"/>
      <c r="I695" s="263"/>
    </row>
    <row r="696" spans="1:9" x14ac:dyDescent="0.25">
      <c r="A696" s="206" t="s">
        <v>5</v>
      </c>
      <c r="B696" s="214" t="s">
        <v>617</v>
      </c>
      <c r="C696" s="620">
        <v>2287.0666000000001</v>
      </c>
      <c r="D696" s="206" t="s">
        <v>35</v>
      </c>
      <c r="E696" s="304">
        <f>E300</f>
        <v>1400</v>
      </c>
      <c r="F696" s="207">
        <f>E696*C696</f>
        <v>3201893.24</v>
      </c>
      <c r="G696" s="205">
        <f>G691-G708</f>
        <v>2371</v>
      </c>
      <c r="H696" s="263">
        <f t="shared" si="11"/>
        <v>2287.0666000000001</v>
      </c>
      <c r="I696" s="263">
        <v>2287.0666000000001</v>
      </c>
    </row>
    <row r="697" spans="1:9" ht="25.5" customHeight="1" x14ac:dyDescent="0.25">
      <c r="A697" s="206" t="s">
        <v>6</v>
      </c>
      <c r="B697" s="218" t="s">
        <v>618</v>
      </c>
      <c r="C697" s="620">
        <v>417.67180000000002</v>
      </c>
      <c r="D697" s="206" t="s">
        <v>22</v>
      </c>
      <c r="E697" s="304">
        <f>'[31]AJIWE STRIP MALL '!E708</f>
        <v>450</v>
      </c>
      <c r="F697" s="207">
        <f>E697*C697</f>
        <v>187952.31</v>
      </c>
      <c r="G697" s="205">
        <f>G692</f>
        <v>433</v>
      </c>
      <c r="H697" s="263">
        <f t="shared" si="11"/>
        <v>417.67180000000002</v>
      </c>
      <c r="I697" s="263">
        <v>417.67180000000002</v>
      </c>
    </row>
    <row r="698" spans="1:9" x14ac:dyDescent="0.25">
      <c r="B698" s="210" t="s">
        <v>152</v>
      </c>
      <c r="C698" s="620"/>
      <c r="H698" s="263"/>
      <c r="I698" s="263"/>
    </row>
    <row r="699" spans="1:9" ht="30" x14ac:dyDescent="0.25">
      <c r="B699" s="224" t="s">
        <v>619</v>
      </c>
      <c r="C699" s="620"/>
      <c r="H699" s="263"/>
      <c r="I699" s="263"/>
    </row>
    <row r="700" spans="1:9" x14ac:dyDescent="0.25">
      <c r="A700" s="206" t="s">
        <v>7</v>
      </c>
      <c r="B700" s="214" t="s">
        <v>612</v>
      </c>
      <c r="C700" s="620">
        <v>2287.0666000000001</v>
      </c>
      <c r="D700" s="206" t="s">
        <v>35</v>
      </c>
      <c r="E700" s="304">
        <f>E310</f>
        <v>2200</v>
      </c>
      <c r="F700" s="207">
        <f>E700*C700</f>
        <v>5031546.5200000005</v>
      </c>
      <c r="G700" s="205">
        <f>G696</f>
        <v>2371</v>
      </c>
      <c r="H700" s="263">
        <f t="shared" si="11"/>
        <v>2287.0666000000001</v>
      </c>
      <c r="I700" s="263">
        <v>2287.0666000000001</v>
      </c>
    </row>
    <row r="701" spans="1:9" x14ac:dyDescent="0.25">
      <c r="A701" s="206" t="s">
        <v>8</v>
      </c>
      <c r="B701" s="214" t="s">
        <v>620</v>
      </c>
      <c r="C701" s="620">
        <v>417.67180000000002</v>
      </c>
      <c r="D701" s="206" t="s">
        <v>22</v>
      </c>
      <c r="E701" s="304">
        <f>'[31]AJIWE STRIP MALL '!E712</f>
        <v>550</v>
      </c>
      <c r="F701" s="207">
        <f>E701*C701</f>
        <v>229719.49000000002</v>
      </c>
      <c r="G701" s="205">
        <f>G697</f>
        <v>433</v>
      </c>
      <c r="H701" s="263">
        <f t="shared" si="11"/>
        <v>417.67180000000002</v>
      </c>
      <c r="I701" s="263">
        <v>417.67180000000002</v>
      </c>
    </row>
    <row r="702" spans="1:9" ht="33" x14ac:dyDescent="0.25">
      <c r="B702" s="234" t="s">
        <v>621</v>
      </c>
      <c r="C702" s="620"/>
      <c r="H702" s="263"/>
      <c r="I702" s="263"/>
    </row>
    <row r="703" spans="1:9" ht="60" x14ac:dyDescent="0.25">
      <c r="B703" s="218" t="s">
        <v>622</v>
      </c>
      <c r="C703" s="620"/>
      <c r="H703" s="263"/>
      <c r="I703" s="263"/>
    </row>
    <row r="704" spans="1:9" x14ac:dyDescent="0.25">
      <c r="A704" s="206" t="s">
        <v>9</v>
      </c>
      <c r="B704" s="214" t="s">
        <v>623</v>
      </c>
      <c r="C704" s="620">
        <v>252.7252</v>
      </c>
      <c r="D704" s="206" t="s">
        <v>35</v>
      </c>
      <c r="E704" s="304">
        <v>7500</v>
      </c>
      <c r="F704" s="207">
        <f>E705*C704</f>
        <v>1895439</v>
      </c>
      <c r="G704" s="205">
        <v>262</v>
      </c>
      <c r="H704" s="263">
        <f t="shared" si="11"/>
        <v>252.7252</v>
      </c>
      <c r="I704" s="263">
        <v>252.7252</v>
      </c>
    </row>
    <row r="705" spans="1:9" x14ac:dyDescent="0.25">
      <c r="A705" s="206" t="s">
        <v>10</v>
      </c>
      <c r="B705" s="214" t="s">
        <v>624</v>
      </c>
      <c r="C705" s="620">
        <v>578.76</v>
      </c>
      <c r="D705" s="206" t="s">
        <v>35</v>
      </c>
      <c r="E705" s="304">
        <f>E704</f>
        <v>7500</v>
      </c>
      <c r="F705" s="207">
        <f>E705*C705</f>
        <v>4340700</v>
      </c>
      <c r="G705" s="205">
        <v>600</v>
      </c>
      <c r="H705" s="263">
        <f t="shared" si="11"/>
        <v>578.76</v>
      </c>
      <c r="I705" s="263">
        <v>578.76</v>
      </c>
    </row>
    <row r="706" spans="1:9" ht="33" x14ac:dyDescent="0.25">
      <c r="B706" s="234" t="s">
        <v>625</v>
      </c>
      <c r="C706" s="620"/>
      <c r="H706" s="263"/>
      <c r="I706" s="263"/>
    </row>
    <row r="707" spans="1:9" x14ac:dyDescent="0.25">
      <c r="B707" s="219" t="s">
        <v>626</v>
      </c>
      <c r="C707" s="620"/>
      <c r="H707" s="263"/>
      <c r="I707" s="263"/>
    </row>
    <row r="708" spans="1:9" x14ac:dyDescent="0.25">
      <c r="A708" s="206" t="s">
        <v>11</v>
      </c>
      <c r="B708" s="214" t="s">
        <v>627</v>
      </c>
      <c r="C708" s="620">
        <v>831.48519999999996</v>
      </c>
      <c r="D708" s="206" t="s">
        <v>35</v>
      </c>
      <c r="E708" s="304">
        <f>2100</f>
        <v>2100</v>
      </c>
      <c r="F708" s="207">
        <f>E708*C708</f>
        <v>1746118.92</v>
      </c>
      <c r="G708" s="205">
        <f>G704+G705</f>
        <v>862</v>
      </c>
      <c r="H708" s="263">
        <f t="shared" si="11"/>
        <v>831.48519999999996</v>
      </c>
      <c r="I708" s="263">
        <v>831.48519999999996</v>
      </c>
    </row>
    <row r="709" spans="1:9" x14ac:dyDescent="0.25">
      <c r="B709" s="210" t="s">
        <v>628</v>
      </c>
      <c r="C709" s="620"/>
      <c r="F709" s="230"/>
      <c r="H709" s="263"/>
      <c r="I709" s="263"/>
    </row>
    <row r="710" spans="1:9" x14ac:dyDescent="0.25">
      <c r="B710" s="220" t="s">
        <v>629</v>
      </c>
      <c r="C710" s="620"/>
      <c r="F710" s="230"/>
      <c r="H710" s="263"/>
      <c r="I710" s="263"/>
    </row>
    <row r="711" spans="1:9" ht="30" x14ac:dyDescent="0.25">
      <c r="B711" s="224" t="s">
        <v>630</v>
      </c>
      <c r="C711" s="620"/>
      <c r="F711" s="230"/>
      <c r="H711" s="263"/>
      <c r="I711" s="263"/>
    </row>
    <row r="712" spans="1:9" ht="18" customHeight="1" x14ac:dyDescent="0.25">
      <c r="A712" s="206" t="s">
        <v>12</v>
      </c>
      <c r="B712" s="214" t="s">
        <v>612</v>
      </c>
      <c r="C712" s="620">
        <v>925.05140000000006</v>
      </c>
      <c r="D712" s="206" t="s">
        <v>35</v>
      </c>
      <c r="E712" s="304">
        <f>E691</f>
        <v>3500</v>
      </c>
      <c r="F712" s="207">
        <f>E712*C712</f>
        <v>3237679.9000000004</v>
      </c>
      <c r="G712" s="205">
        <f>G482+G484</f>
        <v>959</v>
      </c>
      <c r="H712" s="263">
        <f t="shared" ref="H712:H775" si="12">G712-G712*3.54%</f>
        <v>925.05140000000006</v>
      </c>
      <c r="I712" s="263">
        <v>925.05140000000006</v>
      </c>
    </row>
    <row r="713" spans="1:9" x14ac:dyDescent="0.25">
      <c r="A713" s="206" t="s">
        <v>13</v>
      </c>
      <c r="B713" s="233" t="s">
        <v>24</v>
      </c>
      <c r="C713" s="620"/>
      <c r="D713" s="206" t="s">
        <v>35</v>
      </c>
      <c r="E713" s="304">
        <f>E712</f>
        <v>3500</v>
      </c>
      <c r="F713" s="207">
        <f>E713*C713</f>
        <v>0</v>
      </c>
      <c r="G713" s="262"/>
      <c r="H713" s="263"/>
      <c r="I713" s="263"/>
    </row>
    <row r="714" spans="1:9" ht="30" x14ac:dyDescent="0.25">
      <c r="A714" s="206" t="s">
        <v>14</v>
      </c>
      <c r="B714" s="246" t="s">
        <v>631</v>
      </c>
      <c r="C714" s="620">
        <v>575.86620000000005</v>
      </c>
      <c r="D714" s="206" t="s">
        <v>22</v>
      </c>
      <c r="E714" s="304">
        <f>E692</f>
        <v>1050</v>
      </c>
      <c r="F714" s="207">
        <f>E714*C714</f>
        <v>604659.51</v>
      </c>
      <c r="G714" s="205">
        <v>597</v>
      </c>
      <c r="H714" s="263">
        <f t="shared" si="12"/>
        <v>575.86620000000005</v>
      </c>
      <c r="I714" s="263">
        <v>575.86620000000005</v>
      </c>
    </row>
    <row r="715" spans="1:9" x14ac:dyDescent="0.25">
      <c r="B715" s="233"/>
      <c r="C715" s="620"/>
      <c r="H715" s="263"/>
      <c r="I715" s="263"/>
    </row>
    <row r="716" spans="1:9" x14ac:dyDescent="0.25">
      <c r="B716" s="233"/>
      <c r="C716" s="620"/>
      <c r="H716" s="263"/>
      <c r="I716" s="263"/>
    </row>
    <row r="717" spans="1:9" x14ac:dyDescent="0.25">
      <c r="B717" s="220" t="s">
        <v>520</v>
      </c>
      <c r="C717" s="620"/>
      <c r="D717" s="209"/>
      <c r="E717" s="303" t="s">
        <v>15</v>
      </c>
      <c r="F717" s="222">
        <f>SUM(F686:F715)</f>
        <v>31829195.580000002</v>
      </c>
      <c r="G717" s="221"/>
      <c r="H717" s="263"/>
      <c r="I717" s="263"/>
    </row>
    <row r="718" spans="1:9" x14ac:dyDescent="0.25">
      <c r="A718" s="209" t="s">
        <v>796</v>
      </c>
      <c r="B718" s="209"/>
      <c r="C718" s="620"/>
      <c r="D718" s="209" t="s">
        <v>765</v>
      </c>
      <c r="E718" s="388" t="s">
        <v>914</v>
      </c>
      <c r="F718" s="273" t="s">
        <v>768</v>
      </c>
      <c r="G718" s="221" t="s">
        <v>773</v>
      </c>
      <c r="H718" s="263"/>
      <c r="I718" s="263"/>
    </row>
    <row r="719" spans="1:9" ht="19.5" customHeight="1" x14ac:dyDescent="0.25">
      <c r="B719" s="210" t="s">
        <v>632</v>
      </c>
      <c r="C719" s="620"/>
      <c r="H719" s="263"/>
      <c r="I719" s="263"/>
    </row>
    <row r="720" spans="1:9" ht="12.75" customHeight="1" x14ac:dyDescent="0.25">
      <c r="B720" s="233"/>
      <c r="C720" s="620"/>
      <c r="H720" s="263"/>
      <c r="I720" s="263"/>
    </row>
    <row r="721" spans="1:9" ht="33" x14ac:dyDescent="0.25">
      <c r="B721" s="234" t="s">
        <v>621</v>
      </c>
      <c r="C721" s="620"/>
      <c r="H721" s="263"/>
      <c r="I721" s="263"/>
    </row>
    <row r="722" spans="1:9" ht="45" x14ac:dyDescent="0.25">
      <c r="B722" s="218" t="s">
        <v>488</v>
      </c>
      <c r="C722" s="620"/>
      <c r="H722" s="263"/>
      <c r="I722" s="263"/>
    </row>
    <row r="723" spans="1:9" x14ac:dyDescent="0.25">
      <c r="A723" s="206" t="s">
        <v>2</v>
      </c>
      <c r="B723" s="214" t="s">
        <v>633</v>
      </c>
      <c r="C723" s="620"/>
      <c r="D723" s="206" t="s">
        <v>35</v>
      </c>
      <c r="E723" s="304">
        <v>8200</v>
      </c>
      <c r="F723" s="207">
        <f>E723*C723</f>
        <v>0</v>
      </c>
      <c r="H723" s="263"/>
      <c r="I723" s="263"/>
    </row>
    <row r="724" spans="1:9" ht="33" x14ac:dyDescent="0.25">
      <c r="B724" s="264" t="s">
        <v>634</v>
      </c>
      <c r="C724" s="620"/>
      <c r="H724" s="263"/>
      <c r="I724" s="263"/>
    </row>
    <row r="725" spans="1:9" x14ac:dyDescent="0.25">
      <c r="B725" s="214" t="s">
        <v>626</v>
      </c>
      <c r="C725" s="620"/>
      <c r="H725" s="263"/>
      <c r="I725" s="263"/>
    </row>
    <row r="726" spans="1:9" x14ac:dyDescent="0.25">
      <c r="A726" s="206" t="s">
        <v>4</v>
      </c>
      <c r="B726" s="214" t="s">
        <v>627</v>
      </c>
      <c r="C726" s="620"/>
      <c r="D726" s="206" t="s">
        <v>35</v>
      </c>
      <c r="E726" s="304">
        <v>2650</v>
      </c>
      <c r="F726" s="207">
        <f>E726*C726</f>
        <v>0</v>
      </c>
      <c r="H726" s="263"/>
      <c r="I726" s="263"/>
    </row>
    <row r="727" spans="1:9" s="269" customFormat="1" x14ac:dyDescent="0.25">
      <c r="A727" s="265"/>
      <c r="B727" s="266" t="s">
        <v>615</v>
      </c>
      <c r="C727" s="620"/>
      <c r="D727" s="265"/>
      <c r="E727" s="304"/>
      <c r="F727" s="268"/>
      <c r="G727" s="267"/>
      <c r="H727" s="263"/>
      <c r="I727" s="263"/>
    </row>
    <row r="728" spans="1:9" s="269" customFormat="1" ht="30" x14ac:dyDescent="0.25">
      <c r="A728" s="265"/>
      <c r="B728" s="270" t="s">
        <v>616</v>
      </c>
      <c r="C728" s="620"/>
      <c r="D728" s="265"/>
      <c r="E728" s="304"/>
      <c r="F728" s="268"/>
      <c r="G728" s="267"/>
      <c r="H728" s="263"/>
      <c r="I728" s="263"/>
    </row>
    <row r="729" spans="1:9" s="269" customFormat="1" x14ac:dyDescent="0.25">
      <c r="A729" s="265" t="s">
        <v>5</v>
      </c>
      <c r="B729" s="269" t="s">
        <v>617</v>
      </c>
      <c r="C729" s="620">
        <v>925.05140000000006</v>
      </c>
      <c r="D729" s="265" t="s">
        <v>35</v>
      </c>
      <c r="E729" s="304">
        <f>E444</f>
        <v>1400</v>
      </c>
      <c r="F729" s="268">
        <f>E729*C729</f>
        <v>1295071.9600000002</v>
      </c>
      <c r="G729" s="262">
        <f>G712</f>
        <v>959</v>
      </c>
      <c r="H729" s="263">
        <f t="shared" si="12"/>
        <v>925.05140000000006</v>
      </c>
      <c r="I729" s="263">
        <v>925.05140000000006</v>
      </c>
    </row>
    <row r="730" spans="1:9" s="269" customFormat="1" ht="24" customHeight="1" x14ac:dyDescent="0.25">
      <c r="A730" s="265" t="s">
        <v>6</v>
      </c>
      <c r="B730" s="271" t="s">
        <v>618</v>
      </c>
      <c r="C730" s="620">
        <v>575.86620000000005</v>
      </c>
      <c r="D730" s="265" t="s">
        <v>22</v>
      </c>
      <c r="E730" s="304">
        <v>550</v>
      </c>
      <c r="F730" s="268">
        <f>E730*C730</f>
        <v>316726.41000000003</v>
      </c>
      <c r="G730" s="262">
        <f>G714</f>
        <v>597</v>
      </c>
      <c r="H730" s="263">
        <f t="shared" si="12"/>
        <v>575.86620000000005</v>
      </c>
      <c r="I730" s="263">
        <v>575.86620000000005</v>
      </c>
    </row>
    <row r="731" spans="1:9" s="269" customFormat="1" x14ac:dyDescent="0.25">
      <c r="A731" s="265" t="s">
        <v>7</v>
      </c>
      <c r="B731" s="271" t="s">
        <v>636</v>
      </c>
      <c r="C731" s="620"/>
      <c r="D731" s="265" t="s">
        <v>35</v>
      </c>
      <c r="E731" s="304">
        <f>E729</f>
        <v>1400</v>
      </c>
      <c r="F731" s="268">
        <f>E731*C731</f>
        <v>0</v>
      </c>
      <c r="G731" s="262"/>
      <c r="H731" s="263"/>
      <c r="I731" s="263"/>
    </row>
    <row r="732" spans="1:9" x14ac:dyDescent="0.25">
      <c r="A732" s="206" t="s">
        <v>8</v>
      </c>
      <c r="B732" s="233" t="s">
        <v>495</v>
      </c>
      <c r="C732" s="620"/>
      <c r="D732" s="206" t="s">
        <v>22</v>
      </c>
      <c r="E732" s="304">
        <f>E730</f>
        <v>550</v>
      </c>
      <c r="F732" s="207">
        <f>E732*C732</f>
        <v>0</v>
      </c>
      <c r="H732" s="263"/>
      <c r="I732" s="263"/>
    </row>
    <row r="733" spans="1:9" s="269" customFormat="1" x14ac:dyDescent="0.25">
      <c r="A733" s="265"/>
      <c r="B733" s="271"/>
      <c r="C733" s="620"/>
      <c r="D733" s="265"/>
      <c r="E733" s="304"/>
      <c r="F733" s="268"/>
      <c r="G733" s="262"/>
      <c r="H733" s="263"/>
      <c r="I733" s="263"/>
    </row>
    <row r="734" spans="1:9" ht="27" customHeight="1" x14ac:dyDescent="0.25">
      <c r="B734" s="210" t="s">
        <v>152</v>
      </c>
      <c r="C734" s="620"/>
      <c r="H734" s="263"/>
      <c r="I734" s="263"/>
    </row>
    <row r="735" spans="1:9" ht="30" x14ac:dyDescent="0.25">
      <c r="B735" s="226" t="s">
        <v>635</v>
      </c>
      <c r="C735" s="620"/>
      <c r="H735" s="263"/>
      <c r="I735" s="263"/>
    </row>
    <row r="736" spans="1:9" x14ac:dyDescent="0.25">
      <c r="A736" s="206" t="s">
        <v>9</v>
      </c>
      <c r="B736" s="233" t="s">
        <v>612</v>
      </c>
      <c r="C736" s="620">
        <v>925.05140000000006</v>
      </c>
      <c r="D736" s="206" t="s">
        <v>35</v>
      </c>
      <c r="E736" s="304">
        <f>E451</f>
        <v>2200</v>
      </c>
      <c r="F736" s="207">
        <f>E736*C736</f>
        <v>2035113.08</v>
      </c>
      <c r="G736" s="205">
        <f>G729</f>
        <v>959</v>
      </c>
      <c r="H736" s="263">
        <f t="shared" si="12"/>
        <v>925.05140000000006</v>
      </c>
      <c r="I736" s="263">
        <v>925.05140000000006</v>
      </c>
    </row>
    <row r="737" spans="1:9" s="269" customFormat="1" ht="24" customHeight="1" x14ac:dyDescent="0.25">
      <c r="A737" s="265" t="s">
        <v>10</v>
      </c>
      <c r="B737" s="271" t="s">
        <v>618</v>
      </c>
      <c r="C737" s="620">
        <v>575.86620000000005</v>
      </c>
      <c r="D737" s="265" t="s">
        <v>22</v>
      </c>
      <c r="E737" s="304">
        <v>900</v>
      </c>
      <c r="F737" s="268">
        <f>E737*C737</f>
        <v>518279.58</v>
      </c>
      <c r="G737" s="262">
        <f>G730</f>
        <v>597</v>
      </c>
      <c r="H737" s="263">
        <f t="shared" si="12"/>
        <v>575.86620000000005</v>
      </c>
      <c r="I737" s="263">
        <v>575.86620000000005</v>
      </c>
    </row>
    <row r="738" spans="1:9" ht="18.95" customHeight="1" x14ac:dyDescent="0.25">
      <c r="A738" s="206" t="s">
        <v>11</v>
      </c>
      <c r="B738" s="218" t="s">
        <v>636</v>
      </c>
      <c r="C738" s="620"/>
      <c r="D738" s="206" t="s">
        <v>35</v>
      </c>
      <c r="F738" s="207">
        <f>E738*C738</f>
        <v>0</v>
      </c>
      <c r="H738" s="263"/>
      <c r="I738" s="263"/>
    </row>
    <row r="739" spans="1:9" x14ac:dyDescent="0.25">
      <c r="A739" s="206" t="s">
        <v>12</v>
      </c>
      <c r="B739" s="218" t="s">
        <v>685</v>
      </c>
      <c r="C739" s="620"/>
      <c r="D739" s="206" t="s">
        <v>22</v>
      </c>
      <c r="E739" s="304">
        <f>E736*0.3</f>
        <v>660</v>
      </c>
      <c r="F739" s="207">
        <f>E739*C739</f>
        <v>0</v>
      </c>
      <c r="H739" s="263"/>
      <c r="I739" s="263"/>
    </row>
    <row r="740" spans="1:9" x14ac:dyDescent="0.25">
      <c r="A740" s="206" t="s">
        <v>13</v>
      </c>
      <c r="B740" s="214" t="s">
        <v>686</v>
      </c>
      <c r="C740" s="620"/>
      <c r="D740" s="206" t="s">
        <v>22</v>
      </c>
      <c r="F740" s="207">
        <f>E740*C740</f>
        <v>0</v>
      </c>
      <c r="H740" s="263"/>
      <c r="I740" s="263"/>
    </row>
    <row r="741" spans="1:9" ht="15.75" customHeight="1" x14ac:dyDescent="0.25">
      <c r="C741" s="620"/>
      <c r="H741" s="263"/>
      <c r="I741" s="263"/>
    </row>
    <row r="742" spans="1:9" ht="13.5" customHeight="1" x14ac:dyDescent="0.25">
      <c r="B742" s="220" t="s">
        <v>525</v>
      </c>
      <c r="C742" s="620"/>
      <c r="D742" s="209"/>
      <c r="E742" s="303" t="s">
        <v>15</v>
      </c>
      <c r="F742" s="285">
        <f>SUM(F723:F741)</f>
        <v>4165191.0300000003</v>
      </c>
      <c r="G742" s="221"/>
      <c r="H742" s="263"/>
      <c r="I742" s="263"/>
    </row>
    <row r="743" spans="1:9" x14ac:dyDescent="0.25">
      <c r="B743" s="220"/>
      <c r="C743" s="620"/>
      <c r="D743" s="209"/>
      <c r="E743" s="303"/>
      <c r="F743" s="285"/>
      <c r="G743" s="221"/>
      <c r="H743" s="263"/>
      <c r="I743" s="263"/>
    </row>
    <row r="744" spans="1:9" x14ac:dyDescent="0.25">
      <c r="B744" s="210" t="s">
        <v>531</v>
      </c>
      <c r="C744" s="620"/>
      <c r="D744" s="209"/>
      <c r="E744" s="303"/>
      <c r="F744" s="285"/>
      <c r="G744" s="221"/>
      <c r="H744" s="263"/>
      <c r="I744" s="263"/>
    </row>
    <row r="745" spans="1:9" x14ac:dyDescent="0.25">
      <c r="B745" s="210"/>
      <c r="C745" s="620"/>
      <c r="D745" s="209"/>
      <c r="E745" s="303"/>
      <c r="F745" s="285"/>
      <c r="G745" s="221"/>
      <c r="H745" s="263"/>
      <c r="I745" s="263"/>
    </row>
    <row r="746" spans="1:9" x14ac:dyDescent="0.25">
      <c r="B746" s="231" t="s">
        <v>464</v>
      </c>
      <c r="C746" s="620"/>
      <c r="D746" s="209"/>
      <c r="E746" s="304">
        <f>F717</f>
        <v>31829195.580000002</v>
      </c>
      <c r="F746" s="285"/>
      <c r="G746" s="221"/>
      <c r="H746" s="263"/>
      <c r="I746" s="263"/>
    </row>
    <row r="747" spans="1:9" x14ac:dyDescent="0.25">
      <c r="B747" s="231"/>
      <c r="C747" s="620"/>
      <c r="D747" s="209"/>
      <c r="F747" s="285"/>
      <c r="G747" s="221"/>
      <c r="H747" s="263"/>
      <c r="I747" s="263"/>
    </row>
    <row r="748" spans="1:9" ht="18.75" customHeight="1" x14ac:dyDescent="0.25">
      <c r="B748" s="231" t="s">
        <v>637</v>
      </c>
      <c r="C748" s="620"/>
      <c r="D748" s="209"/>
      <c r="E748" s="304">
        <f>F742</f>
        <v>4165191.0300000003</v>
      </c>
      <c r="F748" s="285"/>
      <c r="G748" s="221"/>
      <c r="H748" s="263"/>
      <c r="I748" s="263"/>
    </row>
    <row r="749" spans="1:9" x14ac:dyDescent="0.25">
      <c r="B749" s="220"/>
      <c r="C749" s="620"/>
      <c r="D749" s="209"/>
      <c r="F749" s="285"/>
      <c r="G749" s="221"/>
      <c r="H749" s="263"/>
      <c r="I749" s="263"/>
    </row>
    <row r="750" spans="1:9" ht="12" customHeight="1" x14ac:dyDescent="0.25">
      <c r="B750" s="220"/>
      <c r="C750" s="620"/>
      <c r="D750" s="209"/>
      <c r="E750" s="303"/>
      <c r="F750" s="285"/>
      <c r="G750" s="221"/>
      <c r="H750" s="263"/>
      <c r="I750" s="263"/>
    </row>
    <row r="751" spans="1:9" ht="12" customHeight="1" x14ac:dyDescent="0.25">
      <c r="B751" s="220"/>
      <c r="C751" s="620"/>
      <c r="D751" s="209"/>
      <c r="E751" s="303"/>
      <c r="F751" s="285"/>
      <c r="G751" s="221"/>
      <c r="H751" s="263"/>
      <c r="I751" s="263"/>
    </row>
    <row r="752" spans="1:9" ht="12" customHeight="1" x14ac:dyDescent="0.25">
      <c r="B752" s="210" t="s">
        <v>236</v>
      </c>
      <c r="C752" s="620"/>
      <c r="D752" s="209"/>
      <c r="E752" s="303"/>
      <c r="F752" s="285"/>
      <c r="G752" s="221"/>
      <c r="H752" s="263"/>
      <c r="I752" s="263"/>
    </row>
    <row r="753" spans="1:9" ht="12" customHeight="1" x14ac:dyDescent="0.25">
      <c r="B753" s="220" t="s">
        <v>638</v>
      </c>
      <c r="C753" s="620"/>
      <c r="D753" s="209"/>
      <c r="E753" s="303" t="s">
        <v>15</v>
      </c>
      <c r="F753" s="285">
        <f>SUM(E744:E749)</f>
        <v>35994386.609999999</v>
      </c>
      <c r="G753" s="221"/>
      <c r="H753" s="263"/>
      <c r="I753" s="263"/>
    </row>
    <row r="754" spans="1:9" x14ac:dyDescent="0.25">
      <c r="A754" s="209" t="s">
        <v>796</v>
      </c>
      <c r="B754" s="209"/>
      <c r="C754" s="620"/>
      <c r="D754" s="209" t="s">
        <v>765</v>
      </c>
      <c r="E754" s="388" t="s">
        <v>914</v>
      </c>
      <c r="F754" s="273" t="s">
        <v>768</v>
      </c>
      <c r="G754" s="221" t="s">
        <v>773</v>
      </c>
      <c r="H754" s="263"/>
      <c r="I754" s="263"/>
    </row>
    <row r="755" spans="1:9" x14ac:dyDescent="0.25">
      <c r="B755" s="210" t="s">
        <v>639</v>
      </c>
      <c r="C755" s="620"/>
      <c r="H755" s="263"/>
      <c r="I755" s="263"/>
    </row>
    <row r="756" spans="1:9" ht="12.75" customHeight="1" x14ac:dyDescent="0.25">
      <c r="B756" s="210" t="s">
        <v>265</v>
      </c>
      <c r="C756" s="620"/>
      <c r="H756" s="263"/>
      <c r="I756" s="263"/>
    </row>
    <row r="757" spans="1:9" x14ac:dyDescent="0.25">
      <c r="B757" s="219" t="s">
        <v>610</v>
      </c>
      <c r="C757" s="620"/>
      <c r="H757" s="263"/>
      <c r="I757" s="263"/>
    </row>
    <row r="758" spans="1:9" ht="16.149999999999999" customHeight="1" x14ac:dyDescent="0.25">
      <c r="B758" s="211" t="s">
        <v>640</v>
      </c>
      <c r="C758" s="620"/>
      <c r="H758" s="263"/>
      <c r="I758" s="263"/>
    </row>
    <row r="759" spans="1:9" ht="60" x14ac:dyDescent="0.25">
      <c r="B759" s="226" t="s">
        <v>698</v>
      </c>
      <c r="C759" s="620"/>
      <c r="H759" s="263"/>
      <c r="I759" s="263"/>
    </row>
    <row r="760" spans="1:9" x14ac:dyDescent="0.25">
      <c r="A760" s="206" t="s">
        <v>2</v>
      </c>
      <c r="B760" s="214" t="s">
        <v>1026</v>
      </c>
      <c r="C760" s="620">
        <v>99.353800000000007</v>
      </c>
      <c r="D760" s="206" t="s">
        <v>35</v>
      </c>
      <c r="E760" s="304">
        <v>8500</v>
      </c>
      <c r="F760" s="207">
        <f>E760*C760</f>
        <v>844507.3</v>
      </c>
      <c r="G760" s="205">
        <v>103</v>
      </c>
      <c r="H760" s="263">
        <f t="shared" si="12"/>
        <v>99.353800000000007</v>
      </c>
      <c r="I760" s="263">
        <v>99.353800000000007</v>
      </c>
    </row>
    <row r="761" spans="1:9" ht="60" x14ac:dyDescent="0.25">
      <c r="B761" s="224" t="s">
        <v>641</v>
      </c>
      <c r="C761" s="620"/>
      <c r="F761" s="289"/>
      <c r="H761" s="263"/>
      <c r="I761" s="263"/>
    </row>
    <row r="762" spans="1:9" ht="30" x14ac:dyDescent="0.25">
      <c r="A762" s="206" t="s">
        <v>4</v>
      </c>
      <c r="B762" s="218" t="s">
        <v>1025</v>
      </c>
      <c r="C762" s="620">
        <v>330</v>
      </c>
      <c r="D762" s="206" t="s">
        <v>35</v>
      </c>
      <c r="E762" s="304">
        <f>E764</f>
        <v>12350</v>
      </c>
      <c r="F762" s="207">
        <f t="shared" ref="F762:F767" si="13">E762*C762</f>
        <v>4075500</v>
      </c>
      <c r="G762" s="205">
        <v>276</v>
      </c>
      <c r="H762" s="263">
        <f t="shared" si="12"/>
        <v>266.2296</v>
      </c>
      <c r="I762" s="263">
        <v>266.2296</v>
      </c>
    </row>
    <row r="763" spans="1:9" x14ac:dyDescent="0.25">
      <c r="A763" s="206" t="s">
        <v>5</v>
      </c>
      <c r="B763" s="214" t="s">
        <v>642</v>
      </c>
      <c r="C763" s="620">
        <f>C762*1.1</f>
        <v>363.00000000000006</v>
      </c>
      <c r="D763" s="206" t="s">
        <v>22</v>
      </c>
      <c r="E763" s="304">
        <f>E762*0.15</f>
        <v>1852.5</v>
      </c>
      <c r="F763" s="207">
        <f t="shared" si="13"/>
        <v>672457.50000000012</v>
      </c>
      <c r="G763" s="205">
        <f>G762*1.1</f>
        <v>303.60000000000002</v>
      </c>
      <c r="H763" s="263">
        <f t="shared" si="12"/>
        <v>292.85256000000004</v>
      </c>
      <c r="I763" s="263">
        <v>292.85256000000004</v>
      </c>
    </row>
    <row r="764" spans="1:9" ht="30" x14ac:dyDescent="0.25">
      <c r="A764" s="206" t="s">
        <v>6</v>
      </c>
      <c r="B764" s="218" t="s">
        <v>1024</v>
      </c>
      <c r="C764" s="620">
        <v>114</v>
      </c>
      <c r="D764" s="206" t="s">
        <v>35</v>
      </c>
      <c r="E764" s="304">
        <v>12350</v>
      </c>
      <c r="F764" s="207">
        <f t="shared" si="13"/>
        <v>1407900</v>
      </c>
      <c r="G764" s="205">
        <v>108</v>
      </c>
      <c r="H764" s="263">
        <f t="shared" si="12"/>
        <v>104.1768</v>
      </c>
      <c r="I764" s="263">
        <v>104.1768</v>
      </c>
    </row>
    <row r="765" spans="1:9" x14ac:dyDescent="0.25">
      <c r="A765" s="206" t="s">
        <v>7</v>
      </c>
      <c r="B765" s="214" t="s">
        <v>642</v>
      </c>
      <c r="C765" s="620">
        <f>C764*1.1</f>
        <v>125.4</v>
      </c>
      <c r="D765" s="206" t="s">
        <v>22</v>
      </c>
      <c r="E765" s="304">
        <f>E764*0.15</f>
        <v>1852.5</v>
      </c>
      <c r="F765" s="207">
        <f t="shared" si="13"/>
        <v>232303.5</v>
      </c>
      <c r="G765" s="205">
        <f>G764*1.1</f>
        <v>118.80000000000001</v>
      </c>
      <c r="H765" s="263">
        <f t="shared" si="12"/>
        <v>114.59448</v>
      </c>
      <c r="I765" s="263">
        <v>114.59448</v>
      </c>
    </row>
    <row r="766" spans="1:9" ht="30" x14ac:dyDescent="0.25">
      <c r="A766" s="240" t="s">
        <v>8</v>
      </c>
      <c r="B766" s="218" t="s">
        <v>1023</v>
      </c>
      <c r="C766" s="620">
        <v>312</v>
      </c>
      <c r="D766" s="240" t="s">
        <v>35</v>
      </c>
      <c r="E766" s="305">
        <f>E764</f>
        <v>12350</v>
      </c>
      <c r="F766" s="241">
        <f t="shared" si="13"/>
        <v>3853200</v>
      </c>
      <c r="G766" s="239">
        <v>372</v>
      </c>
      <c r="H766" s="263">
        <f t="shared" si="12"/>
        <v>358.83120000000002</v>
      </c>
      <c r="I766" s="263">
        <v>358.83120000000002</v>
      </c>
    </row>
    <row r="767" spans="1:9" ht="24" customHeight="1" x14ac:dyDescent="0.25">
      <c r="A767" s="206" t="s">
        <v>9</v>
      </c>
      <c r="B767" s="246" t="s">
        <v>642</v>
      </c>
      <c r="C767" s="620">
        <f>C766*1.1</f>
        <v>343.20000000000005</v>
      </c>
      <c r="D767" s="206" t="s">
        <v>22</v>
      </c>
      <c r="E767" s="304">
        <f>E766*0.15</f>
        <v>1852.5</v>
      </c>
      <c r="F767" s="207">
        <f t="shared" si="13"/>
        <v>635778.00000000012</v>
      </c>
      <c r="G767" s="205">
        <f>G766*1.1</f>
        <v>409.20000000000005</v>
      </c>
      <c r="H767" s="263">
        <f t="shared" si="12"/>
        <v>394.71432000000004</v>
      </c>
      <c r="I767" s="263">
        <v>394.71432000000004</v>
      </c>
    </row>
    <row r="768" spans="1:9" ht="9" customHeight="1" x14ac:dyDescent="0.25">
      <c r="B768" s="246"/>
      <c r="C768" s="620"/>
      <c r="H768" s="263"/>
      <c r="I768" s="263"/>
    </row>
    <row r="769" spans="1:9" ht="30" x14ac:dyDescent="0.25">
      <c r="A769" s="206" t="s">
        <v>10</v>
      </c>
      <c r="B769" s="218" t="s">
        <v>1108</v>
      </c>
      <c r="C769" s="620">
        <v>90</v>
      </c>
      <c r="D769" s="206" t="s">
        <v>35</v>
      </c>
      <c r="E769" s="304">
        <f>E764</f>
        <v>12350</v>
      </c>
      <c r="F769" s="207">
        <f>E769*C769</f>
        <v>1111500</v>
      </c>
      <c r="G769" s="205">
        <v>69</v>
      </c>
      <c r="H769" s="263">
        <f t="shared" si="12"/>
        <v>66.557400000000001</v>
      </c>
      <c r="I769" s="263">
        <v>66.557400000000001</v>
      </c>
    </row>
    <row r="770" spans="1:9" s="236" customFormat="1" ht="27" customHeight="1" x14ac:dyDescent="0.25">
      <c r="A770" s="206" t="s">
        <v>11</v>
      </c>
      <c r="B770" s="214" t="s">
        <v>642</v>
      </c>
      <c r="C770" s="620">
        <f>C769*1.1</f>
        <v>99.000000000000014</v>
      </c>
      <c r="D770" s="206" t="s">
        <v>22</v>
      </c>
      <c r="E770" s="304">
        <f>E769*0.15</f>
        <v>1852.5</v>
      </c>
      <c r="F770" s="207">
        <f>E770*C770</f>
        <v>183397.50000000003</v>
      </c>
      <c r="G770" s="205">
        <f>G769*1.1</f>
        <v>75.900000000000006</v>
      </c>
      <c r="H770" s="263">
        <f t="shared" si="12"/>
        <v>73.21314000000001</v>
      </c>
      <c r="I770" s="263">
        <v>73.21314000000001</v>
      </c>
    </row>
    <row r="771" spans="1:9" s="260" customFormat="1" ht="35.450000000000003" customHeight="1" x14ac:dyDescent="0.25">
      <c r="A771" s="206"/>
      <c r="B771" s="234" t="s">
        <v>644</v>
      </c>
      <c r="C771" s="620"/>
      <c r="D771" s="206"/>
      <c r="E771" s="304"/>
      <c r="F771" s="288"/>
      <c r="G771" s="205"/>
      <c r="H771" s="263"/>
      <c r="I771" s="263"/>
    </row>
    <row r="772" spans="1:9" ht="24" customHeight="1" x14ac:dyDescent="0.25">
      <c r="B772" s="219" t="s">
        <v>645</v>
      </c>
      <c r="C772" s="620"/>
      <c r="F772" s="288"/>
      <c r="H772" s="263"/>
      <c r="I772" s="263"/>
    </row>
    <row r="773" spans="1:9" ht="18.95" customHeight="1" x14ac:dyDescent="0.25">
      <c r="A773" s="206" t="s">
        <v>12</v>
      </c>
      <c r="B773" s="214" t="s">
        <v>646</v>
      </c>
      <c r="C773" s="620">
        <f>C760+C762+C764+C766+C769</f>
        <v>945.35379999999998</v>
      </c>
      <c r="D773" s="206" t="s">
        <v>35</v>
      </c>
      <c r="E773" s="304">
        <v>4200</v>
      </c>
      <c r="F773" s="207">
        <f>E773*C773</f>
        <v>3970485.96</v>
      </c>
      <c r="G773" s="205">
        <f>G769+G766+G764+G762+G760</f>
        <v>928</v>
      </c>
      <c r="H773" s="263">
        <f t="shared" si="12"/>
        <v>895.14880000000005</v>
      </c>
      <c r="I773" s="263">
        <v>895.14880000000005</v>
      </c>
    </row>
    <row r="774" spans="1:9" x14ac:dyDescent="0.25">
      <c r="A774" s="206" t="s">
        <v>13</v>
      </c>
      <c r="B774" s="214" t="s">
        <v>627</v>
      </c>
      <c r="C774" s="620">
        <f>C763+C765+C767+C770</f>
        <v>930.60000000000014</v>
      </c>
      <c r="D774" s="206" t="s">
        <v>22</v>
      </c>
      <c r="E774" s="304">
        <f>E773*0.15</f>
        <v>630</v>
      </c>
      <c r="F774" s="207">
        <f>E774*C774</f>
        <v>586278.00000000012</v>
      </c>
      <c r="G774" s="205">
        <f>G767+G765+G763+G770</f>
        <v>907.5</v>
      </c>
      <c r="H774" s="263">
        <f t="shared" si="12"/>
        <v>875.37450000000001</v>
      </c>
      <c r="I774" s="263">
        <v>875.37450000000001</v>
      </c>
    </row>
    <row r="775" spans="1:9" ht="4.9000000000000004" customHeight="1" x14ac:dyDescent="0.25">
      <c r="C775" s="620"/>
      <c r="H775" s="263">
        <f t="shared" si="12"/>
        <v>0</v>
      </c>
      <c r="I775" s="263">
        <v>0</v>
      </c>
    </row>
    <row r="776" spans="1:9" ht="15.75" customHeight="1" x14ac:dyDescent="0.25">
      <c r="B776" s="242" t="s">
        <v>628</v>
      </c>
      <c r="C776" s="620"/>
      <c r="F776" s="227"/>
      <c r="H776" s="263"/>
      <c r="I776" s="263"/>
    </row>
    <row r="777" spans="1:9" ht="13.5" customHeight="1" x14ac:dyDescent="0.25">
      <c r="B777" s="224" t="s">
        <v>647</v>
      </c>
      <c r="C777" s="620"/>
      <c r="F777" s="288"/>
      <c r="H777" s="263"/>
      <c r="I777" s="263"/>
    </row>
    <row r="778" spans="1:9" ht="13.5" customHeight="1" x14ac:dyDescent="0.25">
      <c r="B778" s="224"/>
      <c r="C778" s="620"/>
      <c r="F778" s="288"/>
      <c r="H778" s="263"/>
      <c r="I778" s="263"/>
    </row>
    <row r="779" spans="1:9" ht="16.5" customHeight="1" x14ac:dyDescent="0.25">
      <c r="B779" s="210" t="s">
        <v>1021</v>
      </c>
      <c r="C779" s="620"/>
      <c r="F779" s="227"/>
      <c r="H779" s="263"/>
      <c r="I779" s="263"/>
    </row>
    <row r="780" spans="1:9" ht="30" x14ac:dyDescent="0.25">
      <c r="A780" s="206" t="s">
        <v>14</v>
      </c>
      <c r="B780" s="218" t="s">
        <v>1022</v>
      </c>
      <c r="C780" s="620">
        <v>17.3628</v>
      </c>
      <c r="D780" s="206" t="s">
        <v>35</v>
      </c>
      <c r="E780" s="304">
        <v>23300</v>
      </c>
      <c r="F780" s="207">
        <f>E780*C780</f>
        <v>404553.24</v>
      </c>
      <c r="G780" s="205">
        <v>18</v>
      </c>
      <c r="H780" s="263">
        <f t="shared" ref="H780:H811" si="14">G780-G780*3.54%</f>
        <v>17.3628</v>
      </c>
      <c r="I780" s="263">
        <v>17.3628</v>
      </c>
    </row>
    <row r="781" spans="1:9" x14ac:dyDescent="0.25">
      <c r="A781" s="206" t="s">
        <v>15</v>
      </c>
      <c r="B781" s="214" t="s">
        <v>642</v>
      </c>
      <c r="C781" s="620">
        <v>19.099080000000001</v>
      </c>
      <c r="D781" s="206" t="s">
        <v>22</v>
      </c>
      <c r="E781" s="304">
        <f>E780*0.15</f>
        <v>3495</v>
      </c>
      <c r="F781" s="207">
        <f>E781*C781</f>
        <v>66751.284599999999</v>
      </c>
      <c r="G781" s="205">
        <f>G780*1.1</f>
        <v>19.8</v>
      </c>
      <c r="H781" s="263">
        <f t="shared" si="14"/>
        <v>19.099080000000001</v>
      </c>
      <c r="I781" s="263">
        <v>19.099080000000001</v>
      </c>
    </row>
    <row r="782" spans="1:9" ht="33" x14ac:dyDescent="0.25">
      <c r="B782" s="234" t="s">
        <v>648</v>
      </c>
      <c r="C782" s="620"/>
      <c r="F782" s="227"/>
      <c r="H782" s="263"/>
      <c r="I782" s="263"/>
    </row>
    <row r="783" spans="1:9" x14ac:dyDescent="0.25">
      <c r="B783" s="224" t="s">
        <v>645</v>
      </c>
      <c r="C783" s="620"/>
      <c r="F783" s="227"/>
      <c r="H783" s="263"/>
      <c r="I783" s="263"/>
    </row>
    <row r="784" spans="1:9" ht="18.75" customHeight="1" x14ac:dyDescent="0.25">
      <c r="A784" s="206" t="s">
        <v>16</v>
      </c>
      <c r="B784" s="214" t="s">
        <v>649</v>
      </c>
      <c r="C784" s="620">
        <v>17.3628</v>
      </c>
      <c r="D784" s="206" t="s">
        <v>35</v>
      </c>
      <c r="E784" s="304">
        <f>E773</f>
        <v>4200</v>
      </c>
      <c r="F784" s="207">
        <f>E784*C784</f>
        <v>72923.759999999995</v>
      </c>
      <c r="G784" s="205">
        <f>G780</f>
        <v>18</v>
      </c>
      <c r="H784" s="263">
        <f t="shared" si="14"/>
        <v>17.3628</v>
      </c>
      <c r="I784" s="263">
        <v>17.3628</v>
      </c>
    </row>
    <row r="785" spans="1:9" x14ac:dyDescent="0.25">
      <c r="A785" s="206" t="s">
        <v>17</v>
      </c>
      <c r="B785" s="214" t="s">
        <v>627</v>
      </c>
      <c r="C785" s="620">
        <v>19.099080000000001</v>
      </c>
      <c r="D785" s="206" t="s">
        <v>22</v>
      </c>
      <c r="E785" s="304">
        <f>E774</f>
        <v>630</v>
      </c>
      <c r="F785" s="207">
        <f>E785*C785</f>
        <v>12032.420400000001</v>
      </c>
      <c r="G785" s="205">
        <f>G781</f>
        <v>19.8</v>
      </c>
      <c r="H785" s="263">
        <f t="shared" si="14"/>
        <v>19.099080000000001</v>
      </c>
      <c r="I785" s="263">
        <v>19.099080000000001</v>
      </c>
    </row>
    <row r="786" spans="1:9" ht="13.5" customHeight="1" x14ac:dyDescent="0.25">
      <c r="B786" s="224"/>
      <c r="C786" s="620"/>
      <c r="F786" s="288"/>
      <c r="H786" s="263"/>
      <c r="I786" s="263"/>
    </row>
    <row r="787" spans="1:9" x14ac:dyDescent="0.25">
      <c r="C787" s="620"/>
      <c r="H787" s="263"/>
      <c r="I787" s="263"/>
    </row>
    <row r="788" spans="1:9" x14ac:dyDescent="0.25">
      <c r="C788" s="620"/>
      <c r="H788" s="263"/>
      <c r="I788" s="263"/>
    </row>
    <row r="789" spans="1:9" x14ac:dyDescent="0.25">
      <c r="C789" s="620"/>
      <c r="H789" s="263"/>
      <c r="I789" s="263"/>
    </row>
    <row r="790" spans="1:9" x14ac:dyDescent="0.25">
      <c r="B790" s="210" t="s">
        <v>265</v>
      </c>
      <c r="C790" s="620"/>
      <c r="H790" s="263"/>
      <c r="I790" s="263"/>
    </row>
    <row r="791" spans="1:9" ht="12.75" customHeight="1" x14ac:dyDescent="0.25">
      <c r="B791" s="220" t="s">
        <v>534</v>
      </c>
      <c r="C791" s="620"/>
      <c r="D791" s="209"/>
      <c r="E791" s="303" t="s">
        <v>15</v>
      </c>
      <c r="F791" s="285">
        <f>SUM(F759:F790)</f>
        <v>18129568.465000004</v>
      </c>
      <c r="G791" s="221"/>
      <c r="H791" s="263"/>
      <c r="I791" s="263"/>
    </row>
    <row r="792" spans="1:9" x14ac:dyDescent="0.25">
      <c r="A792" s="209" t="s">
        <v>796</v>
      </c>
      <c r="B792" s="209"/>
      <c r="C792" s="620"/>
      <c r="D792" s="209" t="s">
        <v>765</v>
      </c>
      <c r="E792" s="388" t="s">
        <v>914</v>
      </c>
      <c r="F792" s="273" t="s">
        <v>768</v>
      </c>
      <c r="G792" s="221" t="s">
        <v>773</v>
      </c>
      <c r="H792" s="263"/>
      <c r="I792" s="263"/>
    </row>
    <row r="793" spans="1:9" ht="12" customHeight="1" x14ac:dyDescent="0.25">
      <c r="B793" s="210" t="s">
        <v>650</v>
      </c>
      <c r="C793" s="620"/>
      <c r="H793" s="263"/>
      <c r="I793" s="263"/>
    </row>
    <row r="794" spans="1:9" ht="12" customHeight="1" x14ac:dyDescent="0.25">
      <c r="B794" s="210"/>
      <c r="C794" s="620"/>
      <c r="H794" s="263"/>
      <c r="I794" s="263"/>
    </row>
    <row r="795" spans="1:9" ht="12" customHeight="1" x14ac:dyDescent="0.25">
      <c r="B795" s="210" t="s">
        <v>281</v>
      </c>
      <c r="C795" s="620"/>
      <c r="H795" s="263"/>
      <c r="I795" s="263"/>
    </row>
    <row r="796" spans="1:9" ht="12" customHeight="1" x14ac:dyDescent="0.25">
      <c r="B796" s="210"/>
      <c r="C796" s="620"/>
      <c r="H796" s="263"/>
      <c r="I796" s="263"/>
    </row>
    <row r="797" spans="1:9" ht="12" customHeight="1" x14ac:dyDescent="0.25">
      <c r="B797" s="210" t="s">
        <v>282</v>
      </c>
      <c r="C797" s="620"/>
      <c r="H797" s="263"/>
      <c r="I797" s="263"/>
    </row>
    <row r="798" spans="1:9" ht="12" customHeight="1" x14ac:dyDescent="0.25">
      <c r="B798" s="210"/>
      <c r="C798" s="620"/>
      <c r="H798" s="263"/>
      <c r="I798" s="263"/>
    </row>
    <row r="799" spans="1:9" ht="12" customHeight="1" x14ac:dyDescent="0.25">
      <c r="B799" s="220" t="s">
        <v>629</v>
      </c>
      <c r="C799" s="620"/>
      <c r="F799" s="289"/>
      <c r="H799" s="263"/>
      <c r="I799" s="263"/>
    </row>
    <row r="800" spans="1:9" x14ac:dyDescent="0.25">
      <c r="B800" s="224" t="s">
        <v>651</v>
      </c>
      <c r="C800" s="620"/>
      <c r="F800" s="289"/>
      <c r="H800" s="263"/>
      <c r="I800" s="263"/>
    </row>
    <row r="801" spans="1:9" x14ac:dyDescent="0.25">
      <c r="A801" s="206" t="s">
        <v>2</v>
      </c>
      <c r="B801" s="214" t="s">
        <v>285</v>
      </c>
      <c r="C801" s="620"/>
      <c r="D801" s="206" t="s">
        <v>35</v>
      </c>
      <c r="E801" s="304">
        <f>E712</f>
        <v>3500</v>
      </c>
      <c r="F801" s="207">
        <f>E801*C801</f>
        <v>0</v>
      </c>
      <c r="H801" s="263"/>
      <c r="I801" s="263"/>
    </row>
    <row r="802" spans="1:9" ht="12" customHeight="1" x14ac:dyDescent="0.25">
      <c r="B802" s="220" t="s">
        <v>614</v>
      </c>
      <c r="C802" s="620"/>
      <c r="F802" s="289"/>
      <c r="H802" s="263"/>
      <c r="I802" s="263"/>
    </row>
    <row r="803" spans="1:9" x14ac:dyDescent="0.25">
      <c r="B803" s="220" t="s">
        <v>687</v>
      </c>
      <c r="C803" s="620"/>
      <c r="F803" s="289"/>
      <c r="H803" s="263"/>
      <c r="I803" s="263"/>
    </row>
    <row r="804" spans="1:9" x14ac:dyDescent="0.25">
      <c r="A804" s="206" t="s">
        <v>4</v>
      </c>
      <c r="B804" s="214" t="s">
        <v>688</v>
      </c>
      <c r="C804" s="620">
        <f>C773+C784</f>
        <v>962.71659999999997</v>
      </c>
      <c r="D804" s="206" t="s">
        <v>35</v>
      </c>
      <c r="E804" s="304">
        <v>13200</v>
      </c>
      <c r="F804" s="207">
        <f>E804*C804</f>
        <v>12707859.119999999</v>
      </c>
      <c r="G804" s="205">
        <f>G784+G773</f>
        <v>946</v>
      </c>
      <c r="H804" s="263">
        <f t="shared" si="14"/>
        <v>912.51160000000004</v>
      </c>
      <c r="I804" s="263">
        <v>912.51160000000004</v>
      </c>
    </row>
    <row r="805" spans="1:9" x14ac:dyDescent="0.25">
      <c r="C805" s="620"/>
      <c r="H805" s="263"/>
      <c r="I805" s="263"/>
    </row>
    <row r="806" spans="1:9" x14ac:dyDescent="0.25">
      <c r="B806" s="220" t="s">
        <v>653</v>
      </c>
      <c r="C806" s="620"/>
      <c r="F806" s="289"/>
      <c r="H806" s="263"/>
      <c r="I806" s="263"/>
    </row>
    <row r="807" spans="1:9" ht="19.5" customHeight="1" x14ac:dyDescent="0.25">
      <c r="B807" s="272" t="s">
        <v>654</v>
      </c>
      <c r="C807" s="620"/>
      <c r="H807" s="263"/>
      <c r="I807" s="263"/>
    </row>
    <row r="808" spans="1:9" ht="16.5" customHeight="1" x14ac:dyDescent="0.25">
      <c r="A808" s="206" t="s">
        <v>5</v>
      </c>
      <c r="B808" s="214" t="s">
        <v>287</v>
      </c>
      <c r="C808" s="620">
        <v>1152</v>
      </c>
      <c r="D808" s="206" t="s">
        <v>22</v>
      </c>
      <c r="E808" s="304">
        <v>400</v>
      </c>
      <c r="F808" s="207">
        <f>E808*C808</f>
        <v>460800</v>
      </c>
      <c r="G808" s="205">
        <v>1087</v>
      </c>
      <c r="H808" s="263">
        <f t="shared" si="14"/>
        <v>1048.5201999999999</v>
      </c>
      <c r="I808" s="263">
        <v>1048.5201999999999</v>
      </c>
    </row>
    <row r="809" spans="1:9" ht="15.75" customHeight="1" x14ac:dyDescent="0.25">
      <c r="B809" s="220" t="s">
        <v>152</v>
      </c>
      <c r="C809" s="620"/>
      <c r="F809" s="289"/>
      <c r="H809" s="263"/>
      <c r="I809" s="263"/>
    </row>
    <row r="810" spans="1:9" ht="30" x14ac:dyDescent="0.25">
      <c r="B810" s="218" t="s">
        <v>655</v>
      </c>
      <c r="C810" s="620"/>
      <c r="F810" s="289"/>
      <c r="H810" s="263"/>
      <c r="I810" s="263"/>
    </row>
    <row r="811" spans="1:9" ht="17.25" customHeight="1" x14ac:dyDescent="0.25">
      <c r="A811" s="206" t="s">
        <v>6</v>
      </c>
      <c r="B811" s="214" t="s">
        <v>656</v>
      </c>
      <c r="C811" s="620">
        <f>C804</f>
        <v>962.71659999999997</v>
      </c>
      <c r="D811" s="206" t="s">
        <v>35</v>
      </c>
      <c r="E811" s="304">
        <f>E700</f>
        <v>2200</v>
      </c>
      <c r="F811" s="207">
        <f>E811*C811</f>
        <v>2117976.52</v>
      </c>
      <c r="G811" s="205">
        <f>G804</f>
        <v>946</v>
      </c>
      <c r="H811" s="263">
        <f t="shared" si="14"/>
        <v>912.51160000000004</v>
      </c>
      <c r="I811" s="263">
        <v>912.51160000000004</v>
      </c>
    </row>
    <row r="812" spans="1:9" ht="17.25" customHeight="1" x14ac:dyDescent="0.25">
      <c r="C812" s="620"/>
      <c r="H812" s="263"/>
      <c r="I812" s="263"/>
    </row>
    <row r="813" spans="1:9" ht="17.25" customHeight="1" x14ac:dyDescent="0.25">
      <c r="C813" s="620"/>
      <c r="H813" s="263"/>
      <c r="I813" s="263"/>
    </row>
    <row r="814" spans="1:9" ht="17.25" customHeight="1" x14ac:dyDescent="0.25">
      <c r="C814" s="620"/>
      <c r="H814" s="263"/>
      <c r="I814" s="263"/>
    </row>
    <row r="815" spans="1:9" x14ac:dyDescent="0.25">
      <c r="B815" s="215"/>
      <c r="C815" s="620"/>
      <c r="F815" s="289"/>
      <c r="H815" s="263"/>
      <c r="I815" s="263"/>
    </row>
    <row r="816" spans="1:9" x14ac:dyDescent="0.25">
      <c r="B816" s="215"/>
      <c r="C816" s="620"/>
      <c r="F816" s="289"/>
      <c r="H816" s="263"/>
      <c r="I816" s="263"/>
    </row>
    <row r="817" spans="1:9" x14ac:dyDescent="0.25">
      <c r="B817" s="215"/>
      <c r="C817" s="620"/>
      <c r="F817" s="289"/>
      <c r="H817" s="263"/>
      <c r="I817" s="263"/>
    </row>
    <row r="818" spans="1:9" x14ac:dyDescent="0.25">
      <c r="B818" s="215"/>
      <c r="C818" s="620"/>
      <c r="F818" s="289"/>
      <c r="H818" s="263"/>
      <c r="I818" s="263"/>
    </row>
    <row r="819" spans="1:9" x14ac:dyDescent="0.25">
      <c r="B819" s="210" t="s">
        <v>281</v>
      </c>
      <c r="C819" s="620"/>
      <c r="D819" s="209"/>
      <c r="E819" s="303"/>
      <c r="F819" s="222"/>
      <c r="G819" s="221"/>
      <c r="H819" s="263"/>
      <c r="I819" s="263"/>
    </row>
    <row r="820" spans="1:9" x14ac:dyDescent="0.25">
      <c r="B820" s="220" t="s">
        <v>534</v>
      </c>
      <c r="C820" s="620"/>
      <c r="D820" s="209"/>
      <c r="E820" s="303" t="s">
        <v>15</v>
      </c>
      <c r="F820" s="285">
        <f>SUM(F799:F819)</f>
        <v>15286635.639999999</v>
      </c>
      <c r="G820" s="221"/>
      <c r="H820" s="263"/>
      <c r="I820" s="263"/>
    </row>
    <row r="821" spans="1:9" x14ac:dyDescent="0.25">
      <c r="A821" s="209" t="s">
        <v>796</v>
      </c>
      <c r="B821" s="209"/>
      <c r="C821" s="620"/>
      <c r="D821" s="209" t="s">
        <v>765</v>
      </c>
      <c r="E821" s="388" t="s">
        <v>914</v>
      </c>
      <c r="F821" s="273" t="s">
        <v>768</v>
      </c>
      <c r="G821" s="221" t="s">
        <v>773</v>
      </c>
      <c r="H821" s="263"/>
      <c r="I821" s="263"/>
    </row>
    <row r="822" spans="1:9" s="497" customFormat="1" ht="18.75" x14ac:dyDescent="0.3">
      <c r="A822" s="197"/>
      <c r="B822" s="292" t="s">
        <v>792</v>
      </c>
      <c r="C822" s="620"/>
      <c r="D822" s="294"/>
      <c r="E822" s="295"/>
      <c r="F822" s="296"/>
      <c r="G822" s="293"/>
      <c r="H822" s="263"/>
      <c r="I822" s="263"/>
    </row>
    <row r="823" spans="1:9" s="497" customFormat="1" ht="15" customHeight="1" x14ac:dyDescent="0.3">
      <c r="A823" s="197"/>
      <c r="B823" s="292" t="s">
        <v>657</v>
      </c>
      <c r="C823" s="620"/>
      <c r="D823" s="294"/>
      <c r="E823" s="295"/>
      <c r="F823" s="296"/>
      <c r="G823" s="293"/>
      <c r="H823" s="263"/>
      <c r="I823" s="263"/>
    </row>
    <row r="824" spans="1:9" s="497" customFormat="1" ht="15" customHeight="1" x14ac:dyDescent="0.3">
      <c r="A824" s="197"/>
      <c r="B824" s="292"/>
      <c r="C824" s="620"/>
      <c r="D824" s="294"/>
      <c r="E824" s="295"/>
      <c r="F824" s="296"/>
      <c r="G824" s="293"/>
      <c r="H824" s="263"/>
      <c r="I824" s="263"/>
    </row>
    <row r="825" spans="1:9" s="497" customFormat="1" ht="15" customHeight="1" x14ac:dyDescent="0.3">
      <c r="A825" s="197"/>
      <c r="B825" s="292"/>
      <c r="C825" s="620"/>
      <c r="D825" s="294"/>
      <c r="E825" s="295"/>
      <c r="F825" s="296"/>
      <c r="G825" s="293"/>
      <c r="H825" s="263"/>
      <c r="I825" s="263"/>
    </row>
    <row r="826" spans="1:9" s="214" customFormat="1" ht="30" x14ac:dyDescent="0.3">
      <c r="A826" s="206" t="s">
        <v>2</v>
      </c>
      <c r="B826" s="358" t="s">
        <v>985</v>
      </c>
      <c r="C826" s="620"/>
      <c r="D826" s="206"/>
      <c r="E826" s="333"/>
      <c r="F826" s="360">
        <f>2000000*6</f>
        <v>12000000</v>
      </c>
      <c r="G826" s="331"/>
      <c r="H826" s="263"/>
      <c r="I826" s="263"/>
    </row>
    <row r="827" spans="1:9" s="214" customFormat="1" x14ac:dyDescent="0.25">
      <c r="A827" s="206"/>
      <c r="B827" s="220"/>
      <c r="C827" s="620"/>
      <c r="D827" s="206"/>
      <c r="E827" s="333"/>
      <c r="F827" s="332"/>
      <c r="G827" s="331"/>
      <c r="H827" s="263"/>
      <c r="I827" s="263"/>
    </row>
    <row r="828" spans="1:9" s="214" customFormat="1" x14ac:dyDescent="0.25">
      <c r="A828" s="206"/>
      <c r="B828" s="220"/>
      <c r="C828" s="620"/>
      <c r="D828" s="206"/>
      <c r="E828" s="333"/>
      <c r="F828" s="332"/>
      <c r="G828" s="331"/>
      <c r="H828" s="263"/>
      <c r="I828" s="263"/>
    </row>
    <row r="829" spans="1:9" s="214" customFormat="1" x14ac:dyDescent="0.25">
      <c r="A829" s="206"/>
      <c r="B829" s="220"/>
      <c r="C829" s="620"/>
      <c r="D829" s="206"/>
      <c r="E829" s="333"/>
      <c r="F829" s="332"/>
      <c r="G829" s="331"/>
      <c r="H829" s="263"/>
      <c r="I829" s="263"/>
    </row>
    <row r="830" spans="1:9" s="214" customFormat="1" x14ac:dyDescent="0.25">
      <c r="A830" s="206"/>
      <c r="B830" s="220"/>
      <c r="C830" s="620"/>
      <c r="D830" s="206"/>
      <c r="E830" s="333"/>
      <c r="F830" s="332"/>
      <c r="G830" s="331"/>
      <c r="H830" s="263"/>
      <c r="I830" s="263"/>
    </row>
    <row r="831" spans="1:9" s="214" customFormat="1" x14ac:dyDescent="0.25">
      <c r="A831" s="206"/>
      <c r="B831" s="220"/>
      <c r="C831" s="620"/>
      <c r="D831" s="206"/>
      <c r="E831" s="333"/>
      <c r="F831" s="332"/>
      <c r="G831" s="331"/>
      <c r="H831" s="263"/>
      <c r="I831" s="263"/>
    </row>
    <row r="832" spans="1:9" s="214" customFormat="1" x14ac:dyDescent="0.25">
      <c r="A832" s="206"/>
      <c r="B832" s="220"/>
      <c r="C832" s="620"/>
      <c r="D832" s="206"/>
      <c r="E832" s="333"/>
      <c r="F832" s="332"/>
      <c r="G832" s="331"/>
      <c r="H832" s="263"/>
      <c r="I832" s="263"/>
    </row>
    <row r="833" spans="1:9" s="214" customFormat="1" x14ac:dyDescent="0.25">
      <c r="A833" s="206"/>
      <c r="B833" s="220"/>
      <c r="C833" s="620"/>
      <c r="D833" s="206"/>
      <c r="E833" s="333"/>
      <c r="F833" s="332"/>
      <c r="G833" s="331"/>
      <c r="H833" s="263"/>
      <c r="I833" s="263"/>
    </row>
    <row r="834" spans="1:9" s="214" customFormat="1" x14ac:dyDescent="0.25">
      <c r="A834" s="206"/>
      <c r="B834" s="220"/>
      <c r="C834" s="620"/>
      <c r="D834" s="206"/>
      <c r="E834" s="333"/>
      <c r="F834" s="332"/>
      <c r="G834" s="331"/>
      <c r="H834" s="263"/>
      <c r="I834" s="263"/>
    </row>
    <row r="835" spans="1:9" s="214" customFormat="1" x14ac:dyDescent="0.25">
      <c r="A835" s="206"/>
      <c r="B835" s="220"/>
      <c r="C835" s="620"/>
      <c r="D835" s="206"/>
      <c r="E835" s="333"/>
      <c r="F835" s="332"/>
      <c r="G835" s="331"/>
      <c r="H835" s="263"/>
      <c r="I835" s="263"/>
    </row>
    <row r="836" spans="1:9" s="214" customFormat="1" x14ac:dyDescent="0.25">
      <c r="A836" s="206"/>
      <c r="B836" s="220"/>
      <c r="C836" s="620"/>
      <c r="D836" s="206"/>
      <c r="E836" s="333"/>
      <c r="F836" s="332"/>
      <c r="G836" s="331"/>
      <c r="H836" s="263"/>
      <c r="I836" s="263"/>
    </row>
    <row r="837" spans="1:9" s="214" customFormat="1" x14ac:dyDescent="0.25">
      <c r="A837" s="206"/>
      <c r="B837" s="220"/>
      <c r="C837" s="620"/>
      <c r="D837" s="206"/>
      <c r="E837" s="333"/>
      <c r="F837" s="332"/>
      <c r="G837" s="331"/>
      <c r="H837" s="263"/>
      <c r="I837" s="263"/>
    </row>
    <row r="838" spans="1:9" s="214" customFormat="1" x14ac:dyDescent="0.25">
      <c r="A838" s="206"/>
      <c r="B838" s="220"/>
      <c r="C838" s="620"/>
      <c r="D838" s="206"/>
      <c r="E838" s="333"/>
      <c r="F838" s="332"/>
      <c r="G838" s="331"/>
      <c r="H838" s="263"/>
      <c r="I838" s="263"/>
    </row>
    <row r="839" spans="1:9" s="214" customFormat="1" x14ac:dyDescent="0.25">
      <c r="A839" s="206"/>
      <c r="B839" s="220"/>
      <c r="C839" s="620"/>
      <c r="D839" s="206"/>
      <c r="E839" s="333"/>
      <c r="F839" s="332"/>
      <c r="G839" s="331"/>
      <c r="H839" s="263"/>
      <c r="I839" s="263"/>
    </row>
    <row r="840" spans="1:9" s="214" customFormat="1" x14ac:dyDescent="0.25">
      <c r="A840" s="206"/>
      <c r="B840" s="220"/>
      <c r="C840" s="620"/>
      <c r="D840" s="206"/>
      <c r="E840" s="333"/>
      <c r="F840" s="332"/>
      <c r="G840" s="331"/>
      <c r="H840" s="263"/>
      <c r="I840" s="263"/>
    </row>
    <row r="841" spans="1:9" s="214" customFormat="1" x14ac:dyDescent="0.25">
      <c r="A841" s="206"/>
      <c r="B841" s="220"/>
      <c r="C841" s="620"/>
      <c r="D841" s="206"/>
      <c r="E841" s="333"/>
      <c r="F841" s="332"/>
      <c r="G841" s="331"/>
      <c r="H841" s="263"/>
      <c r="I841" s="263"/>
    </row>
    <row r="842" spans="1:9" s="214" customFormat="1" x14ac:dyDescent="0.25">
      <c r="A842" s="206"/>
      <c r="B842" s="220"/>
      <c r="C842" s="620"/>
      <c r="D842" s="206"/>
      <c r="E842" s="333"/>
      <c r="F842" s="332"/>
      <c r="G842" s="331"/>
      <c r="H842" s="263"/>
      <c r="I842" s="263"/>
    </row>
    <row r="843" spans="1:9" s="214" customFormat="1" ht="19.149999999999999" customHeight="1" x14ac:dyDescent="0.25">
      <c r="A843" s="206"/>
      <c r="B843" s="231"/>
      <c r="C843" s="620"/>
      <c r="D843" s="209"/>
      <c r="E843" s="333"/>
      <c r="F843" s="313"/>
      <c r="G843" s="311"/>
      <c r="H843" s="263"/>
      <c r="I843" s="263"/>
    </row>
    <row r="844" spans="1:9" s="214" customFormat="1" ht="19.149999999999999" customHeight="1" x14ac:dyDescent="0.25">
      <c r="A844" s="206"/>
      <c r="B844" s="231"/>
      <c r="C844" s="620"/>
      <c r="D844" s="209"/>
      <c r="E844" s="333"/>
      <c r="F844" s="313"/>
      <c r="G844" s="311"/>
      <c r="H844" s="263"/>
      <c r="I844" s="263"/>
    </row>
    <row r="845" spans="1:9" s="214" customFormat="1" ht="19.149999999999999" customHeight="1" x14ac:dyDescent="0.25">
      <c r="A845" s="206"/>
      <c r="B845" s="231"/>
      <c r="C845" s="620"/>
      <c r="D845" s="209"/>
      <c r="E845" s="333"/>
      <c r="F845" s="313"/>
      <c r="G845" s="311"/>
      <c r="H845" s="263"/>
      <c r="I845" s="263"/>
    </row>
    <row r="846" spans="1:9" s="214" customFormat="1" ht="19.149999999999999" customHeight="1" x14ac:dyDescent="0.25">
      <c r="A846" s="206"/>
      <c r="B846" s="231"/>
      <c r="C846" s="620"/>
      <c r="D846" s="209"/>
      <c r="E846" s="333"/>
      <c r="F846" s="313"/>
      <c r="G846" s="311"/>
      <c r="H846" s="263"/>
      <c r="I846" s="263"/>
    </row>
    <row r="847" spans="1:9" s="214" customFormat="1" ht="19.149999999999999" customHeight="1" x14ac:dyDescent="0.25">
      <c r="A847" s="206"/>
      <c r="B847" s="231"/>
      <c r="C847" s="620"/>
      <c r="D847" s="209"/>
      <c r="E847" s="333"/>
      <c r="F847" s="313"/>
      <c r="G847" s="311"/>
      <c r="H847" s="263"/>
      <c r="I847" s="263"/>
    </row>
    <row r="848" spans="1:9" s="214" customFormat="1" ht="19.149999999999999" customHeight="1" x14ac:dyDescent="0.25">
      <c r="A848" s="206"/>
      <c r="B848" s="231"/>
      <c r="C848" s="620"/>
      <c r="D848" s="209"/>
      <c r="E848" s="333"/>
      <c r="F848" s="313"/>
      <c r="G848" s="311"/>
      <c r="H848" s="263"/>
      <c r="I848" s="263"/>
    </row>
    <row r="849" spans="1:9" s="214" customFormat="1" ht="19.149999999999999" customHeight="1" x14ac:dyDescent="0.25">
      <c r="A849" s="206"/>
      <c r="B849" s="231"/>
      <c r="C849" s="620"/>
      <c r="D849" s="209"/>
      <c r="E849" s="333"/>
      <c r="F849" s="313"/>
      <c r="G849" s="311"/>
      <c r="H849" s="263"/>
      <c r="I849" s="263"/>
    </row>
    <row r="850" spans="1:9" s="214" customFormat="1" ht="19.149999999999999" customHeight="1" x14ac:dyDescent="0.25">
      <c r="A850" s="206"/>
      <c r="B850" s="231"/>
      <c r="C850" s="620"/>
      <c r="D850" s="209"/>
      <c r="E850" s="333"/>
      <c r="F850" s="313"/>
      <c r="G850" s="311"/>
      <c r="H850" s="263"/>
      <c r="I850" s="263"/>
    </row>
    <row r="851" spans="1:9" s="214" customFormat="1" ht="17.25" customHeight="1" x14ac:dyDescent="0.25">
      <c r="A851" s="206"/>
      <c r="B851" s="231"/>
      <c r="C851" s="620"/>
      <c r="D851" s="209"/>
      <c r="E851" s="333"/>
      <c r="F851" s="313"/>
      <c r="G851" s="311"/>
      <c r="H851" s="263"/>
      <c r="I851" s="263"/>
    </row>
    <row r="852" spans="1:9" s="214" customFormat="1" ht="17.25" customHeight="1" x14ac:dyDescent="0.25">
      <c r="A852" s="206"/>
      <c r="B852" s="231"/>
      <c r="C852" s="620"/>
      <c r="D852" s="209"/>
      <c r="E852" s="333"/>
      <c r="F852" s="313"/>
      <c r="G852" s="311"/>
      <c r="H852" s="263"/>
      <c r="I852" s="263"/>
    </row>
    <row r="853" spans="1:9" s="214" customFormat="1" ht="17.25" customHeight="1" x14ac:dyDescent="0.25">
      <c r="A853" s="206"/>
      <c r="B853" s="231"/>
      <c r="C853" s="620"/>
      <c r="D853" s="209"/>
      <c r="E853" s="333"/>
      <c r="F853" s="313"/>
      <c r="G853" s="311"/>
      <c r="H853" s="263"/>
      <c r="I853" s="263"/>
    </row>
    <row r="854" spans="1:9" s="214" customFormat="1" ht="17.25" customHeight="1" x14ac:dyDescent="0.25">
      <c r="A854" s="206"/>
      <c r="B854" s="210" t="s">
        <v>658</v>
      </c>
      <c r="C854" s="620"/>
      <c r="D854" s="209"/>
      <c r="E854" s="333"/>
      <c r="F854" s="313"/>
      <c r="G854" s="311"/>
      <c r="H854" s="263"/>
      <c r="I854" s="263"/>
    </row>
    <row r="855" spans="1:9" s="214" customFormat="1" ht="17.25" customHeight="1" x14ac:dyDescent="0.25">
      <c r="A855" s="206"/>
      <c r="B855" s="220" t="s">
        <v>638</v>
      </c>
      <c r="C855" s="620"/>
      <c r="D855" s="209"/>
      <c r="E855" s="312" t="s">
        <v>15</v>
      </c>
      <c r="F855" s="313">
        <f>F826</f>
        <v>12000000</v>
      </c>
      <c r="G855" s="311"/>
      <c r="H855" s="263"/>
      <c r="I855" s="263"/>
    </row>
    <row r="856" spans="1:9" s="497" customFormat="1" ht="18.75" x14ac:dyDescent="0.3">
      <c r="A856" s="197"/>
      <c r="B856" s="292" t="s">
        <v>793</v>
      </c>
      <c r="C856" s="620"/>
      <c r="D856" s="197"/>
      <c r="E856" s="299"/>
      <c r="F856" s="201"/>
      <c r="G856" s="202"/>
      <c r="H856" s="263"/>
      <c r="I856" s="263"/>
    </row>
    <row r="857" spans="1:9" s="497" customFormat="1" ht="16.5" customHeight="1" x14ac:dyDescent="0.3">
      <c r="A857" s="197"/>
      <c r="B857" s="202"/>
      <c r="C857" s="620"/>
      <c r="D857" s="197"/>
      <c r="E857" s="299"/>
      <c r="F857" s="201"/>
      <c r="G857" s="202"/>
      <c r="H857" s="263"/>
      <c r="I857" s="263"/>
    </row>
    <row r="858" spans="1:9" s="497" customFormat="1" ht="17.25" customHeight="1" x14ac:dyDescent="0.3">
      <c r="A858" s="197"/>
      <c r="B858" s="300" t="s">
        <v>659</v>
      </c>
      <c r="C858" s="620"/>
      <c r="D858" s="197"/>
      <c r="E858" s="299"/>
      <c r="F858" s="201"/>
      <c r="G858" s="202"/>
      <c r="H858" s="263"/>
      <c r="I858" s="263"/>
    </row>
    <row r="859" spans="1:9" s="497" customFormat="1" ht="17.25" customHeight="1" x14ac:dyDescent="0.3">
      <c r="A859" s="197"/>
      <c r="B859" s="300"/>
      <c r="C859" s="620"/>
      <c r="D859" s="197"/>
      <c r="E859" s="299"/>
      <c r="F859" s="201"/>
      <c r="G859" s="202"/>
      <c r="H859" s="263"/>
      <c r="I859" s="263"/>
    </row>
    <row r="860" spans="1:9" s="534" customFormat="1" ht="17.25" x14ac:dyDescent="0.35">
      <c r="A860" s="354" t="s">
        <v>796</v>
      </c>
      <c r="B860" s="354" t="s">
        <v>764</v>
      </c>
      <c r="C860" s="620"/>
      <c r="D860" s="354" t="s">
        <v>773</v>
      </c>
      <c r="E860" s="354" t="s">
        <v>767</v>
      </c>
      <c r="F860" s="354" t="s">
        <v>768</v>
      </c>
      <c r="G860" s="354" t="s">
        <v>765</v>
      </c>
      <c r="H860" s="263"/>
      <c r="I860" s="263"/>
    </row>
    <row r="861" spans="1:9" s="534" customFormat="1" ht="17.25" x14ac:dyDescent="0.35">
      <c r="A861" s="354"/>
      <c r="B861" s="354"/>
      <c r="C861" s="620"/>
      <c r="D861" s="354"/>
      <c r="E861" s="354"/>
      <c r="F861" s="354"/>
      <c r="G861" s="354"/>
      <c r="H861" s="263"/>
      <c r="I861" s="263"/>
    </row>
    <row r="862" spans="1:9" s="534" customFormat="1" ht="30" x14ac:dyDescent="0.3">
      <c r="A862" s="357" t="s">
        <v>2</v>
      </c>
      <c r="B862" s="358" t="s">
        <v>877</v>
      </c>
      <c r="C862" s="620"/>
      <c r="E862" s="360"/>
      <c r="F862" s="360">
        <f>3000000*6</f>
        <v>18000000</v>
      </c>
      <c r="G862" s="359" t="s">
        <v>36</v>
      </c>
      <c r="H862" s="263"/>
      <c r="I862" s="263"/>
    </row>
    <row r="863" spans="1:9" s="534" customFormat="1" x14ac:dyDescent="0.3">
      <c r="A863" s="357"/>
      <c r="B863" s="358"/>
      <c r="C863" s="620"/>
      <c r="E863" s="360"/>
      <c r="F863" s="360"/>
      <c r="G863" s="359"/>
      <c r="H863" s="263"/>
      <c r="I863" s="263"/>
    </row>
    <row r="864" spans="1:9" s="534" customFormat="1" x14ac:dyDescent="0.3">
      <c r="A864" s="357"/>
      <c r="B864" s="358"/>
      <c r="C864" s="620"/>
      <c r="E864" s="360"/>
      <c r="F864" s="360"/>
      <c r="G864" s="359"/>
      <c r="H864" s="263"/>
      <c r="I864" s="263"/>
    </row>
    <row r="865" spans="1:9" s="534" customFormat="1" x14ac:dyDescent="0.3">
      <c r="A865" s="357"/>
      <c r="B865" s="358"/>
      <c r="C865" s="620"/>
      <c r="E865" s="360"/>
      <c r="F865" s="360"/>
      <c r="G865" s="359"/>
      <c r="H865" s="263"/>
      <c r="I865" s="263"/>
    </row>
    <row r="866" spans="1:9" s="534" customFormat="1" x14ac:dyDescent="0.3">
      <c r="A866" s="357"/>
      <c r="B866" s="358"/>
      <c r="C866" s="620"/>
      <c r="E866" s="360"/>
      <c r="F866" s="360"/>
      <c r="G866" s="359"/>
      <c r="H866" s="263"/>
      <c r="I866" s="263"/>
    </row>
    <row r="867" spans="1:9" s="534" customFormat="1" x14ac:dyDescent="0.3">
      <c r="A867" s="357"/>
      <c r="B867" s="358"/>
      <c r="C867" s="620"/>
      <c r="E867" s="360"/>
      <c r="F867" s="360"/>
      <c r="G867" s="359"/>
      <c r="H867" s="263"/>
      <c r="I867" s="263"/>
    </row>
    <row r="868" spans="1:9" s="534" customFormat="1" x14ac:dyDescent="0.3">
      <c r="A868" s="357"/>
      <c r="B868" s="358"/>
      <c r="C868" s="620"/>
      <c r="E868" s="360"/>
      <c r="F868" s="360"/>
      <c r="G868" s="359"/>
      <c r="H868" s="263"/>
      <c r="I868" s="263"/>
    </row>
    <row r="869" spans="1:9" s="534" customFormat="1" x14ac:dyDescent="0.3">
      <c r="A869" s="357"/>
      <c r="B869" s="358"/>
      <c r="C869" s="620"/>
      <c r="E869" s="360"/>
      <c r="F869" s="360"/>
      <c r="G869" s="359"/>
      <c r="H869" s="263"/>
      <c r="I869" s="263"/>
    </row>
    <row r="870" spans="1:9" s="534" customFormat="1" x14ac:dyDescent="0.3">
      <c r="A870" s="357"/>
      <c r="B870" s="358"/>
      <c r="C870" s="620"/>
      <c r="E870" s="360"/>
      <c r="F870" s="360"/>
      <c r="G870" s="359"/>
      <c r="H870" s="263"/>
      <c r="I870" s="263"/>
    </row>
    <row r="871" spans="1:9" s="534" customFormat="1" x14ac:dyDescent="0.3">
      <c r="A871" s="357"/>
      <c r="B871" s="358"/>
      <c r="C871" s="620"/>
      <c r="E871" s="360"/>
      <c r="F871" s="360"/>
      <c r="G871" s="359"/>
      <c r="H871" s="263"/>
      <c r="I871" s="263"/>
    </row>
    <row r="872" spans="1:9" s="534" customFormat="1" x14ac:dyDescent="0.3">
      <c r="A872" s="357"/>
      <c r="B872" s="358"/>
      <c r="C872" s="620"/>
      <c r="E872" s="360"/>
      <c r="F872" s="360"/>
      <c r="G872" s="359"/>
      <c r="H872" s="263"/>
      <c r="I872" s="263"/>
    </row>
    <row r="873" spans="1:9" s="534" customFormat="1" x14ac:dyDescent="0.3">
      <c r="A873" s="357"/>
      <c r="B873" s="358"/>
      <c r="C873" s="620"/>
      <c r="E873" s="360"/>
      <c r="F873" s="360"/>
      <c r="G873" s="359"/>
      <c r="H873" s="263"/>
      <c r="I873" s="263"/>
    </row>
    <row r="874" spans="1:9" s="534" customFormat="1" x14ac:dyDescent="0.3">
      <c r="A874" s="357"/>
      <c r="B874" s="358"/>
      <c r="C874" s="620"/>
      <c r="E874" s="360"/>
      <c r="F874" s="360"/>
      <c r="G874" s="359"/>
      <c r="H874" s="263"/>
      <c r="I874" s="263"/>
    </row>
    <row r="875" spans="1:9" s="534" customFormat="1" x14ac:dyDescent="0.3">
      <c r="A875" s="357"/>
      <c r="B875" s="358"/>
      <c r="C875" s="620"/>
      <c r="E875" s="360"/>
      <c r="F875" s="360"/>
      <c r="G875" s="359"/>
      <c r="H875" s="263"/>
      <c r="I875" s="263"/>
    </row>
    <row r="876" spans="1:9" s="534" customFormat="1" x14ac:dyDescent="0.3">
      <c r="A876" s="357"/>
      <c r="B876" s="358"/>
      <c r="C876" s="620"/>
      <c r="E876" s="360"/>
      <c r="F876" s="360"/>
      <c r="G876" s="359"/>
      <c r="H876" s="263"/>
      <c r="I876" s="263"/>
    </row>
    <row r="877" spans="1:9" s="534" customFormat="1" x14ac:dyDescent="0.3">
      <c r="A877" s="357"/>
      <c r="B877" s="358"/>
      <c r="C877" s="620"/>
      <c r="E877" s="360"/>
      <c r="F877" s="360"/>
      <c r="G877" s="359"/>
      <c r="H877" s="263"/>
      <c r="I877" s="263"/>
    </row>
    <row r="878" spans="1:9" s="534" customFormat="1" x14ac:dyDescent="0.3">
      <c r="A878" s="357"/>
      <c r="B878" s="358"/>
      <c r="C878" s="620"/>
      <c r="E878" s="360"/>
      <c r="F878" s="360"/>
      <c r="G878" s="359"/>
      <c r="H878" s="263"/>
      <c r="I878" s="263"/>
    </row>
    <row r="879" spans="1:9" s="534" customFormat="1" x14ac:dyDescent="0.3">
      <c r="A879" s="357"/>
      <c r="B879" s="358"/>
      <c r="C879" s="620"/>
      <c r="E879" s="360"/>
      <c r="F879" s="360"/>
      <c r="G879" s="359"/>
      <c r="H879" s="263"/>
      <c r="I879" s="263"/>
    </row>
    <row r="880" spans="1:9" s="534" customFormat="1" x14ac:dyDescent="0.3">
      <c r="A880" s="357"/>
      <c r="B880" s="358"/>
      <c r="C880" s="620"/>
      <c r="E880" s="360"/>
      <c r="F880" s="360"/>
      <c r="G880" s="359"/>
      <c r="H880" s="263"/>
      <c r="I880" s="263"/>
    </row>
    <row r="881" spans="1:9" s="534" customFormat="1" x14ac:dyDescent="0.3">
      <c r="A881" s="357"/>
      <c r="B881" s="358"/>
      <c r="C881" s="620"/>
      <c r="E881" s="360"/>
      <c r="F881" s="360"/>
      <c r="G881" s="359"/>
      <c r="H881" s="263"/>
      <c r="I881" s="263"/>
    </row>
    <row r="882" spans="1:9" s="534" customFormat="1" x14ac:dyDescent="0.3">
      <c r="A882" s="357"/>
      <c r="B882" s="358"/>
      <c r="C882" s="620"/>
      <c r="E882" s="360"/>
      <c r="F882" s="360"/>
      <c r="G882" s="359"/>
      <c r="H882" s="263"/>
      <c r="I882" s="263"/>
    </row>
    <row r="883" spans="1:9" s="497" customFormat="1" ht="18.75" x14ac:dyDescent="0.3">
      <c r="A883" s="197"/>
      <c r="B883" s="300" t="s">
        <v>659</v>
      </c>
      <c r="C883" s="620"/>
      <c r="D883" s="197"/>
      <c r="E883" s="299"/>
      <c r="F883" s="201"/>
      <c r="G883" s="202"/>
      <c r="H883" s="263"/>
      <c r="I883" s="263"/>
    </row>
    <row r="884" spans="1:9" s="497" customFormat="1" ht="18" x14ac:dyDescent="0.35">
      <c r="A884" s="297"/>
      <c r="B884" s="293" t="s">
        <v>638</v>
      </c>
      <c r="C884" s="620"/>
      <c r="D884" s="297"/>
      <c r="E884" s="308" t="s">
        <v>15</v>
      </c>
      <c r="F884" s="301">
        <f>SUM(F862:F883)</f>
        <v>18000000</v>
      </c>
      <c r="G884" s="298"/>
      <c r="H884" s="263"/>
      <c r="I884" s="263"/>
    </row>
    <row r="885" spans="1:9" x14ac:dyDescent="0.25">
      <c r="B885" s="211"/>
      <c r="C885" s="620"/>
      <c r="H885" s="263"/>
      <c r="I885" s="263"/>
    </row>
    <row r="886" spans="1:9" x14ac:dyDescent="0.25">
      <c r="B886" s="211"/>
    </row>
    <row r="887" spans="1:9" ht="19.5" customHeight="1" x14ac:dyDescent="0.25">
      <c r="B887" s="211" t="s">
        <v>450</v>
      </c>
    </row>
    <row r="888" spans="1:9" x14ac:dyDescent="0.25">
      <c r="F888" s="273"/>
    </row>
    <row r="889" spans="1:9" ht="15.75" customHeight="1" x14ac:dyDescent="0.25">
      <c r="B889" s="218" t="s">
        <v>533</v>
      </c>
      <c r="E889" s="304">
        <f>F111</f>
        <v>27881594.194999997</v>
      </c>
      <c r="F889" s="274"/>
    </row>
    <row r="890" spans="1:9" x14ac:dyDescent="0.25">
      <c r="F890" s="274"/>
    </row>
    <row r="891" spans="1:9" x14ac:dyDescent="0.25">
      <c r="B891" s="214" t="s">
        <v>108</v>
      </c>
      <c r="E891" s="304">
        <f>F156</f>
        <v>35559641.390000001</v>
      </c>
      <c r="F891" s="274"/>
    </row>
    <row r="892" spans="1:9" x14ac:dyDescent="0.25">
      <c r="F892" s="274"/>
    </row>
    <row r="893" spans="1:9" x14ac:dyDescent="0.25">
      <c r="B893" s="214" t="s">
        <v>453</v>
      </c>
      <c r="E893" s="304">
        <f>F201</f>
        <v>31824034.969999999</v>
      </c>
      <c r="F893" s="274"/>
    </row>
    <row r="894" spans="1:9" x14ac:dyDescent="0.25">
      <c r="D894" s="276"/>
      <c r="F894" s="274"/>
      <c r="G894" s="275"/>
    </row>
    <row r="895" spans="1:9" x14ac:dyDescent="0.25">
      <c r="B895" s="214" t="s">
        <v>125</v>
      </c>
      <c r="E895" s="304">
        <f>F337</f>
        <v>5112949.1140000001</v>
      </c>
      <c r="F895" s="274"/>
    </row>
    <row r="896" spans="1:9" ht="18" customHeight="1" x14ac:dyDescent="0.25">
      <c r="D896" s="276"/>
      <c r="F896" s="274"/>
      <c r="G896" s="275"/>
    </row>
    <row r="897" spans="2:7" x14ac:dyDescent="0.25">
      <c r="B897" s="214" t="s">
        <v>163</v>
      </c>
      <c r="E897" s="304">
        <f>F472</f>
        <v>21880783.833999999</v>
      </c>
      <c r="F897" s="274"/>
    </row>
    <row r="898" spans="2:7" x14ac:dyDescent="0.25">
      <c r="D898" s="276"/>
      <c r="F898" s="274"/>
      <c r="G898" s="275"/>
    </row>
    <row r="899" spans="2:7" x14ac:dyDescent="0.25">
      <c r="B899" s="214" t="s">
        <v>195</v>
      </c>
      <c r="E899" s="304">
        <f>F516</f>
        <v>10416570.710000001</v>
      </c>
      <c r="F899" s="274"/>
    </row>
    <row r="900" spans="2:7" x14ac:dyDescent="0.25">
      <c r="F900" s="274"/>
    </row>
    <row r="901" spans="2:7" x14ac:dyDescent="0.25">
      <c r="B901" s="214" t="s">
        <v>602</v>
      </c>
      <c r="E901" s="304">
        <f>F563</f>
        <v>19581164.615999997</v>
      </c>
      <c r="F901" s="274"/>
    </row>
    <row r="902" spans="2:7" x14ac:dyDescent="0.25">
      <c r="F902" s="274"/>
    </row>
    <row r="903" spans="2:7" x14ac:dyDescent="0.25">
      <c r="B903" s="214" t="s">
        <v>210</v>
      </c>
      <c r="E903" s="304">
        <f>F608</f>
        <v>11733153.25</v>
      </c>
      <c r="F903" s="274"/>
    </row>
    <row r="904" spans="2:7" x14ac:dyDescent="0.25">
      <c r="F904" s="274"/>
    </row>
    <row r="905" spans="2:7" x14ac:dyDescent="0.25">
      <c r="B905" s="214" t="s">
        <v>607</v>
      </c>
      <c r="E905" s="304">
        <f>F647</f>
        <v>7484400</v>
      </c>
      <c r="F905" s="274"/>
    </row>
    <row r="906" spans="2:7" x14ac:dyDescent="0.25">
      <c r="D906" s="276"/>
      <c r="F906" s="274"/>
      <c r="G906" s="275"/>
    </row>
    <row r="907" spans="2:7" x14ac:dyDescent="0.25">
      <c r="B907" s="214" t="s">
        <v>905</v>
      </c>
      <c r="E907" s="304">
        <f>F681</f>
        <v>25391069.599999998</v>
      </c>
      <c r="F907" s="274"/>
    </row>
    <row r="908" spans="2:7" x14ac:dyDescent="0.25">
      <c r="F908" s="274"/>
    </row>
    <row r="909" spans="2:7" x14ac:dyDescent="0.25">
      <c r="B909" s="214" t="s">
        <v>236</v>
      </c>
      <c r="E909" s="304">
        <f>F717</f>
        <v>31829195.580000002</v>
      </c>
      <c r="F909" s="274"/>
    </row>
    <row r="910" spans="2:7" x14ac:dyDescent="0.25">
      <c r="F910" s="274"/>
    </row>
    <row r="911" spans="2:7" x14ac:dyDescent="0.25">
      <c r="B911" s="214" t="s">
        <v>689</v>
      </c>
      <c r="E911" s="304">
        <f>F791</f>
        <v>18129568.465000004</v>
      </c>
      <c r="F911" s="274"/>
    </row>
    <row r="912" spans="2:7" x14ac:dyDescent="0.25">
      <c r="F912" s="274"/>
    </row>
    <row r="913" spans="2:7" x14ac:dyDescent="0.25">
      <c r="B913" s="214" t="s">
        <v>690</v>
      </c>
      <c r="E913" s="304">
        <f>F820</f>
        <v>15286635.639999999</v>
      </c>
      <c r="F913" s="274"/>
    </row>
    <row r="914" spans="2:7" x14ac:dyDescent="0.25">
      <c r="F914" s="274"/>
    </row>
    <row r="915" spans="2:7" x14ac:dyDescent="0.25">
      <c r="B915" s="214" t="s">
        <v>658</v>
      </c>
      <c r="E915" s="304">
        <f>F855</f>
        <v>12000000</v>
      </c>
      <c r="F915" s="274"/>
    </row>
    <row r="916" spans="2:7" x14ac:dyDescent="0.25">
      <c r="D916" s="276"/>
      <c r="F916" s="274"/>
      <c r="G916" s="275"/>
    </row>
    <row r="917" spans="2:7" x14ac:dyDescent="0.25">
      <c r="B917" s="214" t="s">
        <v>659</v>
      </c>
      <c r="E917" s="304">
        <f>F884</f>
        <v>18000000</v>
      </c>
      <c r="F917" s="274"/>
      <c r="G917" s="277"/>
    </row>
    <row r="918" spans="2:7" x14ac:dyDescent="0.25">
      <c r="F918" s="274"/>
      <c r="G918" s="277"/>
    </row>
    <row r="919" spans="2:7" x14ac:dyDescent="0.25">
      <c r="B919" s="278" t="s">
        <v>1109</v>
      </c>
      <c r="D919" s="280"/>
      <c r="E919" s="309"/>
      <c r="F919" s="274"/>
      <c r="G919" s="279"/>
    </row>
    <row r="920" spans="2:7" ht="17.25" customHeight="1" x14ac:dyDescent="0.25">
      <c r="B920" s="220" t="s">
        <v>660</v>
      </c>
      <c r="D920" s="276" t="s">
        <v>20</v>
      </c>
      <c r="E920" s="310"/>
      <c r="F920" s="222">
        <f>SUM(E889:E919)</f>
        <v>292110761.36399996</v>
      </c>
    </row>
    <row r="921" spans="2:7" ht="19.5" customHeight="1" x14ac:dyDescent="0.25">
      <c r="B921" s="220" t="s">
        <v>692</v>
      </c>
      <c r="F921" s="281">
        <f>F920*5%</f>
        <v>14605538.0682</v>
      </c>
    </row>
    <row r="922" spans="2:7" ht="19.5" customHeight="1" x14ac:dyDescent="0.25">
      <c r="B922" s="220" t="s">
        <v>474</v>
      </c>
      <c r="F922" s="222">
        <f>SUM(F920:F921)</f>
        <v>306716299.43219995</v>
      </c>
    </row>
    <row r="923" spans="2:7" ht="19.5" customHeight="1" x14ac:dyDescent="0.25">
      <c r="B923" s="220" t="s">
        <v>693</v>
      </c>
      <c r="F923" s="222">
        <f>F922*5%</f>
        <v>15335814.971609998</v>
      </c>
    </row>
    <row r="924" spans="2:7" ht="19.5" customHeight="1" x14ac:dyDescent="0.25">
      <c r="B924" s="220"/>
      <c r="F924" s="282">
        <f>SUM(F922:F923)</f>
        <v>322052114.40380996</v>
      </c>
    </row>
    <row r="925" spans="2:7" x14ac:dyDescent="0.25">
      <c r="B925" s="220" t="s">
        <v>477</v>
      </c>
      <c r="F925" s="281">
        <f>F924*7.5%</f>
        <v>24153908.580285747</v>
      </c>
    </row>
    <row r="926" spans="2:7" ht="17.25" customHeight="1" thickBot="1" x14ac:dyDescent="0.3">
      <c r="B926" s="210" t="s">
        <v>694</v>
      </c>
      <c r="E926" s="303" t="s">
        <v>15</v>
      </c>
      <c r="F926" s="283">
        <f>SUM(F924:F925)</f>
        <v>346206022.98409569</v>
      </c>
    </row>
    <row r="927" spans="2:7" ht="17.25" customHeight="1" thickTop="1" x14ac:dyDescent="0.25">
      <c r="B927" s="220" t="s">
        <v>695</v>
      </c>
    </row>
    <row r="928" spans="2:7" ht="17.25" customHeight="1" x14ac:dyDescent="0.25">
      <c r="B928" s="220"/>
    </row>
    <row r="929" spans="1:19" s="207" customFormat="1" ht="17.25" customHeight="1" x14ac:dyDescent="0.25">
      <c r="A929" s="206"/>
      <c r="B929" s="220" t="s">
        <v>471</v>
      </c>
      <c r="C929" s="214">
        <v>1113</v>
      </c>
      <c r="D929" s="209" t="s">
        <v>472</v>
      </c>
      <c r="E929" s="304"/>
      <c r="G929" s="221">
        <v>1155</v>
      </c>
      <c r="H929" s="208"/>
      <c r="I929" s="208"/>
      <c r="J929" s="208"/>
      <c r="K929" s="208"/>
      <c r="L929" s="208"/>
      <c r="M929" s="208"/>
      <c r="N929" s="208"/>
      <c r="O929" s="208"/>
      <c r="P929" s="208"/>
      <c r="Q929" s="208"/>
      <c r="R929" s="208"/>
      <c r="S929" s="208"/>
    </row>
    <row r="930" spans="1:19" s="207" customFormat="1" ht="20.45" customHeight="1" x14ac:dyDescent="0.25">
      <c r="A930" s="206"/>
      <c r="B930" s="220" t="s">
        <v>661</v>
      </c>
      <c r="C930" s="214"/>
      <c r="D930" s="206"/>
      <c r="E930" s="303">
        <f>F926/C929</f>
        <v>311056.62442416506</v>
      </c>
      <c r="G930" s="205"/>
      <c r="H930" s="208"/>
      <c r="I930" s="208"/>
      <c r="J930" s="208"/>
      <c r="K930" s="208"/>
      <c r="L930" s="208"/>
      <c r="M930" s="208"/>
      <c r="N930" s="208"/>
      <c r="O930" s="208"/>
      <c r="P930" s="208"/>
      <c r="Q930" s="208"/>
      <c r="R930" s="208"/>
      <c r="S930" s="208"/>
    </row>
    <row r="931" spans="1:19" s="207" customFormat="1" ht="17.25" customHeight="1" x14ac:dyDescent="0.25">
      <c r="A931" s="206"/>
      <c r="B931" s="220"/>
      <c r="C931" s="214"/>
      <c r="D931" s="206"/>
      <c r="E931" s="303"/>
      <c r="G931" s="205"/>
      <c r="H931" s="208"/>
      <c r="I931" s="208"/>
      <c r="J931" s="208"/>
      <c r="K931" s="208"/>
      <c r="L931" s="208"/>
      <c r="M931" s="208"/>
      <c r="N931" s="208"/>
      <c r="O931" s="208"/>
      <c r="P931" s="208"/>
      <c r="Q931" s="208"/>
      <c r="R931" s="208"/>
      <c r="S931" s="208"/>
    </row>
    <row r="932" spans="1:19" s="207" customFormat="1" ht="17.25" customHeight="1" x14ac:dyDescent="0.25">
      <c r="A932" s="206"/>
      <c r="B932" s="218"/>
      <c r="C932" s="214"/>
      <c r="D932" s="206"/>
      <c r="E932" s="304"/>
      <c r="G932" s="205"/>
      <c r="H932" s="208"/>
      <c r="I932" s="208"/>
      <c r="J932" s="208"/>
      <c r="K932" s="208"/>
      <c r="L932" s="208"/>
      <c r="M932" s="208"/>
      <c r="N932" s="208"/>
      <c r="O932" s="208"/>
      <c r="P932" s="208"/>
      <c r="Q932" s="208"/>
      <c r="R932" s="208"/>
      <c r="S932" s="208"/>
    </row>
    <row r="933" spans="1:19" s="207" customFormat="1" ht="17.25" customHeight="1" x14ac:dyDescent="0.25">
      <c r="A933" s="206"/>
      <c r="B933" s="214"/>
      <c r="C933" s="214"/>
      <c r="D933" s="206"/>
      <c r="E933" s="304"/>
      <c r="G933" s="205"/>
      <c r="H933" s="208"/>
      <c r="I933" s="208"/>
      <c r="J933" s="208"/>
      <c r="K933" s="208"/>
      <c r="L933" s="208"/>
      <c r="M933" s="208"/>
      <c r="N933" s="208"/>
      <c r="O933" s="208"/>
      <c r="P933" s="208"/>
      <c r="Q933" s="208"/>
      <c r="R933" s="208"/>
      <c r="S933" s="208"/>
    </row>
    <row r="934" spans="1:19" s="207" customFormat="1" ht="17.25" customHeight="1" x14ac:dyDescent="0.25">
      <c r="A934" s="206"/>
      <c r="B934" s="214"/>
      <c r="C934" s="214"/>
      <c r="D934" s="206"/>
      <c r="E934" s="304"/>
      <c r="G934" s="205"/>
      <c r="H934" s="208"/>
      <c r="I934" s="208"/>
      <c r="J934" s="208"/>
      <c r="K934" s="208"/>
      <c r="L934" s="208"/>
      <c r="M934" s="208"/>
      <c r="N934" s="208"/>
      <c r="O934" s="208"/>
      <c r="P934" s="208"/>
      <c r="Q934" s="208"/>
      <c r="R934" s="208"/>
      <c r="S934" s="208"/>
    </row>
    <row r="935" spans="1:19" s="207" customFormat="1" ht="17.25" customHeight="1" x14ac:dyDescent="0.25">
      <c r="A935" s="206"/>
      <c r="B935" s="214"/>
      <c r="C935" s="214"/>
      <c r="D935" s="206"/>
      <c r="E935" s="304"/>
      <c r="G935" s="205"/>
      <c r="H935" s="208"/>
      <c r="I935" s="208"/>
      <c r="J935" s="208"/>
      <c r="K935" s="208"/>
      <c r="L935" s="208"/>
      <c r="M935" s="208"/>
      <c r="N935" s="208"/>
      <c r="O935" s="208"/>
      <c r="P935" s="208"/>
      <c r="Q935" s="208"/>
      <c r="R935" s="208"/>
      <c r="S935" s="208"/>
    </row>
    <row r="936" spans="1:19" s="207" customFormat="1" ht="17.25" customHeight="1" x14ac:dyDescent="0.25">
      <c r="A936" s="206"/>
      <c r="B936" s="214"/>
      <c r="C936" s="214"/>
      <c r="D936" s="206"/>
      <c r="E936" s="304"/>
      <c r="G936" s="205"/>
      <c r="H936" s="208"/>
      <c r="I936" s="208"/>
      <c r="J936" s="208"/>
      <c r="K936" s="208"/>
      <c r="L936" s="208"/>
      <c r="M936" s="208"/>
      <c r="N936" s="208"/>
      <c r="O936" s="208"/>
      <c r="P936" s="208"/>
      <c r="Q936" s="208"/>
      <c r="R936" s="208"/>
      <c r="S936" s="208"/>
    </row>
    <row r="947" spans="1:7" x14ac:dyDescent="0.25">
      <c r="B947" s="214" t="s">
        <v>696</v>
      </c>
    </row>
    <row r="950" spans="1:7" s="223" customFormat="1" x14ac:dyDescent="0.25">
      <c r="A950" s="206"/>
      <c r="B950" s="214"/>
      <c r="C950" s="220"/>
      <c r="D950" s="206"/>
      <c r="E950" s="304"/>
      <c r="F950" s="207"/>
      <c r="G950" s="205"/>
    </row>
    <row r="951" spans="1:7" s="223" customFormat="1" x14ac:dyDescent="0.25">
      <c r="A951" s="206"/>
      <c r="B951" s="214"/>
      <c r="C951" s="220"/>
      <c r="D951" s="206"/>
      <c r="E951" s="304"/>
      <c r="F951" s="207"/>
      <c r="G951" s="205"/>
    </row>
    <row r="952" spans="1:7" s="223" customFormat="1" x14ac:dyDescent="0.25">
      <c r="A952" s="206"/>
      <c r="B952" s="214"/>
      <c r="C952" s="220"/>
      <c r="D952" s="206"/>
      <c r="E952" s="304"/>
      <c r="F952" s="207"/>
      <c r="G952" s="205"/>
    </row>
    <row r="953" spans="1:7" s="223" customFormat="1" x14ac:dyDescent="0.25">
      <c r="A953" s="206"/>
      <c r="B953" s="214"/>
      <c r="C953" s="220"/>
      <c r="D953" s="206"/>
      <c r="E953" s="304"/>
      <c r="F953" s="207"/>
      <c r="G953" s="205"/>
    </row>
    <row r="954" spans="1:7" s="223" customFormat="1" x14ac:dyDescent="0.25">
      <c r="A954" s="206"/>
      <c r="B954" s="214"/>
      <c r="C954" s="220"/>
      <c r="D954" s="206"/>
      <c r="E954" s="304"/>
      <c r="F954" s="207"/>
      <c r="G954" s="205"/>
    </row>
    <row r="955" spans="1:7" s="223" customFormat="1" x14ac:dyDescent="0.25">
      <c r="A955" s="206"/>
      <c r="B955" s="214"/>
      <c r="C955" s="220"/>
      <c r="D955" s="206"/>
      <c r="E955" s="304"/>
      <c r="F955" s="207"/>
      <c r="G955" s="205"/>
    </row>
    <row r="979" spans="1:7" s="223" customFormat="1" x14ac:dyDescent="0.25">
      <c r="A979" s="206"/>
      <c r="B979" s="214"/>
      <c r="C979" s="220"/>
      <c r="D979" s="206"/>
      <c r="E979" s="304"/>
      <c r="F979" s="207"/>
      <c r="G979" s="205"/>
    </row>
    <row r="980" spans="1:7" ht="21" customHeight="1" x14ac:dyDescent="0.25"/>
    <row r="1017" spans="1:7" s="223" customFormat="1" x14ac:dyDescent="0.25">
      <c r="A1017" s="206"/>
      <c r="B1017" s="214"/>
      <c r="C1017" s="220"/>
      <c r="D1017" s="206"/>
      <c r="E1017" s="304"/>
      <c r="F1017" s="207"/>
      <c r="G1017" s="205"/>
    </row>
    <row r="1018" spans="1:7" s="223" customFormat="1" x14ac:dyDescent="0.25">
      <c r="A1018" s="206"/>
      <c r="B1018" s="214"/>
      <c r="C1018" s="220"/>
      <c r="D1018" s="206"/>
      <c r="E1018" s="304"/>
      <c r="F1018" s="207"/>
      <c r="G1018" s="205"/>
    </row>
    <row r="1049" spans="1:7" s="223" customFormat="1" x14ac:dyDescent="0.25">
      <c r="A1049" s="206"/>
      <c r="B1049" s="214"/>
      <c r="C1049" s="220"/>
      <c r="D1049" s="206"/>
      <c r="E1049" s="304"/>
      <c r="F1049" s="207"/>
      <c r="G1049" s="205"/>
    </row>
    <row r="1050" spans="1:7" s="223" customFormat="1" x14ac:dyDescent="0.25">
      <c r="A1050" s="206"/>
      <c r="B1050" s="214"/>
      <c r="C1050" s="220"/>
      <c r="D1050" s="206"/>
      <c r="E1050" s="304"/>
      <c r="F1050" s="207"/>
      <c r="G1050" s="205"/>
    </row>
  </sheetData>
  <printOptions gridLines="1"/>
  <pageMargins left="0.74803149606299213" right="0.74803149606299213" top="0.98425196850393704" bottom="0.98425196850393704" header="0.51181102362204722" footer="0.51181102362204722"/>
  <pageSetup paperSize="9" scale="74" orientation="portrait" r:id="rId1"/>
  <headerFooter alignWithMargins="0">
    <oddFooter>&amp;R&amp;"Comic Sans MS,Bold Italic"Page /&amp;P</oddFooter>
  </headerFooter>
  <rowBreaks count="22" manualBreakCount="22">
    <brk id="31" max="5" man="1"/>
    <brk id="72" max="5" man="1"/>
    <brk id="111" max="5" man="1"/>
    <brk id="156" max="5" man="1"/>
    <brk id="201" max="5" man="1"/>
    <brk id="247" max="5" man="1"/>
    <brk id="292" max="5" man="1"/>
    <brk id="337" max="5" man="1"/>
    <brk id="383" max="5" man="1"/>
    <brk id="428" max="5" man="1"/>
    <brk id="472" max="5" man="1"/>
    <brk id="516" max="5" man="1"/>
    <brk id="563" max="5" man="1"/>
    <brk id="608" max="5" man="1"/>
    <brk id="647" max="5" man="1"/>
    <brk id="681" max="5" man="1"/>
    <brk id="717" max="5" man="1"/>
    <brk id="753" max="5" man="1"/>
    <brk id="791" max="5" man="1"/>
    <brk id="820" max="5" man="1"/>
    <brk id="855" max="5" man="1"/>
    <brk id="885" max="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3E52-E38B-4B44-B7F7-9BCC28D0DFF5}">
  <dimension ref="A1:J29"/>
  <sheetViews>
    <sheetView view="pageBreakPreview" zoomScaleNormal="96" zoomScaleSheetLayoutView="100" workbookViewId="0">
      <selection activeCell="F14" sqref="F14"/>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1084</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idden="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E9E5-A277-47E7-9DDC-5048D7311440}">
  <dimension ref="A1:H525"/>
  <sheetViews>
    <sheetView view="pageBreakPreview" topLeftCell="A505" zoomScale="98" zoomScaleNormal="100" zoomScaleSheetLayoutView="98" workbookViewId="0">
      <selection activeCell="F512" sqref="F512"/>
    </sheetView>
  </sheetViews>
  <sheetFormatPr defaultColWidth="9.5703125" defaultRowHeight="15" x14ac:dyDescent="0.25"/>
  <cols>
    <col min="1" max="1" width="6.5703125" customWidth="1"/>
    <col min="2" max="2" width="45.42578125" customWidth="1"/>
    <col min="4" max="4" width="12.140625" customWidth="1"/>
    <col min="5" max="5" width="19.28515625" customWidth="1"/>
    <col min="6" max="6" width="17.85546875" customWidth="1"/>
    <col min="257" max="257" width="6.5703125" customWidth="1"/>
    <col min="258" max="258" width="38.5703125" customWidth="1"/>
    <col min="260" max="260" width="12.140625" customWidth="1"/>
    <col min="261" max="261" width="19.28515625" customWidth="1"/>
    <col min="262" max="262" width="17.85546875" customWidth="1"/>
    <col min="513" max="513" width="6.5703125" customWidth="1"/>
    <col min="514" max="514" width="38.5703125" customWidth="1"/>
    <col min="516" max="516" width="12.140625" customWidth="1"/>
    <col min="517" max="517" width="19.28515625" customWidth="1"/>
    <col min="518" max="518" width="17.85546875" customWidth="1"/>
    <col min="769" max="769" width="6.5703125" customWidth="1"/>
    <col min="770" max="770" width="38.5703125" customWidth="1"/>
    <col min="772" max="772" width="12.140625" customWidth="1"/>
    <col min="773" max="773" width="19.28515625" customWidth="1"/>
    <col min="774" max="774" width="17.85546875" customWidth="1"/>
    <col min="1025" max="1025" width="6.5703125" customWidth="1"/>
    <col min="1026" max="1026" width="38.5703125" customWidth="1"/>
    <col min="1028" max="1028" width="12.140625" customWidth="1"/>
    <col min="1029" max="1029" width="19.28515625" customWidth="1"/>
    <col min="1030" max="1030" width="17.85546875" customWidth="1"/>
    <col min="1281" max="1281" width="6.5703125" customWidth="1"/>
    <col min="1282" max="1282" width="38.5703125" customWidth="1"/>
    <col min="1284" max="1284" width="12.140625" customWidth="1"/>
    <col min="1285" max="1285" width="19.28515625" customWidth="1"/>
    <col min="1286" max="1286" width="17.85546875" customWidth="1"/>
    <col min="1537" max="1537" width="6.5703125" customWidth="1"/>
    <col min="1538" max="1538" width="38.5703125" customWidth="1"/>
    <col min="1540" max="1540" width="12.140625" customWidth="1"/>
    <col min="1541" max="1541" width="19.28515625" customWidth="1"/>
    <col min="1542" max="1542" width="17.85546875" customWidth="1"/>
    <col min="1793" max="1793" width="6.5703125" customWidth="1"/>
    <col min="1794" max="1794" width="38.5703125" customWidth="1"/>
    <col min="1796" max="1796" width="12.140625" customWidth="1"/>
    <col min="1797" max="1797" width="19.28515625" customWidth="1"/>
    <col min="1798" max="1798" width="17.85546875" customWidth="1"/>
    <col min="2049" max="2049" width="6.5703125" customWidth="1"/>
    <col min="2050" max="2050" width="38.5703125" customWidth="1"/>
    <col min="2052" max="2052" width="12.140625" customWidth="1"/>
    <col min="2053" max="2053" width="19.28515625" customWidth="1"/>
    <col min="2054" max="2054" width="17.85546875" customWidth="1"/>
    <col min="2305" max="2305" width="6.5703125" customWidth="1"/>
    <col min="2306" max="2306" width="38.5703125" customWidth="1"/>
    <col min="2308" max="2308" width="12.140625" customWidth="1"/>
    <col min="2309" max="2309" width="19.28515625" customWidth="1"/>
    <col min="2310" max="2310" width="17.85546875" customWidth="1"/>
    <col min="2561" max="2561" width="6.5703125" customWidth="1"/>
    <col min="2562" max="2562" width="38.5703125" customWidth="1"/>
    <col min="2564" max="2564" width="12.140625" customWidth="1"/>
    <col min="2565" max="2565" width="19.28515625" customWidth="1"/>
    <col min="2566" max="2566" width="17.85546875" customWidth="1"/>
    <col min="2817" max="2817" width="6.5703125" customWidth="1"/>
    <col min="2818" max="2818" width="38.5703125" customWidth="1"/>
    <col min="2820" max="2820" width="12.140625" customWidth="1"/>
    <col min="2821" max="2821" width="19.28515625" customWidth="1"/>
    <col min="2822" max="2822" width="17.85546875" customWidth="1"/>
    <col min="3073" max="3073" width="6.5703125" customWidth="1"/>
    <col min="3074" max="3074" width="38.5703125" customWidth="1"/>
    <col min="3076" max="3076" width="12.140625" customWidth="1"/>
    <col min="3077" max="3077" width="19.28515625" customWidth="1"/>
    <col min="3078" max="3078" width="17.85546875" customWidth="1"/>
    <col min="3329" max="3329" width="6.5703125" customWidth="1"/>
    <col min="3330" max="3330" width="38.5703125" customWidth="1"/>
    <col min="3332" max="3332" width="12.140625" customWidth="1"/>
    <col min="3333" max="3333" width="19.28515625" customWidth="1"/>
    <col min="3334" max="3334" width="17.85546875" customWidth="1"/>
    <col min="3585" max="3585" width="6.5703125" customWidth="1"/>
    <col min="3586" max="3586" width="38.5703125" customWidth="1"/>
    <col min="3588" max="3588" width="12.140625" customWidth="1"/>
    <col min="3589" max="3589" width="19.28515625" customWidth="1"/>
    <col min="3590" max="3590" width="17.85546875" customWidth="1"/>
    <col min="3841" max="3841" width="6.5703125" customWidth="1"/>
    <col min="3842" max="3842" width="38.5703125" customWidth="1"/>
    <col min="3844" max="3844" width="12.140625" customWidth="1"/>
    <col min="3845" max="3845" width="19.28515625" customWidth="1"/>
    <col min="3846" max="3846" width="17.85546875" customWidth="1"/>
    <col min="4097" max="4097" width="6.5703125" customWidth="1"/>
    <col min="4098" max="4098" width="38.5703125" customWidth="1"/>
    <col min="4100" max="4100" width="12.140625" customWidth="1"/>
    <col min="4101" max="4101" width="19.28515625" customWidth="1"/>
    <col min="4102" max="4102" width="17.85546875" customWidth="1"/>
    <col min="4353" max="4353" width="6.5703125" customWidth="1"/>
    <col min="4354" max="4354" width="38.5703125" customWidth="1"/>
    <col min="4356" max="4356" width="12.140625" customWidth="1"/>
    <col min="4357" max="4357" width="19.28515625" customWidth="1"/>
    <col min="4358" max="4358" width="17.85546875" customWidth="1"/>
    <col min="4609" max="4609" width="6.5703125" customWidth="1"/>
    <col min="4610" max="4610" width="38.5703125" customWidth="1"/>
    <col min="4612" max="4612" width="12.140625" customWidth="1"/>
    <col min="4613" max="4613" width="19.28515625" customWidth="1"/>
    <col min="4614" max="4614" width="17.85546875" customWidth="1"/>
    <col min="4865" max="4865" width="6.5703125" customWidth="1"/>
    <col min="4866" max="4866" width="38.5703125" customWidth="1"/>
    <col min="4868" max="4868" width="12.140625" customWidth="1"/>
    <col min="4869" max="4869" width="19.28515625" customWidth="1"/>
    <col min="4870" max="4870" width="17.85546875" customWidth="1"/>
    <col min="5121" max="5121" width="6.5703125" customWidth="1"/>
    <col min="5122" max="5122" width="38.5703125" customWidth="1"/>
    <col min="5124" max="5124" width="12.140625" customWidth="1"/>
    <col min="5125" max="5125" width="19.28515625" customWidth="1"/>
    <col min="5126" max="5126" width="17.85546875" customWidth="1"/>
    <col min="5377" max="5377" width="6.5703125" customWidth="1"/>
    <col min="5378" max="5378" width="38.5703125" customWidth="1"/>
    <col min="5380" max="5380" width="12.140625" customWidth="1"/>
    <col min="5381" max="5381" width="19.28515625" customWidth="1"/>
    <col min="5382" max="5382" width="17.85546875" customWidth="1"/>
    <col min="5633" max="5633" width="6.5703125" customWidth="1"/>
    <col min="5634" max="5634" width="38.5703125" customWidth="1"/>
    <col min="5636" max="5636" width="12.140625" customWidth="1"/>
    <col min="5637" max="5637" width="19.28515625" customWidth="1"/>
    <col min="5638" max="5638" width="17.85546875" customWidth="1"/>
    <col min="5889" max="5889" width="6.5703125" customWidth="1"/>
    <col min="5890" max="5890" width="38.5703125" customWidth="1"/>
    <col min="5892" max="5892" width="12.140625" customWidth="1"/>
    <col min="5893" max="5893" width="19.28515625" customWidth="1"/>
    <col min="5894" max="5894" width="17.85546875" customWidth="1"/>
    <col min="6145" max="6145" width="6.5703125" customWidth="1"/>
    <col min="6146" max="6146" width="38.5703125" customWidth="1"/>
    <col min="6148" max="6148" width="12.140625" customWidth="1"/>
    <col min="6149" max="6149" width="19.28515625" customWidth="1"/>
    <col min="6150" max="6150" width="17.85546875" customWidth="1"/>
    <col min="6401" max="6401" width="6.5703125" customWidth="1"/>
    <col min="6402" max="6402" width="38.5703125" customWidth="1"/>
    <col min="6404" max="6404" width="12.140625" customWidth="1"/>
    <col min="6405" max="6405" width="19.28515625" customWidth="1"/>
    <col min="6406" max="6406" width="17.85546875" customWidth="1"/>
    <col min="6657" max="6657" width="6.5703125" customWidth="1"/>
    <col min="6658" max="6658" width="38.5703125" customWidth="1"/>
    <col min="6660" max="6660" width="12.140625" customWidth="1"/>
    <col min="6661" max="6661" width="19.28515625" customWidth="1"/>
    <col min="6662" max="6662" width="17.85546875" customWidth="1"/>
    <col min="6913" max="6913" width="6.5703125" customWidth="1"/>
    <col min="6914" max="6914" width="38.5703125" customWidth="1"/>
    <col min="6916" max="6916" width="12.140625" customWidth="1"/>
    <col min="6917" max="6917" width="19.28515625" customWidth="1"/>
    <col min="6918" max="6918" width="17.85546875" customWidth="1"/>
    <col min="7169" max="7169" width="6.5703125" customWidth="1"/>
    <col min="7170" max="7170" width="38.5703125" customWidth="1"/>
    <col min="7172" max="7172" width="12.140625" customWidth="1"/>
    <col min="7173" max="7173" width="19.28515625" customWidth="1"/>
    <col min="7174" max="7174" width="17.85546875" customWidth="1"/>
    <col min="7425" max="7425" width="6.5703125" customWidth="1"/>
    <col min="7426" max="7426" width="38.5703125" customWidth="1"/>
    <col min="7428" max="7428" width="12.140625" customWidth="1"/>
    <col min="7429" max="7429" width="19.28515625" customWidth="1"/>
    <col min="7430" max="7430" width="17.85546875" customWidth="1"/>
    <col min="7681" max="7681" width="6.5703125" customWidth="1"/>
    <col min="7682" max="7682" width="38.5703125" customWidth="1"/>
    <col min="7684" max="7684" width="12.140625" customWidth="1"/>
    <col min="7685" max="7685" width="19.28515625" customWidth="1"/>
    <col min="7686" max="7686" width="17.85546875" customWidth="1"/>
    <col min="7937" max="7937" width="6.5703125" customWidth="1"/>
    <col min="7938" max="7938" width="38.5703125" customWidth="1"/>
    <col min="7940" max="7940" width="12.140625" customWidth="1"/>
    <col min="7941" max="7941" width="19.28515625" customWidth="1"/>
    <col min="7942" max="7942" width="17.85546875" customWidth="1"/>
    <col min="8193" max="8193" width="6.5703125" customWidth="1"/>
    <col min="8194" max="8194" width="38.5703125" customWidth="1"/>
    <col min="8196" max="8196" width="12.140625" customWidth="1"/>
    <col min="8197" max="8197" width="19.28515625" customWidth="1"/>
    <col min="8198" max="8198" width="17.85546875" customWidth="1"/>
    <col min="8449" max="8449" width="6.5703125" customWidth="1"/>
    <col min="8450" max="8450" width="38.5703125" customWidth="1"/>
    <col min="8452" max="8452" width="12.140625" customWidth="1"/>
    <col min="8453" max="8453" width="19.28515625" customWidth="1"/>
    <col min="8454" max="8454" width="17.85546875" customWidth="1"/>
    <col min="8705" max="8705" width="6.5703125" customWidth="1"/>
    <col min="8706" max="8706" width="38.5703125" customWidth="1"/>
    <col min="8708" max="8708" width="12.140625" customWidth="1"/>
    <col min="8709" max="8709" width="19.28515625" customWidth="1"/>
    <col min="8710" max="8710" width="17.85546875" customWidth="1"/>
    <col min="8961" max="8961" width="6.5703125" customWidth="1"/>
    <col min="8962" max="8962" width="38.5703125" customWidth="1"/>
    <col min="8964" max="8964" width="12.140625" customWidth="1"/>
    <col min="8965" max="8965" width="19.28515625" customWidth="1"/>
    <col min="8966" max="8966" width="17.85546875" customWidth="1"/>
    <col min="9217" max="9217" width="6.5703125" customWidth="1"/>
    <col min="9218" max="9218" width="38.5703125" customWidth="1"/>
    <col min="9220" max="9220" width="12.140625" customWidth="1"/>
    <col min="9221" max="9221" width="19.28515625" customWidth="1"/>
    <col min="9222" max="9222" width="17.85546875" customWidth="1"/>
    <col min="9473" max="9473" width="6.5703125" customWidth="1"/>
    <col min="9474" max="9474" width="38.5703125" customWidth="1"/>
    <col min="9476" max="9476" width="12.140625" customWidth="1"/>
    <col min="9477" max="9477" width="19.28515625" customWidth="1"/>
    <col min="9478" max="9478" width="17.85546875" customWidth="1"/>
    <col min="9729" max="9729" width="6.5703125" customWidth="1"/>
    <col min="9730" max="9730" width="38.5703125" customWidth="1"/>
    <col min="9732" max="9732" width="12.140625" customWidth="1"/>
    <col min="9733" max="9733" width="19.28515625" customWidth="1"/>
    <col min="9734" max="9734" width="17.85546875" customWidth="1"/>
    <col min="9985" max="9985" width="6.5703125" customWidth="1"/>
    <col min="9986" max="9986" width="38.5703125" customWidth="1"/>
    <col min="9988" max="9988" width="12.140625" customWidth="1"/>
    <col min="9989" max="9989" width="19.28515625" customWidth="1"/>
    <col min="9990" max="9990" width="17.85546875" customWidth="1"/>
    <col min="10241" max="10241" width="6.5703125" customWidth="1"/>
    <col min="10242" max="10242" width="38.5703125" customWidth="1"/>
    <col min="10244" max="10244" width="12.140625" customWidth="1"/>
    <col min="10245" max="10245" width="19.28515625" customWidth="1"/>
    <col min="10246" max="10246" width="17.85546875" customWidth="1"/>
    <col min="10497" max="10497" width="6.5703125" customWidth="1"/>
    <col min="10498" max="10498" width="38.5703125" customWidth="1"/>
    <col min="10500" max="10500" width="12.140625" customWidth="1"/>
    <col min="10501" max="10501" width="19.28515625" customWidth="1"/>
    <col min="10502" max="10502" width="17.85546875" customWidth="1"/>
    <col min="10753" max="10753" width="6.5703125" customWidth="1"/>
    <col min="10754" max="10754" width="38.5703125" customWidth="1"/>
    <col min="10756" max="10756" width="12.140625" customWidth="1"/>
    <col min="10757" max="10757" width="19.28515625" customWidth="1"/>
    <col min="10758" max="10758" width="17.85546875" customWidth="1"/>
    <col min="11009" max="11009" width="6.5703125" customWidth="1"/>
    <col min="11010" max="11010" width="38.5703125" customWidth="1"/>
    <col min="11012" max="11012" width="12.140625" customWidth="1"/>
    <col min="11013" max="11013" width="19.28515625" customWidth="1"/>
    <col min="11014" max="11014" width="17.85546875" customWidth="1"/>
    <col min="11265" max="11265" width="6.5703125" customWidth="1"/>
    <col min="11266" max="11266" width="38.5703125" customWidth="1"/>
    <col min="11268" max="11268" width="12.140625" customWidth="1"/>
    <col min="11269" max="11269" width="19.28515625" customWidth="1"/>
    <col min="11270" max="11270" width="17.85546875" customWidth="1"/>
    <col min="11521" max="11521" width="6.5703125" customWidth="1"/>
    <col min="11522" max="11522" width="38.5703125" customWidth="1"/>
    <col min="11524" max="11524" width="12.140625" customWidth="1"/>
    <col min="11525" max="11525" width="19.28515625" customWidth="1"/>
    <col min="11526" max="11526" width="17.85546875" customWidth="1"/>
    <col min="11777" max="11777" width="6.5703125" customWidth="1"/>
    <col min="11778" max="11778" width="38.5703125" customWidth="1"/>
    <col min="11780" max="11780" width="12.140625" customWidth="1"/>
    <col min="11781" max="11781" width="19.28515625" customWidth="1"/>
    <col min="11782" max="11782" width="17.85546875" customWidth="1"/>
    <col min="12033" max="12033" width="6.5703125" customWidth="1"/>
    <col min="12034" max="12034" width="38.5703125" customWidth="1"/>
    <col min="12036" max="12036" width="12.140625" customWidth="1"/>
    <col min="12037" max="12037" width="19.28515625" customWidth="1"/>
    <col min="12038" max="12038" width="17.85546875" customWidth="1"/>
    <col min="12289" max="12289" width="6.5703125" customWidth="1"/>
    <col min="12290" max="12290" width="38.5703125" customWidth="1"/>
    <col min="12292" max="12292" width="12.140625" customWidth="1"/>
    <col min="12293" max="12293" width="19.28515625" customWidth="1"/>
    <col min="12294" max="12294" width="17.85546875" customWidth="1"/>
    <col min="12545" max="12545" width="6.5703125" customWidth="1"/>
    <col min="12546" max="12546" width="38.5703125" customWidth="1"/>
    <col min="12548" max="12548" width="12.140625" customWidth="1"/>
    <col min="12549" max="12549" width="19.28515625" customWidth="1"/>
    <col min="12550" max="12550" width="17.85546875" customWidth="1"/>
    <col min="12801" max="12801" width="6.5703125" customWidth="1"/>
    <col min="12802" max="12802" width="38.5703125" customWidth="1"/>
    <col min="12804" max="12804" width="12.140625" customWidth="1"/>
    <col min="12805" max="12805" width="19.28515625" customWidth="1"/>
    <col min="12806" max="12806" width="17.85546875" customWidth="1"/>
    <col min="13057" max="13057" width="6.5703125" customWidth="1"/>
    <col min="13058" max="13058" width="38.5703125" customWidth="1"/>
    <col min="13060" max="13060" width="12.140625" customWidth="1"/>
    <col min="13061" max="13061" width="19.28515625" customWidth="1"/>
    <col min="13062" max="13062" width="17.85546875" customWidth="1"/>
    <col min="13313" max="13313" width="6.5703125" customWidth="1"/>
    <col min="13314" max="13314" width="38.5703125" customWidth="1"/>
    <col min="13316" max="13316" width="12.140625" customWidth="1"/>
    <col min="13317" max="13317" width="19.28515625" customWidth="1"/>
    <col min="13318" max="13318" width="17.85546875" customWidth="1"/>
    <col min="13569" max="13569" width="6.5703125" customWidth="1"/>
    <col min="13570" max="13570" width="38.5703125" customWidth="1"/>
    <col min="13572" max="13572" width="12.140625" customWidth="1"/>
    <col min="13573" max="13573" width="19.28515625" customWidth="1"/>
    <col min="13574" max="13574" width="17.85546875" customWidth="1"/>
    <col min="13825" max="13825" width="6.5703125" customWidth="1"/>
    <col min="13826" max="13826" width="38.5703125" customWidth="1"/>
    <col min="13828" max="13828" width="12.140625" customWidth="1"/>
    <col min="13829" max="13829" width="19.28515625" customWidth="1"/>
    <col min="13830" max="13830" width="17.85546875" customWidth="1"/>
    <col min="14081" max="14081" width="6.5703125" customWidth="1"/>
    <col min="14082" max="14082" width="38.5703125" customWidth="1"/>
    <col min="14084" max="14084" width="12.140625" customWidth="1"/>
    <col min="14085" max="14085" width="19.28515625" customWidth="1"/>
    <col min="14086" max="14086" width="17.85546875" customWidth="1"/>
    <col min="14337" max="14337" width="6.5703125" customWidth="1"/>
    <col min="14338" max="14338" width="38.5703125" customWidth="1"/>
    <col min="14340" max="14340" width="12.140625" customWidth="1"/>
    <col min="14341" max="14341" width="19.28515625" customWidth="1"/>
    <col min="14342" max="14342" width="17.85546875" customWidth="1"/>
    <col min="14593" max="14593" width="6.5703125" customWidth="1"/>
    <col min="14594" max="14594" width="38.5703125" customWidth="1"/>
    <col min="14596" max="14596" width="12.140625" customWidth="1"/>
    <col min="14597" max="14597" width="19.28515625" customWidth="1"/>
    <col min="14598" max="14598" width="17.85546875" customWidth="1"/>
    <col min="14849" max="14849" width="6.5703125" customWidth="1"/>
    <col min="14850" max="14850" width="38.5703125" customWidth="1"/>
    <col min="14852" max="14852" width="12.140625" customWidth="1"/>
    <col min="14853" max="14853" width="19.28515625" customWidth="1"/>
    <col min="14854" max="14854" width="17.85546875" customWidth="1"/>
    <col min="15105" max="15105" width="6.5703125" customWidth="1"/>
    <col min="15106" max="15106" width="38.5703125" customWidth="1"/>
    <col min="15108" max="15108" width="12.140625" customWidth="1"/>
    <col min="15109" max="15109" width="19.28515625" customWidth="1"/>
    <col min="15110" max="15110" width="17.85546875" customWidth="1"/>
    <col min="15361" max="15361" width="6.5703125" customWidth="1"/>
    <col min="15362" max="15362" width="38.5703125" customWidth="1"/>
    <col min="15364" max="15364" width="12.140625" customWidth="1"/>
    <col min="15365" max="15365" width="19.28515625" customWidth="1"/>
    <col min="15366" max="15366" width="17.85546875" customWidth="1"/>
    <col min="15617" max="15617" width="6.5703125" customWidth="1"/>
    <col min="15618" max="15618" width="38.5703125" customWidth="1"/>
    <col min="15620" max="15620" width="12.140625" customWidth="1"/>
    <col min="15621" max="15621" width="19.28515625" customWidth="1"/>
    <col min="15622" max="15622" width="17.85546875" customWidth="1"/>
    <col min="15873" max="15873" width="6.5703125" customWidth="1"/>
    <col min="15874" max="15874" width="38.5703125" customWidth="1"/>
    <col min="15876" max="15876" width="12.140625" customWidth="1"/>
    <col min="15877" max="15877" width="19.28515625" customWidth="1"/>
    <col min="15878" max="15878" width="17.85546875" customWidth="1"/>
    <col min="16129" max="16129" width="6.5703125" customWidth="1"/>
    <col min="16130" max="16130" width="38.5703125" customWidth="1"/>
    <col min="16132" max="16132" width="12.140625" customWidth="1"/>
    <col min="16133" max="16133" width="19.28515625" customWidth="1"/>
    <col min="16134" max="16134" width="17.85546875" customWidth="1"/>
  </cols>
  <sheetData>
    <row r="1" spans="1:6" ht="18.75" x14ac:dyDescent="0.25">
      <c r="A1" s="400"/>
      <c r="B1" s="401" t="s">
        <v>508</v>
      </c>
      <c r="C1" s="402"/>
      <c r="D1" s="403"/>
      <c r="E1" s="557"/>
      <c r="F1" s="405"/>
    </row>
    <row r="2" spans="1:6" ht="18.75" x14ac:dyDescent="0.25">
      <c r="A2" s="403"/>
      <c r="B2" s="407"/>
      <c r="C2" s="402"/>
      <c r="D2" s="403"/>
      <c r="E2" s="557"/>
      <c r="F2" s="405"/>
    </row>
    <row r="3" spans="1:6" ht="18.75" x14ac:dyDescent="0.25">
      <c r="A3" s="403"/>
      <c r="B3" s="408" t="s">
        <v>509</v>
      </c>
      <c r="C3" s="402"/>
      <c r="D3" s="403"/>
      <c r="E3" s="557"/>
      <c r="F3" s="405"/>
    </row>
    <row r="4" spans="1:6" ht="18.75" x14ac:dyDescent="0.25">
      <c r="A4" s="403"/>
      <c r="B4" s="408"/>
      <c r="C4" s="402"/>
      <c r="D4" s="403"/>
      <c r="E4" s="557"/>
      <c r="F4" s="405"/>
    </row>
    <row r="5" spans="1:6" ht="18" x14ac:dyDescent="0.25">
      <c r="A5" s="403"/>
      <c r="B5" s="409" t="s">
        <v>44</v>
      </c>
      <c r="C5" s="402"/>
      <c r="D5" s="403"/>
      <c r="E5" s="557"/>
      <c r="F5" s="410"/>
    </row>
    <row r="6" spans="1:6" ht="18" x14ac:dyDescent="0.25">
      <c r="A6" s="403"/>
      <c r="B6" s="409"/>
      <c r="C6" s="402"/>
      <c r="D6" s="403"/>
      <c r="E6" s="557"/>
      <c r="F6" s="410"/>
    </row>
    <row r="7" spans="1:6" ht="18" x14ac:dyDescent="0.25">
      <c r="A7" s="403"/>
      <c r="B7" s="409" t="s">
        <v>510</v>
      </c>
      <c r="C7" s="402"/>
      <c r="D7" s="403"/>
      <c r="E7" s="557"/>
      <c r="F7" s="410"/>
    </row>
    <row r="8" spans="1:6" ht="18.75" x14ac:dyDescent="0.25">
      <c r="A8" s="403"/>
      <c r="B8" s="402"/>
      <c r="C8" s="402"/>
      <c r="D8" s="403"/>
      <c r="E8" s="557"/>
      <c r="F8" s="405"/>
    </row>
    <row r="9" spans="1:6" ht="33" x14ac:dyDescent="0.25">
      <c r="A9" s="403" t="s">
        <v>2</v>
      </c>
      <c r="B9" s="411" t="s">
        <v>45</v>
      </c>
      <c r="C9" s="412">
        <v>121</v>
      </c>
      <c r="D9" s="403" t="s">
        <v>933</v>
      </c>
      <c r="E9" s="557">
        <v>200</v>
      </c>
      <c r="F9" s="405">
        <f t="shared" ref="F9:F16" si="0">C9*E9</f>
        <v>24200</v>
      </c>
    </row>
    <row r="10" spans="1:6" ht="49.5" x14ac:dyDescent="0.25">
      <c r="A10" s="403" t="s">
        <v>4</v>
      </c>
      <c r="B10" s="411" t="s">
        <v>934</v>
      </c>
      <c r="C10" s="413">
        <v>34</v>
      </c>
      <c r="D10" s="403" t="s">
        <v>959</v>
      </c>
      <c r="E10" s="557">
        <v>1900</v>
      </c>
      <c r="F10" s="405">
        <f t="shared" si="0"/>
        <v>64600</v>
      </c>
    </row>
    <row r="11" spans="1:6" ht="49.5" x14ac:dyDescent="0.25">
      <c r="A11" s="403" t="s">
        <v>5</v>
      </c>
      <c r="B11" s="411" t="s">
        <v>49</v>
      </c>
      <c r="C11" s="402"/>
      <c r="D11" s="403" t="s">
        <v>935</v>
      </c>
      <c r="E11" s="557">
        <f>E10</f>
        <v>1900</v>
      </c>
      <c r="F11" s="405">
        <f t="shared" si="0"/>
        <v>0</v>
      </c>
    </row>
    <row r="12" spans="1:6" ht="33" x14ac:dyDescent="0.25">
      <c r="A12" s="403" t="s">
        <v>7</v>
      </c>
      <c r="B12" s="411" t="s">
        <v>19</v>
      </c>
      <c r="C12" s="414">
        <v>46</v>
      </c>
      <c r="D12" s="403" t="s">
        <v>933</v>
      </c>
      <c r="E12" s="557">
        <v>250</v>
      </c>
      <c r="F12" s="405">
        <f t="shared" si="0"/>
        <v>11500</v>
      </c>
    </row>
    <row r="13" spans="1:6" ht="33" x14ac:dyDescent="0.25">
      <c r="A13" s="403" t="s">
        <v>8</v>
      </c>
      <c r="B13" s="411" t="s">
        <v>515</v>
      </c>
      <c r="C13" s="414">
        <v>13</v>
      </c>
      <c r="D13" s="403" t="s">
        <v>935</v>
      </c>
      <c r="E13" s="557">
        <v>1400</v>
      </c>
      <c r="F13" s="405">
        <f t="shared" si="0"/>
        <v>18200</v>
      </c>
    </row>
    <row r="14" spans="1:6" ht="33" x14ac:dyDescent="0.25">
      <c r="A14" s="403" t="s">
        <v>9</v>
      </c>
      <c r="B14" s="411" t="s">
        <v>516</v>
      </c>
      <c r="C14" s="413">
        <v>21</v>
      </c>
      <c r="D14" s="403" t="s">
        <v>935</v>
      </c>
      <c r="E14" s="557">
        <v>900</v>
      </c>
      <c r="F14" s="405">
        <f t="shared" si="0"/>
        <v>18900</v>
      </c>
    </row>
    <row r="15" spans="1:6" ht="49.5" x14ac:dyDescent="0.25">
      <c r="A15" s="403" t="s">
        <v>10</v>
      </c>
      <c r="B15" s="421" t="s">
        <v>961</v>
      </c>
      <c r="C15" s="412">
        <v>23</v>
      </c>
      <c r="D15" s="403" t="s">
        <v>935</v>
      </c>
      <c r="E15" s="557">
        <v>6500</v>
      </c>
      <c r="F15" s="405">
        <f t="shared" si="0"/>
        <v>149500</v>
      </c>
    </row>
    <row r="16" spans="1:6" ht="33" x14ac:dyDescent="0.25">
      <c r="A16" s="403" t="s">
        <v>11</v>
      </c>
      <c r="B16" s="411" t="s">
        <v>663</v>
      </c>
      <c r="C16" s="412">
        <v>77</v>
      </c>
      <c r="D16" s="403" t="s">
        <v>933</v>
      </c>
      <c r="E16" s="557">
        <v>2700</v>
      </c>
      <c r="F16" s="405">
        <f t="shared" si="0"/>
        <v>207900</v>
      </c>
    </row>
    <row r="17" spans="1:8" ht="18.75" x14ac:dyDescent="0.25">
      <c r="A17" s="403"/>
      <c r="B17" s="411"/>
      <c r="C17" s="412"/>
      <c r="D17" s="403"/>
      <c r="E17" s="557"/>
      <c r="F17" s="405"/>
      <c r="G17" s="406"/>
      <c r="H17" s="406"/>
    </row>
    <row r="18" spans="1:8" ht="18.75" x14ac:dyDescent="0.25">
      <c r="A18" s="403"/>
      <c r="B18" s="409" t="s">
        <v>98</v>
      </c>
      <c r="C18" s="402"/>
      <c r="D18" s="403"/>
      <c r="E18" s="557"/>
      <c r="F18" s="405"/>
      <c r="G18" s="406"/>
      <c r="H18" s="406"/>
    </row>
    <row r="19" spans="1:8" s="564" customFormat="1" ht="17.25" customHeight="1" x14ac:dyDescent="0.25">
      <c r="A19" s="559"/>
      <c r="B19" s="560" t="s">
        <v>962</v>
      </c>
      <c r="C19" s="559"/>
      <c r="D19" s="559"/>
      <c r="E19" s="561"/>
      <c r="F19" s="562"/>
      <c r="G19" s="563"/>
    </row>
    <row r="20" spans="1:8" s="564" customFormat="1" ht="17.25" customHeight="1" x14ac:dyDescent="0.25">
      <c r="A20" s="559" t="s">
        <v>12</v>
      </c>
      <c r="B20" s="565" t="s">
        <v>963</v>
      </c>
      <c r="C20" s="512">
        <v>2</v>
      </c>
      <c r="D20" s="559" t="s">
        <v>511</v>
      </c>
      <c r="E20" s="561">
        <v>3000</v>
      </c>
      <c r="F20" s="562">
        <f>C20*E20</f>
        <v>6000</v>
      </c>
      <c r="G20" s="563"/>
      <c r="H20" s="284"/>
    </row>
    <row r="21" spans="1:8" ht="18.75" x14ac:dyDescent="0.25">
      <c r="A21" s="403"/>
      <c r="B21" s="415" t="s">
        <v>936</v>
      </c>
      <c r="C21" s="402"/>
      <c r="D21" s="403"/>
      <c r="E21" s="557"/>
      <c r="F21" s="405"/>
      <c r="G21" s="406"/>
      <c r="H21" s="406"/>
    </row>
    <row r="22" spans="1:8" ht="18.75" x14ac:dyDescent="0.25">
      <c r="A22" s="403" t="s">
        <v>13</v>
      </c>
      <c r="B22" s="402" t="s">
        <v>937</v>
      </c>
      <c r="C22" s="402">
        <v>11</v>
      </c>
      <c r="D22" s="403" t="s">
        <v>935</v>
      </c>
      <c r="E22" s="557">
        <v>95000</v>
      </c>
      <c r="F22" s="405">
        <f>C22*E22</f>
        <v>1045000</v>
      </c>
      <c r="G22" s="406"/>
      <c r="H22" s="406"/>
    </row>
    <row r="23" spans="1:8" ht="18.75" x14ac:dyDescent="0.25">
      <c r="A23" s="403" t="s">
        <v>14</v>
      </c>
      <c r="B23" s="402" t="s">
        <v>519</v>
      </c>
      <c r="C23" s="402">
        <v>14</v>
      </c>
      <c r="D23" s="403" t="s">
        <v>935</v>
      </c>
      <c r="E23" s="557">
        <f>E22</f>
        <v>95000</v>
      </c>
      <c r="F23" s="405">
        <f>C23*E23</f>
        <v>1330000</v>
      </c>
      <c r="G23" s="406"/>
      <c r="H23" s="406"/>
    </row>
    <row r="24" spans="1:8" ht="18.75" x14ac:dyDescent="0.25">
      <c r="A24" s="403" t="s">
        <v>15</v>
      </c>
      <c r="B24" s="402" t="s">
        <v>668</v>
      </c>
      <c r="C24" s="402"/>
      <c r="D24" s="403" t="s">
        <v>959</v>
      </c>
      <c r="E24" s="557">
        <f>E23</f>
        <v>95000</v>
      </c>
      <c r="F24" s="405">
        <f>C24*E24</f>
        <v>0</v>
      </c>
      <c r="G24" s="406"/>
      <c r="H24" s="406"/>
    </row>
    <row r="25" spans="1:8" ht="18.75" x14ac:dyDescent="0.25">
      <c r="A25" s="403"/>
      <c r="B25" s="402"/>
      <c r="C25" s="402"/>
      <c r="D25" s="403"/>
      <c r="E25" s="557"/>
      <c r="F25" s="405"/>
      <c r="G25" s="406"/>
      <c r="H25" s="406"/>
    </row>
    <row r="26" spans="1:8" ht="18.75" x14ac:dyDescent="0.25">
      <c r="A26" s="403"/>
      <c r="B26" s="416"/>
      <c r="C26" s="416"/>
      <c r="D26" s="407"/>
      <c r="E26" s="566"/>
      <c r="F26" s="296"/>
      <c r="G26" s="406"/>
      <c r="H26" s="406"/>
    </row>
    <row r="27" spans="1:8" ht="18.75" x14ac:dyDescent="0.25">
      <c r="A27" s="403"/>
      <c r="B27" s="416"/>
      <c r="C27" s="416"/>
      <c r="D27" s="407"/>
      <c r="E27" s="566"/>
      <c r="F27" s="296"/>
      <c r="G27" s="406"/>
      <c r="H27" s="406"/>
    </row>
    <row r="28" spans="1:8" ht="18.75" x14ac:dyDescent="0.25">
      <c r="A28" s="403"/>
      <c r="B28" s="416" t="s">
        <v>520</v>
      </c>
      <c r="C28" s="416"/>
      <c r="D28" s="407"/>
      <c r="E28" s="566" t="s">
        <v>15</v>
      </c>
      <c r="F28" s="296">
        <f>SUM(F5:F24)</f>
        <v>2875800</v>
      </c>
      <c r="G28" s="406"/>
      <c r="H28" s="406"/>
    </row>
    <row r="29" spans="1:8" ht="18.75" x14ac:dyDescent="0.25">
      <c r="A29" s="407"/>
      <c r="B29" s="408" t="s">
        <v>521</v>
      </c>
      <c r="C29" s="416"/>
      <c r="D29" s="407"/>
      <c r="E29" s="566"/>
      <c r="F29" s="439"/>
      <c r="G29" s="406"/>
      <c r="H29" s="406"/>
    </row>
    <row r="30" spans="1:8" ht="18.75" x14ac:dyDescent="0.25">
      <c r="A30" s="403"/>
      <c r="B30" s="402"/>
      <c r="C30" s="412"/>
      <c r="D30" s="403"/>
      <c r="E30" s="557"/>
      <c r="F30" s="405"/>
      <c r="G30" s="406"/>
      <c r="H30" s="406"/>
    </row>
    <row r="31" spans="1:8" s="564" customFormat="1" ht="17.25" customHeight="1" x14ac:dyDescent="0.25">
      <c r="A31" s="559"/>
      <c r="B31" s="560" t="s">
        <v>964</v>
      </c>
      <c r="C31" s="559"/>
      <c r="D31" s="559"/>
      <c r="E31" s="567"/>
      <c r="F31" s="562"/>
      <c r="G31" s="563"/>
    </row>
    <row r="32" spans="1:8" s="564" customFormat="1" ht="23.25" customHeight="1" x14ac:dyDescent="0.25">
      <c r="A32" s="559" t="s">
        <v>2</v>
      </c>
      <c r="B32" s="565" t="s">
        <v>965</v>
      </c>
      <c r="C32" s="568"/>
      <c r="D32" s="559" t="s">
        <v>513</v>
      </c>
      <c r="E32" s="561">
        <v>95000</v>
      </c>
      <c r="F32" s="562">
        <f>C32*E32</f>
        <v>0</v>
      </c>
      <c r="G32" s="563"/>
      <c r="H32" s="284"/>
    </row>
    <row r="33" spans="1:8" s="564" customFormat="1" ht="21.75" customHeight="1" x14ac:dyDescent="0.25">
      <c r="A33" s="559" t="s">
        <v>4</v>
      </c>
      <c r="B33" s="565" t="s">
        <v>65</v>
      </c>
      <c r="C33" s="568"/>
      <c r="D33" s="559" t="s">
        <v>513</v>
      </c>
      <c r="E33" s="561">
        <f>E32</f>
        <v>95000</v>
      </c>
      <c r="F33" s="562">
        <f>C33*E33</f>
        <v>0</v>
      </c>
      <c r="G33" s="563"/>
      <c r="H33" s="284"/>
    </row>
    <row r="34" spans="1:8" s="564" customFormat="1" ht="21" customHeight="1" x14ac:dyDescent="0.25">
      <c r="A34" s="559"/>
      <c r="B34" s="569" t="s">
        <v>102</v>
      </c>
      <c r="C34" s="559"/>
      <c r="D34" s="559"/>
      <c r="E34" s="567"/>
      <c r="F34" s="562"/>
      <c r="G34" s="563"/>
    </row>
    <row r="35" spans="1:8" s="564" customFormat="1" ht="38.25" customHeight="1" x14ac:dyDescent="0.25">
      <c r="A35" s="559"/>
      <c r="B35" s="570" t="s">
        <v>966</v>
      </c>
      <c r="C35" s="559"/>
      <c r="D35" s="559"/>
      <c r="E35" s="567"/>
      <c r="F35" s="562"/>
      <c r="G35" s="563"/>
    </row>
    <row r="36" spans="1:8" s="564" customFormat="1" ht="18" customHeight="1" x14ac:dyDescent="0.25">
      <c r="A36" s="559" t="s">
        <v>5</v>
      </c>
      <c r="B36" s="565" t="s">
        <v>672</v>
      </c>
      <c r="C36" s="571"/>
      <c r="D36" s="559" t="s">
        <v>75</v>
      </c>
      <c r="E36" s="561">
        <v>1450</v>
      </c>
      <c r="F36" s="562">
        <f>C36*E36</f>
        <v>0</v>
      </c>
      <c r="G36" s="563"/>
      <c r="H36" s="284"/>
    </row>
    <row r="37" spans="1:8" s="564" customFormat="1" ht="19.5" customHeight="1" x14ac:dyDescent="0.25">
      <c r="A37" s="559" t="s">
        <v>6</v>
      </c>
      <c r="B37" s="565" t="s">
        <v>523</v>
      </c>
      <c r="C37" s="568"/>
      <c r="D37" s="559" t="s">
        <v>75</v>
      </c>
      <c r="E37" s="561">
        <f>E36</f>
        <v>1450</v>
      </c>
      <c r="F37" s="562">
        <f>C37*E37</f>
        <v>0</v>
      </c>
      <c r="G37" s="563"/>
      <c r="H37" s="284"/>
    </row>
    <row r="38" spans="1:8" s="564" customFormat="1" ht="21" customHeight="1" x14ac:dyDescent="0.25">
      <c r="A38" s="559"/>
      <c r="B38" s="569" t="s">
        <v>67</v>
      </c>
      <c r="C38" s="559"/>
      <c r="D38" s="559"/>
      <c r="E38" s="567"/>
      <c r="F38" s="562"/>
      <c r="G38" s="563"/>
    </row>
    <row r="39" spans="1:8" s="564" customFormat="1" ht="24.75" customHeight="1" x14ac:dyDescent="0.25">
      <c r="A39" s="559"/>
      <c r="B39" s="560" t="s">
        <v>120</v>
      </c>
      <c r="C39" s="559"/>
      <c r="D39" s="559"/>
      <c r="E39" s="567"/>
      <c r="F39" s="562"/>
      <c r="G39" s="563"/>
    </row>
    <row r="40" spans="1:8" s="564" customFormat="1" ht="21.75" customHeight="1" x14ac:dyDescent="0.25">
      <c r="A40" s="559" t="s">
        <v>7</v>
      </c>
      <c r="B40" s="565" t="s">
        <v>967</v>
      </c>
      <c r="C40" s="568"/>
      <c r="D40" s="559" t="s">
        <v>511</v>
      </c>
      <c r="E40" s="561">
        <v>8500</v>
      </c>
      <c r="F40" s="562">
        <f>C40*E40</f>
        <v>0</v>
      </c>
      <c r="G40" s="563"/>
      <c r="H40" s="284"/>
    </row>
    <row r="41" spans="1:8" ht="18.75" x14ac:dyDescent="0.25">
      <c r="A41" s="403" t="s">
        <v>8</v>
      </c>
      <c r="B41" s="402" t="s">
        <v>1</v>
      </c>
      <c r="C41" s="402">
        <v>49</v>
      </c>
      <c r="D41" s="403" t="s">
        <v>22</v>
      </c>
      <c r="E41" s="557">
        <f>E40*0.15</f>
        <v>1275</v>
      </c>
      <c r="F41" s="405">
        <f>C41*E41</f>
        <v>62475</v>
      </c>
      <c r="G41" s="406"/>
      <c r="H41" s="406"/>
    </row>
    <row r="42" spans="1:8" ht="49.5" x14ac:dyDescent="0.25">
      <c r="A42" s="403"/>
      <c r="B42" s="420" t="s">
        <v>524</v>
      </c>
      <c r="C42" s="402"/>
      <c r="D42" s="403"/>
      <c r="E42" s="557"/>
      <c r="F42" s="405"/>
      <c r="G42" s="406"/>
      <c r="H42" s="406"/>
    </row>
    <row r="43" spans="1:8" ht="18.75" x14ac:dyDescent="0.25">
      <c r="A43" s="403" t="s">
        <v>9</v>
      </c>
      <c r="B43" s="421" t="s">
        <v>39</v>
      </c>
      <c r="C43" s="402">
        <v>96</v>
      </c>
      <c r="D43" s="403" t="s">
        <v>933</v>
      </c>
      <c r="E43" s="557">
        <v>1800</v>
      </c>
      <c r="F43" s="405">
        <f>C43*E43</f>
        <v>172800</v>
      </c>
      <c r="G43" s="406"/>
      <c r="H43" s="406"/>
    </row>
    <row r="44" spans="1:8" ht="18.75" x14ac:dyDescent="0.25">
      <c r="A44" s="403"/>
      <c r="B44" s="402"/>
      <c r="C44" s="402"/>
      <c r="D44" s="403"/>
      <c r="E44" s="557"/>
      <c r="F44" s="405"/>
      <c r="G44" s="406"/>
      <c r="H44" s="406"/>
    </row>
    <row r="45" spans="1:8" ht="18.75" x14ac:dyDescent="0.25">
      <c r="A45" s="403"/>
      <c r="B45" s="409" t="s">
        <v>84</v>
      </c>
      <c r="C45" s="416"/>
      <c r="D45" s="407"/>
      <c r="E45" s="566"/>
      <c r="F45" s="418"/>
      <c r="G45" s="406"/>
      <c r="H45" s="406"/>
    </row>
    <row r="46" spans="1:8" ht="18.75" x14ac:dyDescent="0.25">
      <c r="A46" s="403"/>
      <c r="B46" s="419"/>
      <c r="C46" s="416"/>
      <c r="D46" s="407"/>
      <c r="E46" s="566"/>
      <c r="F46" s="418"/>
      <c r="G46" s="406"/>
      <c r="H46" s="406"/>
    </row>
    <row r="47" spans="1:8" ht="49.5" x14ac:dyDescent="0.25">
      <c r="A47" s="403"/>
      <c r="B47" s="420" t="s">
        <v>526</v>
      </c>
      <c r="C47" s="416"/>
      <c r="D47" s="407"/>
      <c r="E47" s="566"/>
      <c r="F47" s="418"/>
      <c r="G47" s="406"/>
      <c r="H47" s="406"/>
    </row>
    <row r="48" spans="1:8" ht="18.75" x14ac:dyDescent="0.25">
      <c r="A48" s="403"/>
      <c r="B48" s="420"/>
      <c r="C48" s="416"/>
      <c r="D48" s="407"/>
      <c r="E48" s="566"/>
      <c r="F48" s="418"/>
      <c r="G48" s="406"/>
      <c r="H48" s="406"/>
    </row>
    <row r="49" spans="1:6" ht="18.75" x14ac:dyDescent="0.25">
      <c r="A49" s="403" t="s">
        <v>2</v>
      </c>
      <c r="B49" s="421" t="s">
        <v>527</v>
      </c>
      <c r="C49" s="402">
        <v>70</v>
      </c>
      <c r="D49" s="403" t="s">
        <v>933</v>
      </c>
      <c r="E49" s="557">
        <v>13000</v>
      </c>
      <c r="F49" s="405">
        <f>C49*E49</f>
        <v>910000</v>
      </c>
    </row>
    <row r="50" spans="1:6" ht="18.75" x14ac:dyDescent="0.25">
      <c r="A50" s="403"/>
      <c r="B50" s="402"/>
      <c r="C50" s="406"/>
      <c r="D50" s="403"/>
      <c r="E50" s="557"/>
      <c r="F50" s="405"/>
    </row>
    <row r="51" spans="1:6" ht="18.75" x14ac:dyDescent="0.25">
      <c r="A51" s="403"/>
      <c r="B51" s="415" t="s">
        <v>528</v>
      </c>
      <c r="C51" s="402"/>
      <c r="D51" s="403"/>
      <c r="E51" s="557"/>
      <c r="F51" s="422"/>
    </row>
    <row r="52" spans="1:6" ht="18.75" x14ac:dyDescent="0.25">
      <c r="A52" s="403"/>
      <c r="B52" s="402"/>
      <c r="C52" s="402"/>
      <c r="D52" s="403"/>
      <c r="E52" s="557"/>
      <c r="F52" s="422"/>
    </row>
    <row r="53" spans="1:6" ht="18.75" x14ac:dyDescent="0.25">
      <c r="A53" s="403"/>
      <c r="B53" s="415" t="s">
        <v>529</v>
      </c>
      <c r="C53" s="402"/>
      <c r="D53" s="403"/>
      <c r="E53" s="557"/>
      <c r="F53" s="422"/>
    </row>
    <row r="54" spans="1:6" ht="18.75" x14ac:dyDescent="0.25">
      <c r="A54" s="403"/>
      <c r="B54" s="402"/>
      <c r="C54" s="402"/>
      <c r="D54" s="403"/>
      <c r="E54" s="557"/>
      <c r="F54" s="422"/>
    </row>
    <row r="55" spans="1:6" ht="49.5" x14ac:dyDescent="0.25">
      <c r="A55" s="403" t="s">
        <v>4</v>
      </c>
      <c r="B55" s="411" t="s">
        <v>530</v>
      </c>
      <c r="C55" s="402">
        <v>96</v>
      </c>
      <c r="D55" s="403" t="s">
        <v>933</v>
      </c>
      <c r="E55" s="557">
        <v>650</v>
      </c>
      <c r="F55" s="405">
        <f>C55*E55</f>
        <v>62400</v>
      </c>
    </row>
    <row r="56" spans="1:6" ht="18.75" x14ac:dyDescent="0.25">
      <c r="A56" s="403"/>
      <c r="B56" s="411"/>
      <c r="C56" s="402"/>
      <c r="D56" s="403"/>
      <c r="E56" s="557"/>
      <c r="F56" s="422"/>
    </row>
    <row r="57" spans="1:6" ht="18.75" x14ac:dyDescent="0.25">
      <c r="A57" s="403"/>
      <c r="B57" s="411"/>
      <c r="C57" s="402"/>
      <c r="D57" s="403"/>
      <c r="E57" s="557"/>
      <c r="F57" s="422"/>
    </row>
    <row r="58" spans="1:6" ht="18.75" x14ac:dyDescent="0.25">
      <c r="A58" s="403"/>
      <c r="B58" s="498" t="s">
        <v>525</v>
      </c>
      <c r="C58" s="402"/>
      <c r="D58" s="403"/>
      <c r="E58" s="566" t="s">
        <v>15</v>
      </c>
      <c r="F58" s="439">
        <f>SUM(F30:F57)</f>
        <v>1207675</v>
      </c>
    </row>
    <row r="59" spans="1:6" ht="18.75" x14ac:dyDescent="0.25">
      <c r="A59" s="403"/>
      <c r="B59" s="411"/>
      <c r="C59" s="402"/>
      <c r="D59" s="403"/>
      <c r="E59" s="557"/>
      <c r="F59" s="422"/>
    </row>
    <row r="60" spans="1:6" ht="18.75" x14ac:dyDescent="0.25">
      <c r="A60" s="403"/>
      <c r="B60" s="498"/>
      <c r="C60" s="402"/>
      <c r="D60" s="403"/>
      <c r="E60" s="566"/>
      <c r="F60" s="296"/>
    </row>
    <row r="61" spans="1:6" ht="18.75" x14ac:dyDescent="0.25">
      <c r="A61" s="403"/>
      <c r="B61" s="409" t="s">
        <v>531</v>
      </c>
      <c r="C61" s="402"/>
      <c r="D61" s="403"/>
      <c r="E61" s="566"/>
      <c r="F61" s="296"/>
    </row>
    <row r="62" spans="1:6" ht="18.75" x14ac:dyDescent="0.25">
      <c r="A62" s="403"/>
      <c r="B62" s="402"/>
      <c r="C62" s="402"/>
      <c r="D62" s="403"/>
      <c r="E62" s="557"/>
      <c r="F62" s="424"/>
    </row>
    <row r="63" spans="1:6" ht="18.75" x14ac:dyDescent="0.25">
      <c r="A63" s="403"/>
      <c r="B63" s="499" t="s">
        <v>532</v>
      </c>
      <c r="C63" s="402"/>
      <c r="D63" s="403"/>
      <c r="E63" s="557">
        <f>F28</f>
        <v>2875800</v>
      </c>
      <c r="F63" s="424"/>
    </row>
    <row r="64" spans="1:6" ht="18.75" x14ac:dyDescent="0.25">
      <c r="A64" s="403"/>
      <c r="B64" s="500"/>
      <c r="C64" s="402"/>
      <c r="D64" s="403"/>
      <c r="E64" s="557"/>
      <c r="F64" s="424"/>
    </row>
    <row r="65" spans="1:6" ht="18.75" x14ac:dyDescent="0.25">
      <c r="A65" s="403"/>
      <c r="B65" s="499" t="s">
        <v>451</v>
      </c>
      <c r="C65" s="402"/>
      <c r="D65" s="403"/>
      <c r="E65" s="557">
        <f>F58</f>
        <v>1207675</v>
      </c>
      <c r="F65" s="424"/>
    </row>
    <row r="66" spans="1:6" ht="18.75" x14ac:dyDescent="0.25">
      <c r="A66" s="403"/>
      <c r="B66" s="423"/>
      <c r="C66" s="402"/>
      <c r="D66" s="403"/>
      <c r="E66" s="557"/>
      <c r="F66" s="424"/>
    </row>
    <row r="67" spans="1:6" ht="18.75" x14ac:dyDescent="0.25">
      <c r="A67" s="403"/>
      <c r="B67" s="423"/>
      <c r="C67" s="402"/>
      <c r="D67" s="403"/>
      <c r="E67" s="557"/>
      <c r="F67" s="424"/>
    </row>
    <row r="68" spans="1:6" ht="18.75" x14ac:dyDescent="0.25">
      <c r="A68" s="403"/>
      <c r="B68" s="423"/>
      <c r="C68" s="402"/>
      <c r="D68" s="403"/>
      <c r="E68" s="557"/>
      <c r="F68" s="424"/>
    </row>
    <row r="69" spans="1:6" ht="18.75" x14ac:dyDescent="0.25">
      <c r="A69" s="403"/>
      <c r="B69" s="423"/>
      <c r="C69" s="402"/>
      <c r="D69" s="403"/>
      <c r="E69" s="557"/>
      <c r="F69" s="424"/>
    </row>
    <row r="70" spans="1:6" ht="18.75" x14ac:dyDescent="0.25">
      <c r="A70" s="403"/>
      <c r="B70" s="425" t="s">
        <v>533</v>
      </c>
      <c r="C70" s="416"/>
      <c r="D70" s="407"/>
      <c r="E70" s="557"/>
      <c r="F70" s="426"/>
    </row>
    <row r="71" spans="1:6" ht="18.75" x14ac:dyDescent="0.25">
      <c r="A71" s="403"/>
      <c r="B71" s="416" t="s">
        <v>534</v>
      </c>
      <c r="C71" s="416"/>
      <c r="D71" s="407"/>
      <c r="E71" s="566" t="s">
        <v>15</v>
      </c>
      <c r="F71" s="418">
        <f>SUM(E63:E66)</f>
        <v>4083475</v>
      </c>
    </row>
    <row r="72" spans="1:6" ht="18.75" x14ac:dyDescent="0.25">
      <c r="A72" s="403"/>
      <c r="B72" s="401" t="s">
        <v>535</v>
      </c>
      <c r="C72" s="402"/>
      <c r="D72" s="403"/>
      <c r="E72" s="557"/>
      <c r="F72" s="405"/>
    </row>
    <row r="73" spans="1:6" ht="18.75" x14ac:dyDescent="0.25">
      <c r="A73" s="403"/>
      <c r="B73" s="402"/>
      <c r="C73" s="402"/>
      <c r="D73" s="403"/>
      <c r="E73" s="557"/>
      <c r="F73" s="405"/>
    </row>
    <row r="74" spans="1:6" ht="18.75" x14ac:dyDescent="0.25">
      <c r="A74" s="403"/>
      <c r="B74" s="408" t="s">
        <v>968</v>
      </c>
      <c r="C74" s="402"/>
      <c r="D74" s="403"/>
      <c r="E74" s="557"/>
      <c r="F74" s="424"/>
    </row>
    <row r="75" spans="1:6" ht="18.75" x14ac:dyDescent="0.25">
      <c r="A75" s="403"/>
      <c r="B75" s="408"/>
      <c r="C75" s="402"/>
      <c r="D75" s="403"/>
      <c r="E75" s="557"/>
      <c r="F75" s="424"/>
    </row>
    <row r="76" spans="1:6" ht="18.75" x14ac:dyDescent="0.25">
      <c r="A76" s="403"/>
      <c r="B76" s="409" t="s">
        <v>84</v>
      </c>
      <c r="C76" s="416"/>
      <c r="D76" s="407"/>
      <c r="E76" s="566"/>
      <c r="F76" s="418"/>
    </row>
    <row r="77" spans="1:6" ht="18.75" x14ac:dyDescent="0.25">
      <c r="A77" s="403"/>
      <c r="B77" s="419"/>
      <c r="C77" s="416"/>
      <c r="D77" s="407"/>
      <c r="E77" s="566"/>
      <c r="F77" s="418"/>
    </row>
    <row r="78" spans="1:6" ht="33" x14ac:dyDescent="0.25">
      <c r="A78" s="403"/>
      <c r="B78" s="420" t="s">
        <v>594</v>
      </c>
      <c r="C78" s="416"/>
      <c r="D78" s="407"/>
      <c r="E78" s="566"/>
      <c r="F78" s="418"/>
    </row>
    <row r="79" spans="1:6" ht="18.75" x14ac:dyDescent="0.25">
      <c r="A79" s="403"/>
      <c r="B79" s="420"/>
      <c r="C79" s="416"/>
      <c r="D79" s="407"/>
      <c r="E79" s="566"/>
      <c r="F79" s="418"/>
    </row>
    <row r="80" spans="1:6" ht="18.75" x14ac:dyDescent="0.25">
      <c r="A80" s="403" t="s">
        <v>2</v>
      </c>
      <c r="B80" s="402" t="s">
        <v>595</v>
      </c>
      <c r="C80" s="412">
        <v>141</v>
      </c>
      <c r="D80" s="403" t="s">
        <v>933</v>
      </c>
      <c r="E80" s="557">
        <v>10300</v>
      </c>
      <c r="F80" s="501">
        <f>C80*E80</f>
        <v>1452300</v>
      </c>
    </row>
    <row r="81" spans="1:8" ht="18.75" x14ac:dyDescent="0.25">
      <c r="A81" s="403"/>
      <c r="B81" s="408"/>
      <c r="C81" s="402"/>
      <c r="D81" s="403"/>
      <c r="E81" s="557"/>
      <c r="F81" s="502"/>
      <c r="G81" s="406"/>
      <c r="H81" s="406"/>
    </row>
    <row r="82" spans="1:8" ht="18.75" x14ac:dyDescent="0.25">
      <c r="A82" s="403" t="s">
        <v>4</v>
      </c>
      <c r="B82" s="402" t="s">
        <v>596</v>
      </c>
      <c r="C82" s="412">
        <v>32</v>
      </c>
      <c r="D82" s="403" t="s">
        <v>933</v>
      </c>
      <c r="E82" s="557">
        <v>8500</v>
      </c>
      <c r="F82" s="501">
        <f>C82*E82</f>
        <v>272000</v>
      </c>
      <c r="G82" s="406"/>
      <c r="H82" s="406"/>
    </row>
    <row r="83" spans="1:8" ht="18.75" x14ac:dyDescent="0.25">
      <c r="A83" s="403"/>
      <c r="B83" s="402"/>
      <c r="C83" s="415"/>
      <c r="D83" s="403"/>
      <c r="E83" s="557"/>
      <c r="F83" s="427"/>
      <c r="G83" s="406"/>
      <c r="H83" s="406"/>
    </row>
    <row r="84" spans="1:8" ht="18.75" x14ac:dyDescent="0.25">
      <c r="A84" s="403"/>
      <c r="B84" s="409" t="s">
        <v>98</v>
      </c>
      <c r="C84" s="402"/>
      <c r="D84" s="403"/>
      <c r="E84" s="557"/>
      <c r="F84" s="424"/>
      <c r="G84" s="406"/>
      <c r="H84" s="406"/>
    </row>
    <row r="85" spans="1:8" ht="18.75" x14ac:dyDescent="0.25">
      <c r="A85" s="403"/>
      <c r="B85" s="402"/>
      <c r="C85" s="402"/>
      <c r="D85" s="403"/>
      <c r="E85" s="557"/>
      <c r="F85" s="424"/>
      <c r="G85" s="406"/>
      <c r="H85" s="406"/>
    </row>
    <row r="86" spans="1:8" ht="18.75" x14ac:dyDescent="0.25">
      <c r="A86" s="403"/>
      <c r="B86" s="415" t="s">
        <v>938</v>
      </c>
      <c r="C86" s="402"/>
      <c r="D86" s="403"/>
      <c r="E86" s="557"/>
      <c r="F86" s="424"/>
      <c r="G86" s="406"/>
      <c r="H86" s="406"/>
    </row>
    <row r="87" spans="1:8" ht="18.75" x14ac:dyDescent="0.25">
      <c r="A87" s="403"/>
      <c r="B87" s="415"/>
      <c r="C87" s="402"/>
      <c r="D87" s="403"/>
      <c r="E87" s="557"/>
      <c r="F87" s="424"/>
      <c r="G87" s="406"/>
      <c r="H87" s="406"/>
    </row>
    <row r="88" spans="1:8" ht="18.75" x14ac:dyDescent="0.25">
      <c r="A88" s="403" t="s">
        <v>5</v>
      </c>
      <c r="B88" s="402" t="s">
        <v>597</v>
      </c>
      <c r="C88" s="402">
        <v>1</v>
      </c>
      <c r="D88" s="403" t="s">
        <v>935</v>
      </c>
      <c r="E88" s="557">
        <v>95000</v>
      </c>
      <c r="F88" s="424">
        <f>C88*E88</f>
        <v>95000</v>
      </c>
      <c r="G88" s="406"/>
      <c r="H88" s="406"/>
    </row>
    <row r="89" spans="1:8" ht="18.75" x14ac:dyDescent="0.25">
      <c r="A89" s="403"/>
      <c r="B89" s="402"/>
      <c r="C89" s="402"/>
      <c r="D89" s="403"/>
      <c r="E89" s="557"/>
      <c r="F89" s="424"/>
      <c r="G89" s="406"/>
      <c r="H89" s="406"/>
    </row>
    <row r="90" spans="1:8" s="564" customFormat="1" ht="21.75" customHeight="1" x14ac:dyDescent="0.25">
      <c r="A90" s="559" t="s">
        <v>6</v>
      </c>
      <c r="B90" s="565" t="s">
        <v>65</v>
      </c>
      <c r="C90" s="568"/>
      <c r="D90" s="559" t="s">
        <v>513</v>
      </c>
      <c r="E90" s="561">
        <f>E88</f>
        <v>95000</v>
      </c>
      <c r="F90" s="562">
        <f>C90*E90</f>
        <v>0</v>
      </c>
      <c r="G90" s="563"/>
      <c r="H90" s="284"/>
    </row>
    <row r="91" spans="1:8" ht="18.75" x14ac:dyDescent="0.25">
      <c r="A91" s="403"/>
      <c r="B91" s="402"/>
      <c r="C91" s="402"/>
      <c r="D91" s="403"/>
      <c r="E91" s="557"/>
      <c r="F91" s="424"/>
      <c r="G91" s="406"/>
      <c r="H91" s="406"/>
    </row>
    <row r="92" spans="1:8" s="564" customFormat="1" ht="16.5" x14ac:dyDescent="0.25">
      <c r="A92" s="559" t="s">
        <v>7</v>
      </c>
      <c r="B92" s="565" t="s">
        <v>537</v>
      </c>
      <c r="C92" s="568">
        <v>0.2</v>
      </c>
      <c r="D92" s="559" t="s">
        <v>513</v>
      </c>
      <c r="E92" s="561">
        <f>E90</f>
        <v>95000</v>
      </c>
      <c r="F92" s="562">
        <f>C92*E92</f>
        <v>19000</v>
      </c>
      <c r="G92" s="562"/>
      <c r="H92" s="284"/>
    </row>
    <row r="93" spans="1:8" s="564" customFormat="1" ht="16.5" x14ac:dyDescent="0.25">
      <c r="A93" s="559"/>
      <c r="B93" s="565"/>
      <c r="C93" s="568"/>
      <c r="D93" s="559"/>
      <c r="E93" s="561"/>
      <c r="F93" s="562"/>
      <c r="G93" s="562"/>
      <c r="H93" s="284"/>
    </row>
    <row r="94" spans="1:8" ht="18.75" x14ac:dyDescent="0.25">
      <c r="A94" s="403"/>
      <c r="B94" s="409" t="s">
        <v>102</v>
      </c>
      <c r="C94" s="402"/>
      <c r="D94" s="403"/>
      <c r="E94" s="557"/>
      <c r="F94" s="424"/>
      <c r="G94" s="406"/>
      <c r="H94" s="406"/>
    </row>
    <row r="95" spans="1:8" ht="18.75" x14ac:dyDescent="0.25">
      <c r="A95" s="403"/>
      <c r="B95" s="415"/>
      <c r="C95" s="402"/>
      <c r="D95" s="403"/>
      <c r="E95" s="557"/>
      <c r="F95" s="424"/>
      <c r="G95" s="406"/>
      <c r="H95" s="406"/>
    </row>
    <row r="96" spans="1:8" ht="33" x14ac:dyDescent="0.25">
      <c r="A96" s="403"/>
      <c r="B96" s="420" t="s">
        <v>1058</v>
      </c>
      <c r="C96" s="402"/>
      <c r="D96" s="403"/>
      <c r="E96" s="557"/>
      <c r="F96" s="424"/>
      <c r="G96" s="406"/>
      <c r="H96" s="406"/>
    </row>
    <row r="97" spans="1:6" ht="18.75" x14ac:dyDescent="0.25">
      <c r="A97" s="403"/>
      <c r="B97" s="402"/>
      <c r="C97" s="402"/>
      <c r="D97" s="403"/>
      <c r="E97" s="557"/>
      <c r="F97" s="424"/>
    </row>
    <row r="98" spans="1:6" ht="18.75" x14ac:dyDescent="0.25">
      <c r="A98" s="403" t="s">
        <v>8</v>
      </c>
      <c r="B98" s="402" t="s">
        <v>1059</v>
      </c>
      <c r="C98" s="402">
        <v>156</v>
      </c>
      <c r="D98" s="403" t="s">
        <v>75</v>
      </c>
      <c r="E98" s="557">
        <v>1450</v>
      </c>
      <c r="F98" s="424">
        <f>C98*E98</f>
        <v>226200</v>
      </c>
    </row>
    <row r="99" spans="1:6" ht="18.75" x14ac:dyDescent="0.25">
      <c r="A99" s="403"/>
      <c r="B99" s="402"/>
      <c r="C99" s="402"/>
      <c r="D99" s="403"/>
      <c r="E99" s="557"/>
      <c r="F99" s="424"/>
    </row>
    <row r="100" spans="1:6" ht="18.75" x14ac:dyDescent="0.25">
      <c r="A100" s="403"/>
      <c r="B100" s="402"/>
      <c r="C100" s="402"/>
      <c r="D100" s="403"/>
      <c r="E100" s="557"/>
      <c r="F100" s="424"/>
    </row>
    <row r="101" spans="1:6" ht="18.75" x14ac:dyDescent="0.25">
      <c r="A101" s="403"/>
      <c r="B101" s="409" t="s">
        <v>67</v>
      </c>
      <c r="C101" s="402"/>
      <c r="D101" s="403"/>
      <c r="E101" s="557"/>
      <c r="F101" s="424"/>
    </row>
    <row r="102" spans="1:6" ht="18.75" x14ac:dyDescent="0.25">
      <c r="A102" s="403"/>
      <c r="B102" s="402"/>
      <c r="C102" s="402"/>
      <c r="D102" s="403"/>
      <c r="E102" s="557"/>
      <c r="F102" s="424"/>
    </row>
    <row r="103" spans="1:6" ht="18.75" x14ac:dyDescent="0.25">
      <c r="A103" s="403"/>
      <c r="B103" s="415" t="s">
        <v>120</v>
      </c>
      <c r="C103" s="402"/>
      <c r="D103" s="403"/>
      <c r="E103" s="557"/>
      <c r="F103" s="424"/>
    </row>
    <row r="104" spans="1:6" ht="18.75" x14ac:dyDescent="0.25">
      <c r="A104" s="403"/>
      <c r="B104" s="402"/>
      <c r="C104" s="402"/>
      <c r="D104" s="403"/>
      <c r="E104" s="557"/>
      <c r="F104" s="424"/>
    </row>
    <row r="105" spans="1:6" ht="18.75" x14ac:dyDescent="0.25">
      <c r="A105" s="403" t="s">
        <v>9</v>
      </c>
      <c r="B105" s="402" t="s">
        <v>969</v>
      </c>
      <c r="C105" s="402">
        <v>13</v>
      </c>
      <c r="D105" s="403" t="s">
        <v>933</v>
      </c>
      <c r="E105" s="557">
        <v>8500</v>
      </c>
      <c r="F105" s="424">
        <f>C105*E105</f>
        <v>110500</v>
      </c>
    </row>
    <row r="106" spans="1:6" ht="18.75" x14ac:dyDescent="0.25">
      <c r="A106" s="403"/>
      <c r="B106" s="415"/>
      <c r="C106" s="402"/>
      <c r="D106" s="403"/>
      <c r="E106" s="557"/>
      <c r="F106" s="422"/>
    </row>
    <row r="107" spans="1:6" ht="18.75" x14ac:dyDescent="0.25">
      <c r="A107" s="403"/>
      <c r="B107" s="402"/>
      <c r="C107" s="402"/>
      <c r="D107" s="403"/>
      <c r="E107" s="557"/>
      <c r="F107" s="422"/>
    </row>
    <row r="108" spans="1:6" ht="18.75" x14ac:dyDescent="0.25">
      <c r="A108" s="403"/>
      <c r="B108" s="402"/>
      <c r="C108" s="415"/>
      <c r="D108" s="403"/>
      <c r="E108" s="557"/>
      <c r="F108" s="427"/>
    </row>
    <row r="109" spans="1:6" ht="18.75" x14ac:dyDescent="0.25">
      <c r="A109" s="403"/>
      <c r="B109" s="402"/>
      <c r="C109" s="415"/>
      <c r="D109" s="403"/>
      <c r="E109" s="557"/>
      <c r="F109" s="427"/>
    </row>
    <row r="110" spans="1:6" ht="18.75" x14ac:dyDescent="0.25">
      <c r="A110" s="403"/>
      <c r="B110" s="402"/>
      <c r="C110" s="415"/>
      <c r="D110" s="403"/>
      <c r="E110" s="557"/>
      <c r="F110" s="427"/>
    </row>
    <row r="111" spans="1:6" ht="18.75" x14ac:dyDescent="0.25">
      <c r="A111" s="403"/>
      <c r="B111" s="402"/>
      <c r="C111" s="416"/>
      <c r="D111" s="407"/>
      <c r="E111" s="566"/>
      <c r="F111" s="426"/>
    </row>
    <row r="112" spans="1:6" ht="18.75" x14ac:dyDescent="0.25">
      <c r="A112" s="403"/>
      <c r="B112" s="402"/>
      <c r="C112" s="402"/>
      <c r="D112" s="403"/>
      <c r="E112" s="557"/>
      <c r="F112" s="405"/>
    </row>
    <row r="113" spans="1:6" ht="18.75" x14ac:dyDescent="0.25">
      <c r="A113" s="403"/>
      <c r="B113" s="408" t="s">
        <v>968</v>
      </c>
      <c r="C113" s="402"/>
      <c r="D113" s="403"/>
      <c r="E113" s="557"/>
      <c r="F113" s="405"/>
    </row>
    <row r="114" spans="1:6" ht="18.75" x14ac:dyDescent="0.25">
      <c r="A114" s="403"/>
      <c r="B114" s="416" t="s">
        <v>534</v>
      </c>
      <c r="C114" s="402"/>
      <c r="D114" s="403"/>
      <c r="E114" s="566" t="s">
        <v>15</v>
      </c>
      <c r="F114" s="296">
        <f>F80+F82+F88+F98+F105+F90+F92</f>
        <v>2175000</v>
      </c>
    </row>
    <row r="115" spans="1:6" ht="18.75" x14ac:dyDescent="0.25">
      <c r="A115" s="403"/>
      <c r="B115" s="401" t="s">
        <v>543</v>
      </c>
      <c r="C115" s="402"/>
      <c r="D115" s="403"/>
      <c r="E115" s="557"/>
      <c r="F115" s="405"/>
    </row>
    <row r="116" spans="1:6" ht="18.75" x14ac:dyDescent="0.25">
      <c r="A116" s="403"/>
      <c r="B116" s="402"/>
      <c r="C116" s="402"/>
      <c r="D116" s="403"/>
      <c r="E116" s="557"/>
      <c r="F116" s="405"/>
    </row>
    <row r="117" spans="1:6" ht="18.75" x14ac:dyDescent="0.25">
      <c r="A117" s="403"/>
      <c r="B117" s="408" t="s">
        <v>602</v>
      </c>
      <c r="C117" s="402"/>
      <c r="D117" s="403"/>
      <c r="E117" s="557"/>
      <c r="F117" s="424"/>
    </row>
    <row r="118" spans="1:6" ht="36" x14ac:dyDescent="0.25">
      <c r="A118" s="403"/>
      <c r="B118" s="505" t="s">
        <v>203</v>
      </c>
      <c r="C118" s="416"/>
      <c r="D118" s="407"/>
      <c r="E118" s="566"/>
      <c r="F118" s="418"/>
    </row>
    <row r="119" spans="1:6" ht="18.75" x14ac:dyDescent="0.25">
      <c r="A119" s="403"/>
      <c r="B119" s="416"/>
      <c r="C119" s="416"/>
      <c r="D119" s="407"/>
      <c r="E119" s="566"/>
      <c r="F119" s="418"/>
    </row>
    <row r="120" spans="1:6" ht="33" x14ac:dyDescent="0.25">
      <c r="A120" s="403"/>
      <c r="B120" s="421" t="s">
        <v>603</v>
      </c>
      <c r="C120" s="402"/>
      <c r="D120" s="403"/>
      <c r="E120" s="557"/>
      <c r="F120" s="424"/>
    </row>
    <row r="121" spans="1:6" ht="56.25" customHeight="1" x14ac:dyDescent="0.3">
      <c r="A121" s="403"/>
      <c r="B121" s="572" t="s">
        <v>1060</v>
      </c>
      <c r="C121" s="402"/>
      <c r="D121" s="403"/>
      <c r="E121" s="557"/>
      <c r="F121" s="405"/>
    </row>
    <row r="122" spans="1:6" ht="18.75" x14ac:dyDescent="0.25">
      <c r="A122" s="403"/>
      <c r="B122" s="421"/>
      <c r="C122" s="402"/>
      <c r="D122" s="403"/>
      <c r="E122" s="557"/>
      <c r="F122" s="405"/>
    </row>
    <row r="123" spans="1:6" ht="18.75" x14ac:dyDescent="0.25">
      <c r="A123" s="403" t="s">
        <v>2</v>
      </c>
      <c r="B123" s="402" t="s">
        <v>1061</v>
      </c>
      <c r="C123" s="402">
        <v>5</v>
      </c>
      <c r="D123" s="403" t="s">
        <v>3</v>
      </c>
      <c r="E123" s="557">
        <v>140400</v>
      </c>
      <c r="F123" s="424">
        <f>C123*E123</f>
        <v>702000</v>
      </c>
    </row>
    <row r="124" spans="1:6" ht="18.75" x14ac:dyDescent="0.25">
      <c r="A124" s="403"/>
      <c r="B124" s="402"/>
      <c r="C124" s="402"/>
      <c r="D124" s="403"/>
      <c r="E124" s="557"/>
      <c r="F124" s="424"/>
    </row>
    <row r="125" spans="1:6" ht="18.75" x14ac:dyDescent="0.25">
      <c r="A125" s="403" t="s">
        <v>4</v>
      </c>
      <c r="B125" s="402" t="s">
        <v>1062</v>
      </c>
      <c r="C125" s="402">
        <v>1</v>
      </c>
      <c r="D125" s="403" t="s">
        <v>3</v>
      </c>
      <c r="E125" s="557">
        <v>87750</v>
      </c>
      <c r="F125" s="424">
        <f>C125*E125</f>
        <v>87750</v>
      </c>
    </row>
    <row r="126" spans="1:6" ht="18.75" x14ac:dyDescent="0.25">
      <c r="A126" s="403"/>
      <c r="B126" s="402"/>
      <c r="C126" s="402"/>
      <c r="D126" s="403"/>
      <c r="E126" s="557"/>
      <c r="F126" s="424"/>
    </row>
    <row r="127" spans="1:6" ht="56.25" customHeight="1" x14ac:dyDescent="0.3">
      <c r="A127" s="403"/>
      <c r="B127" s="572" t="s">
        <v>1063</v>
      </c>
      <c r="C127" s="402"/>
      <c r="D127" s="403"/>
      <c r="E127" s="557"/>
      <c r="F127" s="405"/>
    </row>
    <row r="128" spans="1:6" ht="18.75" x14ac:dyDescent="0.25">
      <c r="A128" s="403"/>
      <c r="B128" s="402"/>
      <c r="C128" s="402"/>
      <c r="D128" s="403"/>
      <c r="E128" s="557"/>
      <c r="F128" s="424"/>
    </row>
    <row r="129" spans="1:6" ht="15.75" customHeight="1" x14ac:dyDescent="0.25">
      <c r="A129" s="403" t="s">
        <v>5</v>
      </c>
      <c r="B129" s="421" t="s">
        <v>1064</v>
      </c>
      <c r="C129" s="402">
        <v>2</v>
      </c>
      <c r="D129" s="403" t="s">
        <v>3</v>
      </c>
      <c r="E129" s="557">
        <v>46800</v>
      </c>
      <c r="F129" s="424">
        <f>C129*E129</f>
        <v>93600</v>
      </c>
    </row>
    <row r="130" spans="1:6" ht="18.75" x14ac:dyDescent="0.25">
      <c r="A130" s="403"/>
      <c r="B130" s="421"/>
      <c r="C130" s="402"/>
      <c r="D130" s="403"/>
      <c r="E130" s="557"/>
      <c r="F130" s="424"/>
    </row>
    <row r="131" spans="1:6" ht="18.75" x14ac:dyDescent="0.25">
      <c r="A131" s="403" t="s">
        <v>6</v>
      </c>
      <c r="B131" s="421" t="s">
        <v>1065</v>
      </c>
      <c r="C131" s="402"/>
      <c r="D131" s="403" t="s">
        <v>3</v>
      </c>
      <c r="E131" s="557">
        <v>40000</v>
      </c>
      <c r="F131" s="424">
        <f>C131*E131</f>
        <v>0</v>
      </c>
    </row>
    <row r="132" spans="1:6" ht="18.75" x14ac:dyDescent="0.25">
      <c r="A132" s="403"/>
      <c r="B132" s="421"/>
      <c r="C132" s="402"/>
      <c r="D132" s="403"/>
      <c r="E132" s="557"/>
      <c r="F132" s="424"/>
    </row>
    <row r="133" spans="1:6" ht="33" customHeight="1" x14ac:dyDescent="0.3">
      <c r="A133" s="403"/>
      <c r="B133" s="572" t="s">
        <v>1066</v>
      </c>
      <c r="C133" s="402"/>
      <c r="D133" s="403"/>
      <c r="E133" s="557"/>
      <c r="F133" s="424"/>
    </row>
    <row r="134" spans="1:6" ht="18.75" x14ac:dyDescent="0.25">
      <c r="A134" s="403"/>
      <c r="B134" s="408"/>
      <c r="C134" s="402"/>
      <c r="D134" s="403"/>
      <c r="E134" s="557"/>
      <c r="F134" s="422"/>
    </row>
    <row r="135" spans="1:6" ht="18.75" x14ac:dyDescent="0.25">
      <c r="A135" s="403" t="s">
        <v>7</v>
      </c>
      <c r="B135" s="402" t="s">
        <v>1067</v>
      </c>
      <c r="C135" s="402">
        <v>3</v>
      </c>
      <c r="D135" s="403" t="s">
        <v>3</v>
      </c>
      <c r="E135" s="557">
        <v>283500</v>
      </c>
      <c r="F135" s="501">
        <f>C135*E135</f>
        <v>850500</v>
      </c>
    </row>
    <row r="136" spans="1:6" ht="18.75" x14ac:dyDescent="0.25">
      <c r="A136" s="403"/>
      <c r="B136" s="409"/>
      <c r="C136" s="402"/>
      <c r="D136" s="403"/>
      <c r="E136" s="557"/>
      <c r="F136" s="405"/>
    </row>
    <row r="137" spans="1:6" ht="18.75" x14ac:dyDescent="0.25">
      <c r="A137" s="403"/>
      <c r="B137" s="415"/>
      <c r="C137" s="402"/>
      <c r="D137" s="403"/>
      <c r="E137" s="557"/>
      <c r="F137" s="405"/>
    </row>
    <row r="138" spans="1:6" ht="18.75" x14ac:dyDescent="0.25">
      <c r="A138" s="403"/>
      <c r="B138" s="415"/>
      <c r="C138" s="402"/>
      <c r="D138" s="403"/>
      <c r="E138" s="557"/>
      <c r="F138" s="405"/>
    </row>
    <row r="139" spans="1:6" ht="18.75" x14ac:dyDescent="0.25">
      <c r="A139" s="403"/>
      <c r="B139" s="415"/>
      <c r="C139" s="402"/>
      <c r="D139" s="403"/>
      <c r="E139" s="557"/>
      <c r="F139" s="405"/>
    </row>
    <row r="140" spans="1:6" ht="18.75" x14ac:dyDescent="0.25">
      <c r="A140" s="403"/>
      <c r="B140" s="415"/>
      <c r="C140" s="402"/>
      <c r="D140" s="403"/>
      <c r="E140" s="557"/>
      <c r="F140" s="405"/>
    </row>
    <row r="141" spans="1:6" ht="18.75" x14ac:dyDescent="0.25">
      <c r="A141" s="403"/>
      <c r="B141" s="402"/>
      <c r="C141" s="402"/>
      <c r="D141" s="403"/>
      <c r="E141" s="557"/>
      <c r="F141" s="405"/>
    </row>
    <row r="142" spans="1:6" ht="18.75" x14ac:dyDescent="0.25">
      <c r="A142" s="403"/>
      <c r="B142" s="402"/>
      <c r="C142" s="402"/>
      <c r="D142" s="403"/>
      <c r="E142" s="557"/>
      <c r="F142" s="405"/>
    </row>
    <row r="143" spans="1:6" ht="18.75" x14ac:dyDescent="0.25">
      <c r="A143" s="403"/>
      <c r="B143" s="408" t="s">
        <v>200</v>
      </c>
      <c r="C143" s="402"/>
      <c r="D143" s="403"/>
      <c r="E143" s="557"/>
      <c r="F143" s="405"/>
    </row>
    <row r="144" spans="1:6" ht="18.75" x14ac:dyDescent="0.25">
      <c r="A144" s="403"/>
      <c r="B144" s="416" t="s">
        <v>534</v>
      </c>
      <c r="C144" s="402"/>
      <c r="D144" s="403"/>
      <c r="E144" s="566" t="s">
        <v>15</v>
      </c>
      <c r="F144" s="296">
        <f>SUM(F120:F139)</f>
        <v>1733850</v>
      </c>
    </row>
    <row r="145" spans="1:6" ht="18.75" x14ac:dyDescent="0.25">
      <c r="A145" s="403"/>
      <c r="B145" s="408" t="s">
        <v>548</v>
      </c>
      <c r="C145" s="402"/>
      <c r="D145" s="403"/>
      <c r="E145" s="557"/>
      <c r="F145" s="424"/>
    </row>
    <row r="146" spans="1:6" ht="18.75" x14ac:dyDescent="0.25">
      <c r="A146" s="403"/>
      <c r="B146" s="416"/>
      <c r="C146" s="402"/>
      <c r="D146" s="403"/>
      <c r="E146" s="557"/>
      <c r="F146" s="424"/>
    </row>
    <row r="147" spans="1:6" ht="18.75" x14ac:dyDescent="0.25">
      <c r="A147" s="403"/>
      <c r="B147" s="408" t="s">
        <v>213</v>
      </c>
      <c r="C147" s="402"/>
      <c r="D147" s="403"/>
      <c r="E147" s="557"/>
      <c r="F147" s="424"/>
    </row>
    <row r="148" spans="1:6" ht="18.75" x14ac:dyDescent="0.25">
      <c r="A148" s="403"/>
      <c r="B148" s="402"/>
      <c r="C148" s="402"/>
      <c r="D148" s="403"/>
      <c r="E148" s="557"/>
      <c r="F148" s="424"/>
    </row>
    <row r="149" spans="1:6" ht="18.75" x14ac:dyDescent="0.25">
      <c r="A149" s="403"/>
      <c r="B149" s="408" t="s">
        <v>606</v>
      </c>
      <c r="C149" s="402"/>
      <c r="D149" s="403"/>
      <c r="E149" s="557"/>
      <c r="F149" s="424"/>
    </row>
    <row r="150" spans="1:6" ht="18.75" x14ac:dyDescent="0.25">
      <c r="A150" s="403"/>
      <c r="B150" s="402"/>
      <c r="C150" s="402"/>
      <c r="D150" s="403"/>
      <c r="E150" s="557"/>
      <c r="F150" s="424"/>
    </row>
    <row r="151" spans="1:6" ht="26.25" x14ac:dyDescent="0.25">
      <c r="A151" s="403"/>
      <c r="B151" s="573" t="s">
        <v>1068</v>
      </c>
      <c r="C151" s="402"/>
      <c r="D151" s="403"/>
      <c r="E151" s="557"/>
      <c r="F151" s="424"/>
    </row>
    <row r="152" spans="1:6" ht="18.75" x14ac:dyDescent="0.25">
      <c r="A152" s="403"/>
      <c r="B152" s="402"/>
      <c r="C152" s="402"/>
      <c r="D152" s="403"/>
      <c r="E152" s="557"/>
      <c r="F152" s="424"/>
    </row>
    <row r="153" spans="1:6" ht="18.75" x14ac:dyDescent="0.25">
      <c r="A153" s="403" t="s">
        <v>2</v>
      </c>
      <c r="B153" s="402" t="s">
        <v>893</v>
      </c>
      <c r="C153" s="402">
        <v>2</v>
      </c>
      <c r="D153" s="403" t="s">
        <v>3</v>
      </c>
      <c r="E153" s="557">
        <v>141750</v>
      </c>
      <c r="F153" s="501">
        <f>C153*E153</f>
        <v>283500</v>
      </c>
    </row>
    <row r="154" spans="1:6" ht="18.75" x14ac:dyDescent="0.25">
      <c r="A154" s="403"/>
      <c r="B154" s="408"/>
      <c r="C154" s="402"/>
      <c r="D154" s="403"/>
      <c r="E154" s="557"/>
      <c r="F154" s="501"/>
    </row>
    <row r="155" spans="1:6" ht="18.75" x14ac:dyDescent="0.25">
      <c r="A155" s="403"/>
      <c r="B155" s="408"/>
      <c r="C155" s="402"/>
      <c r="D155" s="403"/>
      <c r="E155" s="557"/>
      <c r="F155" s="501"/>
    </row>
    <row r="156" spans="1:6" ht="18.75" x14ac:dyDescent="0.25">
      <c r="A156" s="403"/>
      <c r="B156" s="408"/>
      <c r="C156" s="402"/>
      <c r="D156" s="403"/>
      <c r="E156" s="557"/>
      <c r="F156" s="501"/>
    </row>
    <row r="157" spans="1:6" ht="18.75" x14ac:dyDescent="0.25">
      <c r="A157" s="403"/>
      <c r="B157" s="415"/>
      <c r="C157" s="402"/>
      <c r="D157" s="403"/>
      <c r="E157" s="557"/>
      <c r="F157" s="424"/>
    </row>
    <row r="158" spans="1:6" ht="18.75" x14ac:dyDescent="0.25">
      <c r="A158" s="403"/>
      <c r="B158" s="415"/>
      <c r="C158" s="402"/>
      <c r="D158" s="403"/>
      <c r="E158" s="557"/>
      <c r="F158" s="424"/>
    </row>
    <row r="159" spans="1:6" ht="18.75" x14ac:dyDescent="0.25">
      <c r="A159" s="403"/>
      <c r="B159" s="415"/>
      <c r="C159" s="402"/>
      <c r="D159" s="403"/>
      <c r="E159" s="557"/>
      <c r="F159" s="424"/>
    </row>
    <row r="160" spans="1:6" ht="18.75" x14ac:dyDescent="0.25">
      <c r="A160" s="403"/>
      <c r="B160" s="415"/>
      <c r="C160" s="402"/>
      <c r="D160" s="403"/>
      <c r="E160" s="557"/>
      <c r="F160" s="424"/>
    </row>
    <row r="161" spans="1:6" ht="18.75" x14ac:dyDescent="0.25">
      <c r="A161" s="403"/>
      <c r="B161" s="415"/>
      <c r="C161" s="402"/>
      <c r="D161" s="403"/>
      <c r="E161" s="557"/>
      <c r="F161" s="424"/>
    </row>
    <row r="162" spans="1:6" ht="18.75" x14ac:dyDescent="0.25">
      <c r="A162" s="403"/>
      <c r="B162" s="415"/>
      <c r="C162" s="402"/>
      <c r="D162" s="403"/>
      <c r="E162" s="557"/>
      <c r="F162" s="424"/>
    </row>
    <row r="163" spans="1:6" ht="18.75" x14ac:dyDescent="0.25">
      <c r="A163" s="403"/>
      <c r="B163" s="415"/>
      <c r="C163" s="402"/>
      <c r="D163" s="403"/>
      <c r="E163" s="557"/>
      <c r="F163" s="424"/>
    </row>
    <row r="164" spans="1:6" ht="18.75" x14ac:dyDescent="0.25">
      <c r="A164" s="403"/>
      <c r="B164" s="415"/>
      <c r="C164" s="402"/>
      <c r="D164" s="403"/>
      <c r="E164" s="557"/>
      <c r="F164" s="424"/>
    </row>
    <row r="165" spans="1:6" ht="18.75" x14ac:dyDescent="0.25">
      <c r="A165" s="403"/>
      <c r="B165" s="415"/>
      <c r="C165" s="402"/>
      <c r="D165" s="403"/>
      <c r="E165" s="557"/>
      <c r="F165" s="424"/>
    </row>
    <row r="166" spans="1:6" ht="18.75" x14ac:dyDescent="0.25">
      <c r="A166" s="403"/>
      <c r="B166" s="408" t="s">
        <v>607</v>
      </c>
      <c r="C166" s="416"/>
      <c r="D166" s="407"/>
      <c r="E166" s="566"/>
      <c r="F166" s="426"/>
    </row>
    <row r="167" spans="1:6" ht="18.75" x14ac:dyDescent="0.25">
      <c r="A167" s="403"/>
      <c r="B167" s="416" t="s">
        <v>534</v>
      </c>
      <c r="C167" s="416"/>
      <c r="D167" s="407"/>
      <c r="E167" s="566" t="s">
        <v>15</v>
      </c>
      <c r="F167" s="418">
        <f>SUM(F149:F166)</f>
        <v>283500</v>
      </c>
    </row>
    <row r="168" spans="1:6" ht="18.75" x14ac:dyDescent="0.25">
      <c r="A168" s="503"/>
      <c r="B168" s="401" t="s">
        <v>569</v>
      </c>
      <c r="C168" s="402"/>
      <c r="D168" s="403"/>
      <c r="E168" s="557"/>
      <c r="F168" s="424"/>
    </row>
    <row r="169" spans="1:6" ht="18.75" x14ac:dyDescent="0.25">
      <c r="A169" s="403"/>
      <c r="B169" s="402"/>
      <c r="C169" s="402"/>
      <c r="D169" s="403"/>
      <c r="E169" s="557"/>
      <c r="F169" s="424"/>
    </row>
    <row r="170" spans="1:6" ht="18.75" x14ac:dyDescent="0.25">
      <c r="A170" s="403"/>
      <c r="B170" s="408" t="s">
        <v>163</v>
      </c>
      <c r="C170" s="402"/>
      <c r="D170" s="403"/>
      <c r="E170" s="557"/>
      <c r="F170" s="424"/>
    </row>
    <row r="171" spans="1:6" ht="18.75" x14ac:dyDescent="0.25">
      <c r="A171" s="403"/>
      <c r="B171" s="402"/>
      <c r="C171" s="402"/>
      <c r="D171" s="403"/>
      <c r="E171" s="557"/>
      <c r="F171" s="424"/>
    </row>
    <row r="172" spans="1:6" ht="18.75" x14ac:dyDescent="0.25">
      <c r="A172" s="403"/>
      <c r="B172" s="409" t="s">
        <v>98</v>
      </c>
      <c r="C172" s="402"/>
      <c r="D172" s="403"/>
      <c r="E172" s="557"/>
      <c r="F172" s="424"/>
    </row>
    <row r="173" spans="1:6" ht="18.75" x14ac:dyDescent="0.25">
      <c r="A173" s="403"/>
      <c r="B173" s="402"/>
      <c r="C173" s="402"/>
      <c r="D173" s="403"/>
      <c r="E173" s="557"/>
      <c r="F173" s="424"/>
    </row>
    <row r="174" spans="1:6" ht="18.75" x14ac:dyDescent="0.25">
      <c r="A174" s="403"/>
      <c r="B174" s="415" t="s">
        <v>536</v>
      </c>
      <c r="C174" s="402"/>
      <c r="D174" s="403"/>
      <c r="E174" s="557"/>
      <c r="F174" s="424"/>
    </row>
    <row r="175" spans="1:6" ht="18.75" x14ac:dyDescent="0.25">
      <c r="A175" s="403"/>
      <c r="B175" s="415"/>
      <c r="C175" s="402"/>
      <c r="D175" s="403"/>
      <c r="E175" s="557"/>
      <c r="F175" s="424"/>
    </row>
    <row r="176" spans="1:6" ht="18.75" x14ac:dyDescent="0.25">
      <c r="A176" s="403"/>
      <c r="B176" s="415" t="s">
        <v>938</v>
      </c>
      <c r="C176" s="402"/>
      <c r="D176" s="403"/>
      <c r="E176" s="557"/>
      <c r="F176" s="424"/>
    </row>
    <row r="177" spans="1:6" ht="18.75" x14ac:dyDescent="0.25">
      <c r="A177" s="403"/>
      <c r="B177" s="402"/>
      <c r="C177" s="402"/>
      <c r="D177" s="403"/>
      <c r="E177" s="557"/>
      <c r="F177" s="424"/>
    </row>
    <row r="178" spans="1:6" ht="18.75" x14ac:dyDescent="0.25">
      <c r="A178" s="403" t="s">
        <v>2</v>
      </c>
      <c r="B178" s="402" t="s">
        <v>1069</v>
      </c>
      <c r="C178" s="402">
        <v>4</v>
      </c>
      <c r="D178" s="403" t="s">
        <v>935</v>
      </c>
      <c r="E178" s="557">
        <v>95000</v>
      </c>
      <c r="F178" s="424">
        <f>C178*E178</f>
        <v>380000</v>
      </c>
    </row>
    <row r="179" spans="1:6" ht="18.75" x14ac:dyDescent="0.25">
      <c r="A179" s="403"/>
      <c r="B179" s="402"/>
      <c r="C179" s="402"/>
      <c r="D179" s="403"/>
      <c r="E179" s="557"/>
      <c r="F179" s="424"/>
    </row>
    <row r="180" spans="1:6" ht="18.75" x14ac:dyDescent="0.25">
      <c r="A180" s="503"/>
      <c r="B180" s="409" t="s">
        <v>102</v>
      </c>
      <c r="C180" s="402"/>
      <c r="D180" s="403"/>
      <c r="E180" s="557"/>
      <c r="F180" s="424"/>
    </row>
    <row r="181" spans="1:6" ht="18.75" x14ac:dyDescent="0.25">
      <c r="A181" s="403"/>
      <c r="B181" s="415"/>
      <c r="C181" s="402"/>
      <c r="D181" s="403"/>
      <c r="E181" s="557"/>
      <c r="F181" s="424"/>
    </row>
    <row r="182" spans="1:6" ht="33" x14ac:dyDescent="0.25">
      <c r="A182" s="403"/>
      <c r="B182" s="420" t="s">
        <v>570</v>
      </c>
      <c r="C182" s="402"/>
      <c r="D182" s="403"/>
      <c r="E182" s="557"/>
      <c r="F182" s="424"/>
    </row>
    <row r="183" spans="1:6" ht="18.75" x14ac:dyDescent="0.25">
      <c r="A183" s="403"/>
      <c r="B183" s="421"/>
      <c r="C183" s="421"/>
      <c r="D183" s="574"/>
      <c r="E183" s="575"/>
      <c r="F183" s="576"/>
    </row>
    <row r="184" spans="1:6" ht="18.75" x14ac:dyDescent="0.25">
      <c r="A184" s="403" t="s">
        <v>4</v>
      </c>
      <c r="B184" s="402" t="s">
        <v>571</v>
      </c>
      <c r="C184" s="412">
        <v>175</v>
      </c>
      <c r="D184" s="403" t="s">
        <v>75</v>
      </c>
      <c r="E184" s="557">
        <v>1450</v>
      </c>
      <c r="F184" s="504">
        <f>C184*E184</f>
        <v>253750</v>
      </c>
    </row>
    <row r="185" spans="1:6" ht="18.75" x14ac:dyDescent="0.25">
      <c r="A185" s="403"/>
      <c r="B185" s="402"/>
      <c r="C185" s="412"/>
      <c r="D185" s="403"/>
      <c r="E185" s="557"/>
      <c r="F185" s="504"/>
    </row>
    <row r="186" spans="1:6" ht="18.75" x14ac:dyDescent="0.25">
      <c r="A186" s="403" t="s">
        <v>5</v>
      </c>
      <c r="B186" s="402" t="s">
        <v>804</v>
      </c>
      <c r="C186" s="412">
        <v>210</v>
      </c>
      <c r="D186" s="403" t="s">
        <v>75</v>
      </c>
      <c r="E186" s="557">
        <f>E184</f>
        <v>1450</v>
      </c>
      <c r="F186" s="504">
        <f>C186*E186</f>
        <v>304500</v>
      </c>
    </row>
    <row r="187" spans="1:6" ht="18.75" x14ac:dyDescent="0.25">
      <c r="A187" s="577"/>
      <c r="B187" s="402"/>
      <c r="C187" s="402"/>
      <c r="D187" s="403"/>
      <c r="E187" s="557"/>
      <c r="F187" s="504"/>
    </row>
    <row r="188" spans="1:6" ht="18.75" x14ac:dyDescent="0.25">
      <c r="A188" s="403" t="s">
        <v>6</v>
      </c>
      <c r="B188" s="402" t="s">
        <v>1070</v>
      </c>
      <c r="C188" s="412">
        <v>41</v>
      </c>
      <c r="D188" s="403" t="s">
        <v>75</v>
      </c>
      <c r="E188" s="557">
        <f>E186</f>
        <v>1450</v>
      </c>
      <c r="F188" s="504">
        <f>C188*E188</f>
        <v>59450</v>
      </c>
    </row>
    <row r="189" spans="1:6" ht="18.75" x14ac:dyDescent="0.25">
      <c r="A189" s="577"/>
      <c r="B189" s="402"/>
      <c r="C189" s="402"/>
      <c r="D189" s="403"/>
      <c r="E189" s="557"/>
      <c r="F189" s="504"/>
    </row>
    <row r="190" spans="1:6" ht="18.75" x14ac:dyDescent="0.25">
      <c r="A190" s="403"/>
      <c r="B190" s="409" t="s">
        <v>67</v>
      </c>
      <c r="C190" s="402"/>
      <c r="D190" s="403"/>
      <c r="E190" s="557"/>
      <c r="F190" s="424"/>
    </row>
    <row r="191" spans="1:6" ht="18.75" x14ac:dyDescent="0.25">
      <c r="A191" s="403"/>
      <c r="B191" s="402"/>
      <c r="C191" s="402"/>
      <c r="D191" s="403"/>
      <c r="E191" s="557"/>
      <c r="F191" s="424"/>
    </row>
    <row r="192" spans="1:6" ht="18.75" x14ac:dyDescent="0.25">
      <c r="A192" s="403"/>
      <c r="B192" s="415" t="s">
        <v>120</v>
      </c>
      <c r="C192" s="402"/>
      <c r="D192" s="403"/>
      <c r="E192" s="557"/>
      <c r="F192" s="424"/>
    </row>
    <row r="193" spans="1:6" ht="18.75" x14ac:dyDescent="0.25">
      <c r="A193" s="403"/>
      <c r="B193" s="402"/>
      <c r="C193" s="402"/>
      <c r="D193" s="403"/>
      <c r="E193" s="557"/>
      <c r="F193" s="424"/>
    </row>
    <row r="194" spans="1:6" ht="18.75" x14ac:dyDescent="0.25">
      <c r="A194" s="403" t="s">
        <v>7</v>
      </c>
      <c r="B194" s="421" t="s">
        <v>1071</v>
      </c>
      <c r="C194" s="402">
        <v>28</v>
      </c>
      <c r="D194" s="403" t="s">
        <v>933</v>
      </c>
      <c r="E194" s="557">
        <v>8500</v>
      </c>
      <c r="F194" s="424">
        <f>C194*E194</f>
        <v>238000</v>
      </c>
    </row>
    <row r="195" spans="1:6" ht="18.75" x14ac:dyDescent="0.25">
      <c r="A195" s="403"/>
      <c r="B195" s="402"/>
      <c r="C195" s="402"/>
      <c r="D195" s="403"/>
      <c r="E195" s="557"/>
      <c r="F195" s="424"/>
    </row>
    <row r="196" spans="1:6" ht="18.75" x14ac:dyDescent="0.25">
      <c r="A196" s="403"/>
      <c r="B196" s="402"/>
      <c r="C196" s="402"/>
      <c r="D196" s="403"/>
      <c r="E196" s="557"/>
      <c r="F196" s="424"/>
    </row>
    <row r="197" spans="1:6" ht="18.75" x14ac:dyDescent="0.25">
      <c r="A197" s="403"/>
      <c r="B197" s="402"/>
      <c r="C197" s="402"/>
      <c r="D197" s="403"/>
      <c r="E197" s="557"/>
      <c r="F197" s="424"/>
    </row>
    <row r="198" spans="1:6" ht="18.75" x14ac:dyDescent="0.25">
      <c r="A198" s="403"/>
      <c r="B198" s="402"/>
      <c r="C198" s="402"/>
      <c r="D198" s="403"/>
      <c r="E198" s="557"/>
      <c r="F198" s="424"/>
    </row>
    <row r="199" spans="1:6" ht="18.75" x14ac:dyDescent="0.25">
      <c r="A199" s="403"/>
      <c r="B199" s="402"/>
      <c r="C199" s="402"/>
      <c r="D199" s="403"/>
      <c r="E199" s="557"/>
      <c r="F199" s="424"/>
    </row>
    <row r="200" spans="1:6" ht="18.75" x14ac:dyDescent="0.25">
      <c r="A200" s="403"/>
      <c r="B200" s="402"/>
      <c r="C200" s="402"/>
      <c r="D200" s="403"/>
      <c r="E200" s="557"/>
      <c r="F200" s="424"/>
    </row>
    <row r="201" spans="1:6" ht="18.75" x14ac:dyDescent="0.25">
      <c r="A201" s="403"/>
      <c r="B201" s="402"/>
      <c r="C201" s="402"/>
      <c r="D201" s="403"/>
      <c r="E201" s="557"/>
      <c r="F201" s="424"/>
    </row>
    <row r="202" spans="1:6" ht="18.75" x14ac:dyDescent="0.25">
      <c r="A202" s="403"/>
      <c r="B202" s="402"/>
      <c r="C202" s="402"/>
      <c r="D202" s="403"/>
      <c r="E202" s="557"/>
      <c r="F202" s="424"/>
    </row>
    <row r="203" spans="1:6" ht="18.75" x14ac:dyDescent="0.25">
      <c r="A203" s="403"/>
      <c r="B203" s="402"/>
      <c r="C203" s="402"/>
      <c r="D203" s="403"/>
      <c r="E203" s="557"/>
      <c r="F203" s="424"/>
    </row>
    <row r="204" spans="1:6" ht="18.75" x14ac:dyDescent="0.25">
      <c r="A204" s="403"/>
      <c r="B204" s="402"/>
      <c r="C204" s="402"/>
      <c r="D204" s="403"/>
      <c r="E204" s="557"/>
      <c r="F204" s="424"/>
    </row>
    <row r="205" spans="1:6" ht="18.75" x14ac:dyDescent="0.25">
      <c r="A205" s="403"/>
      <c r="B205" s="416" t="s">
        <v>520</v>
      </c>
      <c r="C205" s="416"/>
      <c r="D205" s="407"/>
      <c r="E205" s="566" t="s">
        <v>15</v>
      </c>
      <c r="F205" s="426">
        <f>SUM(F171:F203)</f>
        <v>1235700</v>
      </c>
    </row>
    <row r="206" spans="1:6" ht="18.75" x14ac:dyDescent="0.25">
      <c r="A206" s="403"/>
      <c r="B206" s="408" t="s">
        <v>573</v>
      </c>
      <c r="C206" s="402"/>
      <c r="D206" s="403"/>
      <c r="E206" s="557"/>
      <c r="F206" s="424"/>
    </row>
    <row r="207" spans="1:6" ht="18.75" x14ac:dyDescent="0.25">
      <c r="A207" s="403"/>
      <c r="B207" s="402"/>
      <c r="C207" s="402"/>
      <c r="D207" s="403"/>
      <c r="E207" s="557"/>
      <c r="F207" s="424"/>
    </row>
    <row r="208" spans="1:6" ht="49.5" x14ac:dyDescent="0.25">
      <c r="A208" s="403"/>
      <c r="B208" s="578" t="s">
        <v>574</v>
      </c>
      <c r="C208" s="402"/>
      <c r="D208" s="403"/>
      <c r="E208" s="557"/>
      <c r="F208" s="405"/>
    </row>
    <row r="209" spans="1:6" ht="18.75" x14ac:dyDescent="0.25">
      <c r="A209" s="403"/>
      <c r="B209" s="423"/>
      <c r="C209" s="402"/>
      <c r="D209" s="403"/>
      <c r="E209" s="557"/>
      <c r="F209" s="405"/>
    </row>
    <row r="210" spans="1:6" ht="18.75" x14ac:dyDescent="0.25">
      <c r="A210" s="403" t="s">
        <v>2</v>
      </c>
      <c r="B210" s="429" t="s">
        <v>1072</v>
      </c>
      <c r="C210" s="412">
        <v>102</v>
      </c>
      <c r="D210" s="403" t="s">
        <v>933</v>
      </c>
      <c r="E210" s="557">
        <v>10100</v>
      </c>
      <c r="F210" s="501">
        <f>C210*E210</f>
        <v>1030200</v>
      </c>
    </row>
    <row r="211" spans="1:6" ht="18.75" x14ac:dyDescent="0.25">
      <c r="A211" s="403"/>
      <c r="B211" s="411"/>
      <c r="C211" s="402"/>
      <c r="D211" s="403"/>
      <c r="E211" s="557"/>
      <c r="F211" s="501"/>
    </row>
    <row r="212" spans="1:6" ht="18.75" x14ac:dyDescent="0.25">
      <c r="A212" s="403" t="s">
        <v>4</v>
      </c>
      <c r="B212" s="402" t="s">
        <v>1073</v>
      </c>
      <c r="C212" s="402">
        <v>48</v>
      </c>
      <c r="D212" s="403" t="s">
        <v>22</v>
      </c>
      <c r="E212" s="557">
        <f>E210*0.3</f>
        <v>3030</v>
      </c>
      <c r="F212" s="501">
        <f>C212*E212</f>
        <v>145440</v>
      </c>
    </row>
    <row r="213" spans="1:6" ht="18.75" x14ac:dyDescent="0.25">
      <c r="A213" s="403"/>
      <c r="B213" s="402"/>
      <c r="C213" s="402"/>
      <c r="D213" s="403"/>
      <c r="E213" s="557"/>
      <c r="F213" s="501"/>
    </row>
    <row r="214" spans="1:6" ht="18.75" x14ac:dyDescent="0.25">
      <c r="A214" s="403"/>
      <c r="B214" s="402"/>
      <c r="C214" s="402"/>
      <c r="D214" s="403"/>
      <c r="E214" s="557"/>
      <c r="F214" s="501"/>
    </row>
    <row r="215" spans="1:6" ht="36" x14ac:dyDescent="0.25">
      <c r="A215" s="403"/>
      <c r="B215" s="505" t="s">
        <v>577</v>
      </c>
      <c r="C215" s="402"/>
      <c r="D215" s="403"/>
      <c r="E215" s="557"/>
      <c r="F215" s="501"/>
    </row>
    <row r="216" spans="1:6" ht="18.75" x14ac:dyDescent="0.25">
      <c r="A216" s="403"/>
      <c r="B216" s="402"/>
      <c r="C216" s="402"/>
      <c r="D216" s="403"/>
      <c r="E216" s="557"/>
      <c r="F216" s="405"/>
    </row>
    <row r="217" spans="1:6" ht="33" x14ac:dyDescent="0.25">
      <c r="A217" s="403"/>
      <c r="B217" s="420" t="s">
        <v>187</v>
      </c>
      <c r="C217" s="402"/>
      <c r="D217" s="403"/>
      <c r="E217" s="557"/>
      <c r="F217" s="405"/>
    </row>
    <row r="218" spans="1:6" ht="18.75" x14ac:dyDescent="0.25">
      <c r="A218" s="403"/>
      <c r="B218" s="402"/>
      <c r="C218" s="402"/>
      <c r="D218" s="403"/>
      <c r="E218" s="557"/>
      <c r="F218" s="405"/>
    </row>
    <row r="219" spans="1:6" ht="18.75" x14ac:dyDescent="0.25">
      <c r="A219" s="403" t="s">
        <v>5</v>
      </c>
      <c r="B219" s="402" t="s">
        <v>678</v>
      </c>
      <c r="C219" s="412">
        <v>48</v>
      </c>
      <c r="D219" s="403" t="s">
        <v>22</v>
      </c>
      <c r="E219" s="557">
        <v>800</v>
      </c>
      <c r="F219" s="501">
        <f>C219*E219</f>
        <v>38400</v>
      </c>
    </row>
    <row r="220" spans="1:6" ht="18.75" x14ac:dyDescent="0.25">
      <c r="A220" s="403"/>
      <c r="B220" s="402"/>
      <c r="C220" s="402"/>
      <c r="D220" s="403"/>
      <c r="E220" s="557"/>
      <c r="F220" s="405"/>
    </row>
    <row r="221" spans="1:6" ht="18.75" x14ac:dyDescent="0.25">
      <c r="A221" s="403" t="s">
        <v>6</v>
      </c>
      <c r="B221" s="402" t="s">
        <v>188</v>
      </c>
      <c r="C221" s="412">
        <v>87</v>
      </c>
      <c r="D221" s="403" t="s">
        <v>22</v>
      </c>
      <c r="E221" s="557">
        <f>E219</f>
        <v>800</v>
      </c>
      <c r="F221" s="501">
        <f>C221*E221</f>
        <v>69600</v>
      </c>
    </row>
    <row r="222" spans="1:6" ht="18.75" x14ac:dyDescent="0.25">
      <c r="A222" s="403"/>
      <c r="B222" s="402"/>
      <c r="C222" s="402"/>
      <c r="D222" s="403"/>
      <c r="E222" s="557"/>
      <c r="F222" s="405"/>
    </row>
    <row r="223" spans="1:6" ht="18.75" x14ac:dyDescent="0.25">
      <c r="A223" s="403" t="s">
        <v>7</v>
      </c>
      <c r="B223" s="402" t="s">
        <v>1074</v>
      </c>
      <c r="C223" s="412">
        <v>117</v>
      </c>
      <c r="D223" s="403" t="s">
        <v>22</v>
      </c>
      <c r="E223" s="557">
        <f>E221</f>
        <v>800</v>
      </c>
      <c r="F223" s="501">
        <f>C223*E223</f>
        <v>93600</v>
      </c>
    </row>
    <row r="224" spans="1:6" ht="18.75" x14ac:dyDescent="0.25">
      <c r="A224" s="403"/>
      <c r="B224" s="402"/>
      <c r="C224" s="402"/>
      <c r="D224" s="403"/>
      <c r="E224" s="557"/>
      <c r="F224" s="405"/>
    </row>
    <row r="225" spans="1:6" ht="18.75" x14ac:dyDescent="0.25">
      <c r="A225" s="403" t="s">
        <v>8</v>
      </c>
      <c r="B225" s="402" t="s">
        <v>580</v>
      </c>
      <c r="C225" s="412">
        <v>88</v>
      </c>
      <c r="D225" s="403" t="s">
        <v>22</v>
      </c>
      <c r="E225" s="557">
        <f>E223</f>
        <v>800</v>
      </c>
      <c r="F225" s="501">
        <f>C225*E225</f>
        <v>70400</v>
      </c>
    </row>
    <row r="226" spans="1:6" ht="18.75" x14ac:dyDescent="0.25">
      <c r="A226" s="403"/>
      <c r="B226" s="402"/>
      <c r="C226" s="402"/>
      <c r="D226" s="403"/>
      <c r="E226" s="557"/>
      <c r="F226" s="501"/>
    </row>
    <row r="227" spans="1:6" ht="18.75" x14ac:dyDescent="0.25">
      <c r="A227" s="403" t="s">
        <v>9</v>
      </c>
      <c r="B227" s="402" t="s">
        <v>191</v>
      </c>
      <c r="C227" s="412">
        <v>131</v>
      </c>
      <c r="D227" s="403" t="s">
        <v>22</v>
      </c>
      <c r="E227" s="557">
        <v>550</v>
      </c>
      <c r="F227" s="501">
        <f>C227*E227</f>
        <v>72050</v>
      </c>
    </row>
    <row r="228" spans="1:6" ht="18.75" x14ac:dyDescent="0.25">
      <c r="A228" s="403"/>
      <c r="B228" s="402"/>
      <c r="C228" s="412"/>
      <c r="D228" s="403"/>
      <c r="E228" s="557"/>
      <c r="F228" s="501"/>
    </row>
    <row r="229" spans="1:6" ht="18.75" x14ac:dyDescent="0.25">
      <c r="A229" s="403"/>
      <c r="B229" s="402"/>
      <c r="C229" s="412"/>
      <c r="D229" s="403"/>
      <c r="E229" s="557"/>
      <c r="F229" s="501"/>
    </row>
    <row r="230" spans="1:6" ht="18.75" x14ac:dyDescent="0.25">
      <c r="A230" s="403"/>
      <c r="B230" s="409" t="s">
        <v>84</v>
      </c>
      <c r="C230" s="416"/>
      <c r="D230" s="407"/>
      <c r="E230" s="566"/>
      <c r="F230" s="418"/>
    </row>
    <row r="231" spans="1:6" ht="18.75" x14ac:dyDescent="0.25">
      <c r="A231" s="403"/>
      <c r="B231" s="419"/>
      <c r="C231" s="416"/>
      <c r="D231" s="407"/>
      <c r="E231" s="566"/>
      <c r="F231" s="418"/>
    </row>
    <row r="232" spans="1:6" ht="33" x14ac:dyDescent="0.25">
      <c r="A232" s="403"/>
      <c r="B232" s="420" t="s">
        <v>582</v>
      </c>
      <c r="C232" s="416"/>
      <c r="D232" s="407"/>
      <c r="E232" s="566"/>
      <c r="F232" s="418"/>
    </row>
    <row r="233" spans="1:6" ht="18.75" x14ac:dyDescent="0.25">
      <c r="A233" s="403"/>
      <c r="B233" s="420"/>
      <c r="C233" s="416"/>
      <c r="D233" s="407"/>
      <c r="E233" s="566"/>
      <c r="F233" s="418"/>
    </row>
    <row r="234" spans="1:6" ht="18.75" x14ac:dyDescent="0.25">
      <c r="A234" s="403" t="s">
        <v>10</v>
      </c>
      <c r="B234" s="421" t="s">
        <v>1075</v>
      </c>
      <c r="C234" s="402">
        <v>26</v>
      </c>
      <c r="D234" s="403" t="s">
        <v>933</v>
      </c>
      <c r="E234" s="557">
        <v>10300</v>
      </c>
      <c r="F234" s="405">
        <f>C234*E234</f>
        <v>267800</v>
      </c>
    </row>
    <row r="235" spans="1:6" ht="18.75" x14ac:dyDescent="0.25">
      <c r="A235" s="403"/>
      <c r="B235" s="402"/>
      <c r="C235" s="402"/>
      <c r="D235" s="403"/>
      <c r="E235" s="557"/>
      <c r="F235" s="405"/>
    </row>
    <row r="236" spans="1:6" ht="18.75" x14ac:dyDescent="0.25">
      <c r="A236" s="403"/>
      <c r="B236" s="409" t="s">
        <v>147</v>
      </c>
      <c r="C236" s="402"/>
      <c r="D236" s="403"/>
      <c r="E236" s="557"/>
      <c r="F236" s="424"/>
    </row>
    <row r="237" spans="1:6" ht="18.75" x14ac:dyDescent="0.25">
      <c r="A237" s="403"/>
      <c r="B237" s="402"/>
      <c r="C237" s="402"/>
      <c r="D237" s="403"/>
      <c r="E237" s="557"/>
      <c r="F237" s="424"/>
    </row>
    <row r="238" spans="1:6" ht="33" x14ac:dyDescent="0.25">
      <c r="A238" s="403"/>
      <c r="B238" s="420" t="s">
        <v>583</v>
      </c>
      <c r="C238" s="402"/>
      <c r="D238" s="403"/>
      <c r="E238" s="557"/>
      <c r="F238" s="424"/>
    </row>
    <row r="239" spans="1:6" ht="18.75" x14ac:dyDescent="0.25">
      <c r="A239" s="403"/>
      <c r="B239" s="420"/>
      <c r="C239" s="402"/>
      <c r="D239" s="403"/>
      <c r="E239" s="557"/>
      <c r="F239" s="424"/>
    </row>
    <row r="240" spans="1:6" ht="18.75" x14ac:dyDescent="0.25">
      <c r="A240" s="403" t="s">
        <v>11</v>
      </c>
      <c r="B240" s="423" t="s">
        <v>1076</v>
      </c>
      <c r="C240" s="402">
        <f>C234*2</f>
        <v>52</v>
      </c>
      <c r="D240" s="403" t="s">
        <v>933</v>
      </c>
      <c r="E240" s="557">
        <v>3500</v>
      </c>
      <c r="F240" s="405">
        <f>C240*E240</f>
        <v>182000</v>
      </c>
    </row>
    <row r="241" spans="1:6" ht="18.75" x14ac:dyDescent="0.25">
      <c r="A241" s="403"/>
      <c r="B241" s="423"/>
      <c r="C241" s="402"/>
      <c r="D241" s="403"/>
      <c r="E241" s="557"/>
      <c r="F241" s="405"/>
    </row>
    <row r="242" spans="1:6" ht="18.75" x14ac:dyDescent="0.25">
      <c r="A242" s="403" t="s">
        <v>12</v>
      </c>
      <c r="B242" s="402" t="s">
        <v>1077</v>
      </c>
      <c r="C242" s="414"/>
      <c r="D242" s="403" t="s">
        <v>933</v>
      </c>
      <c r="E242" s="557">
        <f>E240</f>
        <v>3500</v>
      </c>
      <c r="F242" s="405">
        <f>C242*E242</f>
        <v>0</v>
      </c>
    </row>
    <row r="243" spans="1:6" ht="18.75" x14ac:dyDescent="0.25">
      <c r="A243" s="403"/>
      <c r="B243" s="402"/>
      <c r="C243" s="402"/>
      <c r="D243" s="403"/>
      <c r="E243" s="557"/>
      <c r="F243" s="405"/>
    </row>
    <row r="244" spans="1:6" ht="18.75" x14ac:dyDescent="0.25">
      <c r="A244" s="403"/>
      <c r="B244" s="409" t="s">
        <v>585</v>
      </c>
      <c r="C244" s="402"/>
      <c r="D244" s="403"/>
      <c r="E244" s="557"/>
      <c r="F244" s="405"/>
    </row>
    <row r="245" spans="1:6" ht="18.75" x14ac:dyDescent="0.25">
      <c r="A245" s="403"/>
      <c r="B245" s="402"/>
      <c r="C245" s="402"/>
      <c r="D245" s="403"/>
      <c r="E245" s="557"/>
      <c r="F245" s="405"/>
    </row>
    <row r="246" spans="1:6" ht="18.75" x14ac:dyDescent="0.25">
      <c r="A246" s="403"/>
      <c r="B246" s="415" t="s">
        <v>560</v>
      </c>
      <c r="C246" s="402"/>
      <c r="D246" s="403"/>
      <c r="E246" s="557"/>
      <c r="F246" s="424"/>
    </row>
    <row r="247" spans="1:6" ht="18.75" x14ac:dyDescent="0.25">
      <c r="A247" s="403"/>
      <c r="B247" s="415"/>
      <c r="C247" s="402"/>
      <c r="D247" s="403"/>
      <c r="E247" s="557"/>
      <c r="F247" s="424"/>
    </row>
    <row r="248" spans="1:6" ht="18.75" x14ac:dyDescent="0.25">
      <c r="A248" s="403" t="s">
        <v>13</v>
      </c>
      <c r="B248" s="423" t="s">
        <v>1078</v>
      </c>
      <c r="C248" s="402"/>
      <c r="D248" s="403" t="s">
        <v>933</v>
      </c>
      <c r="E248" s="557">
        <v>3200</v>
      </c>
      <c r="F248" s="405">
        <f>C248*E248</f>
        <v>0</v>
      </c>
    </row>
    <row r="249" spans="1:6" ht="18.75" x14ac:dyDescent="0.25">
      <c r="A249" s="403"/>
      <c r="B249" s="423"/>
      <c r="C249" s="402"/>
      <c r="D249" s="403"/>
      <c r="E249" s="557"/>
      <c r="F249" s="405"/>
    </row>
    <row r="250" spans="1:6" ht="18.75" x14ac:dyDescent="0.25">
      <c r="A250" s="403"/>
      <c r="B250" s="402"/>
      <c r="C250" s="402"/>
      <c r="D250" s="403"/>
      <c r="E250" s="557"/>
      <c r="F250" s="405"/>
    </row>
    <row r="251" spans="1:6" ht="18.75" x14ac:dyDescent="0.25">
      <c r="A251" s="403"/>
      <c r="B251" s="416"/>
      <c r="C251" s="416"/>
      <c r="D251" s="407"/>
      <c r="E251" s="566"/>
      <c r="F251" s="439"/>
    </row>
    <row r="252" spans="1:6" ht="18.75" x14ac:dyDescent="0.25">
      <c r="A252" s="403"/>
      <c r="B252" s="416"/>
      <c r="C252" s="416"/>
      <c r="D252" s="407"/>
      <c r="E252" s="566"/>
      <c r="F252" s="439"/>
    </row>
    <row r="253" spans="1:6" ht="18.75" x14ac:dyDescent="0.25">
      <c r="A253" s="403"/>
      <c r="B253" s="416"/>
      <c r="C253" s="416"/>
      <c r="D253" s="407"/>
      <c r="E253" s="566"/>
      <c r="F253" s="439"/>
    </row>
    <row r="254" spans="1:6" ht="18.75" x14ac:dyDescent="0.25">
      <c r="A254" s="403"/>
      <c r="B254" s="416"/>
      <c r="C254" s="416"/>
      <c r="D254" s="407"/>
      <c r="E254" s="566"/>
      <c r="F254" s="439"/>
    </row>
    <row r="255" spans="1:6" ht="18.75" x14ac:dyDescent="0.25">
      <c r="A255" s="403"/>
      <c r="B255" s="416"/>
      <c r="C255" s="416"/>
      <c r="D255" s="407"/>
      <c r="E255" s="566"/>
      <c r="F255" s="439"/>
    </row>
    <row r="256" spans="1:6" ht="18.75" x14ac:dyDescent="0.25">
      <c r="A256" s="403"/>
      <c r="B256" s="416"/>
      <c r="C256" s="416"/>
      <c r="D256" s="407"/>
      <c r="E256" s="566"/>
      <c r="F256" s="439"/>
    </row>
    <row r="257" spans="1:6" ht="18.75" x14ac:dyDescent="0.25">
      <c r="A257" s="403"/>
      <c r="B257" s="416" t="s">
        <v>520</v>
      </c>
      <c r="C257" s="416"/>
      <c r="D257" s="407"/>
      <c r="E257" s="566" t="s">
        <v>15</v>
      </c>
      <c r="F257" s="439">
        <f>SUM(F209:F248)</f>
        <v>1969490</v>
      </c>
    </row>
    <row r="258" spans="1:6" ht="18.75" x14ac:dyDescent="0.25">
      <c r="A258" s="403"/>
      <c r="B258" s="408" t="s">
        <v>573</v>
      </c>
      <c r="C258" s="402"/>
      <c r="D258" s="403"/>
      <c r="E258" s="557"/>
      <c r="F258" s="405"/>
    </row>
    <row r="259" spans="1:6" ht="18.75" x14ac:dyDescent="0.25">
      <c r="A259" s="403"/>
      <c r="B259" s="423"/>
      <c r="C259" s="402"/>
      <c r="D259" s="403"/>
      <c r="E259" s="557"/>
      <c r="F259" s="405"/>
    </row>
    <row r="260" spans="1:6" ht="18.75" x14ac:dyDescent="0.25">
      <c r="A260" s="403"/>
      <c r="B260" s="409" t="s">
        <v>592</v>
      </c>
      <c r="C260" s="402"/>
      <c r="D260" s="403"/>
      <c r="E260" s="557"/>
      <c r="F260" s="405"/>
    </row>
    <row r="261" spans="1:6" ht="18.75" x14ac:dyDescent="0.25">
      <c r="A261" s="403"/>
      <c r="B261" s="402"/>
      <c r="C261" s="402"/>
      <c r="D261" s="403"/>
      <c r="E261" s="557"/>
      <c r="F261" s="405"/>
    </row>
    <row r="262" spans="1:6" ht="33" x14ac:dyDescent="0.25">
      <c r="A262" s="403"/>
      <c r="B262" s="420" t="s">
        <v>970</v>
      </c>
      <c r="C262" s="402"/>
      <c r="D262" s="403"/>
      <c r="E262" s="557"/>
      <c r="F262" s="405"/>
    </row>
    <row r="263" spans="1:6" ht="18.75" x14ac:dyDescent="0.25">
      <c r="A263" s="403"/>
      <c r="B263" s="402"/>
      <c r="C263" s="402"/>
      <c r="D263" s="403"/>
      <c r="E263" s="557"/>
      <c r="F263" s="405"/>
    </row>
    <row r="264" spans="1:6" ht="18.75" x14ac:dyDescent="0.25">
      <c r="A264" s="403" t="s">
        <v>2</v>
      </c>
      <c r="B264" s="423" t="s">
        <v>24</v>
      </c>
      <c r="C264" s="402">
        <f>C234</f>
        <v>26</v>
      </c>
      <c r="D264" s="403" t="s">
        <v>35</v>
      </c>
      <c r="E264" s="557">
        <v>2200</v>
      </c>
      <c r="F264" s="501">
        <f>C264*E264</f>
        <v>57200</v>
      </c>
    </row>
    <row r="265" spans="1:6" ht="18.75" x14ac:dyDescent="0.25">
      <c r="A265" s="403"/>
      <c r="B265" s="423"/>
      <c r="C265" s="402"/>
      <c r="D265" s="403"/>
      <c r="E265" s="557"/>
      <c r="F265" s="501"/>
    </row>
    <row r="266" spans="1:6" ht="18.75" x14ac:dyDescent="0.25">
      <c r="A266" s="403" t="s">
        <v>4</v>
      </c>
      <c r="B266" s="402" t="s">
        <v>1077</v>
      </c>
      <c r="C266" s="414">
        <f>C242</f>
        <v>0</v>
      </c>
      <c r="D266" s="403" t="s">
        <v>35</v>
      </c>
      <c r="E266" s="557">
        <f>E264</f>
        <v>2200</v>
      </c>
      <c r="F266" s="501">
        <f>C266*E266</f>
        <v>0</v>
      </c>
    </row>
    <row r="267" spans="1:6" ht="18.75" x14ac:dyDescent="0.25">
      <c r="A267" s="403"/>
      <c r="B267" s="402"/>
      <c r="C267" s="402"/>
      <c r="D267" s="403"/>
      <c r="E267" s="557"/>
      <c r="F267" s="501"/>
    </row>
    <row r="268" spans="1:6" ht="18.75" x14ac:dyDescent="0.25">
      <c r="A268" s="403"/>
      <c r="B268" s="402"/>
      <c r="C268" s="402"/>
      <c r="D268" s="403"/>
      <c r="E268" s="557"/>
      <c r="F268" s="501"/>
    </row>
    <row r="269" spans="1:6" ht="18.75" x14ac:dyDescent="0.25">
      <c r="A269" s="403"/>
      <c r="B269" s="416" t="s">
        <v>520</v>
      </c>
      <c r="C269" s="416"/>
      <c r="D269" s="407"/>
      <c r="E269" s="566" t="s">
        <v>15</v>
      </c>
      <c r="F269" s="418">
        <f>SUM(F259:F267)</f>
        <v>57200</v>
      </c>
    </row>
    <row r="270" spans="1:6" ht="18.75" x14ac:dyDescent="0.25">
      <c r="A270" s="403"/>
      <c r="B270" s="416"/>
      <c r="C270" s="416"/>
      <c r="D270" s="407"/>
      <c r="E270" s="566"/>
      <c r="F270" s="418"/>
    </row>
    <row r="271" spans="1:6" ht="18.75" x14ac:dyDescent="0.25">
      <c r="A271" s="403"/>
      <c r="B271" s="416"/>
      <c r="C271" s="416"/>
      <c r="D271" s="407"/>
      <c r="E271" s="566"/>
      <c r="F271" s="418"/>
    </row>
    <row r="272" spans="1:6" ht="18.75" x14ac:dyDescent="0.25">
      <c r="A272" s="403"/>
      <c r="B272" s="408" t="s">
        <v>531</v>
      </c>
      <c r="C272" s="402"/>
      <c r="D272" s="403"/>
      <c r="E272" s="557"/>
      <c r="F272" s="424"/>
    </row>
    <row r="273" spans="1:6" ht="18.75" x14ac:dyDescent="0.25">
      <c r="A273" s="403"/>
      <c r="B273" s="415"/>
      <c r="C273" s="402"/>
      <c r="D273" s="403"/>
      <c r="E273" s="557"/>
      <c r="F273" s="424"/>
    </row>
    <row r="274" spans="1:6" ht="18.75" x14ac:dyDescent="0.25">
      <c r="A274" s="403"/>
      <c r="B274" s="499" t="s">
        <v>1079</v>
      </c>
      <c r="C274" s="402"/>
      <c r="D274" s="403"/>
      <c r="E274" s="557">
        <f>F205</f>
        <v>1235700</v>
      </c>
      <c r="F274" s="424"/>
    </row>
    <row r="275" spans="1:6" ht="18.75" x14ac:dyDescent="0.25">
      <c r="A275" s="403"/>
      <c r="B275" s="499"/>
      <c r="C275" s="402"/>
      <c r="D275" s="403"/>
      <c r="E275" s="557"/>
      <c r="F275" s="424"/>
    </row>
    <row r="276" spans="1:6" ht="18.75" x14ac:dyDescent="0.25">
      <c r="A276" s="403"/>
      <c r="B276" s="499" t="s">
        <v>566</v>
      </c>
      <c r="C276" s="402"/>
      <c r="D276" s="403"/>
      <c r="E276" s="557">
        <f>F257</f>
        <v>1969490</v>
      </c>
      <c r="F276" s="424"/>
    </row>
    <row r="277" spans="1:6" ht="18.75" x14ac:dyDescent="0.25">
      <c r="A277" s="403"/>
      <c r="B277" s="499"/>
      <c r="C277" s="402"/>
      <c r="D277" s="403"/>
      <c r="E277" s="557"/>
      <c r="F277" s="405"/>
    </row>
    <row r="278" spans="1:6" ht="18.75" x14ac:dyDescent="0.25">
      <c r="A278" s="403"/>
      <c r="B278" s="499" t="s">
        <v>567</v>
      </c>
      <c r="C278" s="402"/>
      <c r="D278" s="403"/>
      <c r="E278" s="557">
        <f>F269</f>
        <v>57200</v>
      </c>
      <c r="F278" s="424"/>
    </row>
    <row r="279" spans="1:6" ht="18.75" x14ac:dyDescent="0.25">
      <c r="A279" s="403"/>
      <c r="B279" s="423"/>
      <c r="C279" s="402"/>
      <c r="D279" s="403"/>
      <c r="E279" s="557"/>
      <c r="F279" s="405"/>
    </row>
    <row r="280" spans="1:6" ht="18.75" x14ac:dyDescent="0.25">
      <c r="A280" s="403"/>
      <c r="B280" s="423"/>
      <c r="C280" s="402"/>
      <c r="D280" s="403"/>
      <c r="E280" s="557"/>
      <c r="F280" s="405"/>
    </row>
    <row r="281" spans="1:6" ht="18.75" x14ac:dyDescent="0.25">
      <c r="A281" s="403"/>
      <c r="B281" s="423"/>
      <c r="C281" s="402"/>
      <c r="D281" s="403"/>
      <c r="E281" s="557"/>
      <c r="F281" s="405"/>
    </row>
    <row r="282" spans="1:6" ht="18.75" x14ac:dyDescent="0.25">
      <c r="A282" s="403"/>
      <c r="B282" s="423"/>
      <c r="C282" s="402"/>
      <c r="D282" s="403"/>
      <c r="E282" s="557"/>
      <c r="F282" s="405"/>
    </row>
    <row r="283" spans="1:6" ht="18.75" x14ac:dyDescent="0.25">
      <c r="A283" s="403"/>
      <c r="B283" s="423"/>
      <c r="C283" s="402"/>
      <c r="D283" s="403"/>
      <c r="E283" s="557"/>
      <c r="F283" s="405"/>
    </row>
    <row r="284" spans="1:6" ht="18.75" x14ac:dyDescent="0.25">
      <c r="A284" s="403"/>
      <c r="B284" s="408" t="s">
        <v>163</v>
      </c>
      <c r="C284" s="402"/>
      <c r="D284" s="403"/>
      <c r="E284" s="557"/>
      <c r="F284" s="424"/>
    </row>
    <row r="285" spans="1:6" ht="18.75" x14ac:dyDescent="0.25">
      <c r="A285" s="403"/>
      <c r="B285" s="416" t="s">
        <v>534</v>
      </c>
      <c r="C285" s="416"/>
      <c r="D285" s="407"/>
      <c r="E285" s="566" t="s">
        <v>15</v>
      </c>
      <c r="F285" s="418">
        <f>SUM(E272:E279)</f>
        <v>3262390</v>
      </c>
    </row>
    <row r="286" spans="1:6" ht="18.75" x14ac:dyDescent="0.25">
      <c r="A286" s="403"/>
      <c r="B286" s="408" t="s">
        <v>593</v>
      </c>
      <c r="C286" s="402"/>
      <c r="D286" s="403"/>
      <c r="E286" s="557"/>
      <c r="F286" s="405"/>
    </row>
    <row r="287" spans="1:6" ht="18.75" x14ac:dyDescent="0.25">
      <c r="A287" s="403"/>
      <c r="B287" s="408"/>
      <c r="C287" s="402"/>
      <c r="D287" s="403"/>
      <c r="E287" s="557"/>
      <c r="F287" s="405"/>
    </row>
    <row r="288" spans="1:6" ht="18.75" x14ac:dyDescent="0.25">
      <c r="A288" s="403"/>
      <c r="B288" s="408" t="s">
        <v>236</v>
      </c>
      <c r="C288" s="402"/>
      <c r="D288" s="403"/>
      <c r="E288" s="557"/>
      <c r="F288" s="405"/>
    </row>
    <row r="289" spans="1:6" ht="18.75" x14ac:dyDescent="0.25">
      <c r="A289" s="403"/>
      <c r="B289" s="415" t="s">
        <v>610</v>
      </c>
      <c r="C289" s="402"/>
      <c r="D289" s="403"/>
      <c r="E289" s="557"/>
      <c r="F289" s="405"/>
    </row>
    <row r="290" spans="1:6" ht="18.75" x14ac:dyDescent="0.25">
      <c r="A290" s="403"/>
      <c r="B290" s="402"/>
      <c r="C290" s="402"/>
      <c r="D290" s="403"/>
      <c r="E290" s="557"/>
      <c r="F290" s="405"/>
    </row>
    <row r="291" spans="1:6" ht="18.75" x14ac:dyDescent="0.25">
      <c r="A291" s="403"/>
      <c r="B291" s="409" t="s">
        <v>283</v>
      </c>
      <c r="C291" s="402"/>
      <c r="D291" s="403"/>
      <c r="E291" s="557"/>
      <c r="F291" s="405"/>
    </row>
    <row r="292" spans="1:6" ht="33" x14ac:dyDescent="0.25">
      <c r="A292" s="403"/>
      <c r="B292" s="420" t="s">
        <v>611</v>
      </c>
      <c r="C292" s="402"/>
      <c r="D292" s="403"/>
      <c r="E292" s="557"/>
      <c r="F292" s="405"/>
    </row>
    <row r="293" spans="1:6" ht="18.75" x14ac:dyDescent="0.25">
      <c r="A293" s="403" t="s">
        <v>2</v>
      </c>
      <c r="B293" s="402" t="s">
        <v>612</v>
      </c>
      <c r="C293" s="412">
        <v>149</v>
      </c>
      <c r="D293" s="403" t="s">
        <v>35</v>
      </c>
      <c r="E293" s="557">
        <v>3500</v>
      </c>
      <c r="F293" s="405">
        <f>E293*C293</f>
        <v>521500</v>
      </c>
    </row>
    <row r="294" spans="1:6" ht="33" x14ac:dyDescent="0.25">
      <c r="A294" s="403" t="s">
        <v>4</v>
      </c>
      <c r="B294" s="421" t="s">
        <v>613</v>
      </c>
      <c r="C294" s="402">
        <v>25</v>
      </c>
      <c r="D294" s="403" t="s">
        <v>22</v>
      </c>
      <c r="E294" s="557">
        <f>E293*0.3</f>
        <v>1050</v>
      </c>
      <c r="F294" s="405">
        <f>E294*C294</f>
        <v>26250</v>
      </c>
    </row>
    <row r="295" spans="1:6" ht="18.75" x14ac:dyDescent="0.25">
      <c r="A295" s="403"/>
      <c r="B295" s="421"/>
      <c r="C295" s="402"/>
      <c r="D295" s="403"/>
      <c r="E295" s="557"/>
      <c r="F295" s="405"/>
    </row>
    <row r="296" spans="1:6" s="564" customFormat="1" ht="16.5" x14ac:dyDescent="0.25">
      <c r="A296" s="559"/>
      <c r="B296" s="579" t="s">
        <v>614</v>
      </c>
      <c r="C296" s="580"/>
      <c r="D296" s="559"/>
      <c r="E296" s="558"/>
      <c r="F296" s="562"/>
    </row>
    <row r="297" spans="1:6" s="564" customFormat="1" ht="16.5" x14ac:dyDescent="0.25">
      <c r="A297" s="559"/>
      <c r="B297" s="560" t="s">
        <v>615</v>
      </c>
      <c r="C297" s="581"/>
      <c r="D297" s="559"/>
      <c r="E297" s="558"/>
      <c r="F297" s="562"/>
    </row>
    <row r="298" spans="1:6" s="564" customFormat="1" ht="30" x14ac:dyDescent="0.25">
      <c r="A298" s="559"/>
      <c r="B298" s="582" t="s">
        <v>616</v>
      </c>
      <c r="C298" s="580"/>
      <c r="D298" s="559"/>
      <c r="E298" s="558"/>
      <c r="F298" s="562"/>
    </row>
    <row r="299" spans="1:6" s="564" customFormat="1" ht="16.5" x14ac:dyDescent="0.25">
      <c r="A299" s="559" t="s">
        <v>5</v>
      </c>
      <c r="B299" s="565" t="s">
        <v>617</v>
      </c>
      <c r="C299" s="580">
        <f>C293-C311</f>
        <v>101</v>
      </c>
      <c r="D299" s="559" t="s">
        <v>35</v>
      </c>
      <c r="E299" s="558">
        <v>1400</v>
      </c>
      <c r="F299" s="562">
        <f>E299*C299</f>
        <v>141400</v>
      </c>
    </row>
    <row r="300" spans="1:6" s="564" customFormat="1" ht="25.5" customHeight="1" x14ac:dyDescent="0.25">
      <c r="A300" s="559" t="s">
        <v>6</v>
      </c>
      <c r="B300" s="583" t="s">
        <v>618</v>
      </c>
      <c r="C300" s="580">
        <f>C294</f>
        <v>25</v>
      </c>
      <c r="D300" s="559" t="s">
        <v>22</v>
      </c>
      <c r="E300" s="558">
        <f>E299*0.3</f>
        <v>420</v>
      </c>
      <c r="F300" s="562">
        <f>E300*C300</f>
        <v>10500</v>
      </c>
    </row>
    <row r="301" spans="1:6" ht="18.75" x14ac:dyDescent="0.25">
      <c r="A301" s="403"/>
      <c r="B301" s="416" t="s">
        <v>152</v>
      </c>
      <c r="C301" s="403"/>
      <c r="D301" s="403"/>
      <c r="E301" s="557"/>
      <c r="F301" s="405"/>
    </row>
    <row r="302" spans="1:6" ht="33" x14ac:dyDescent="0.25">
      <c r="A302" s="403"/>
      <c r="B302" s="421" t="s">
        <v>619</v>
      </c>
      <c r="C302" s="402"/>
      <c r="D302" s="406"/>
      <c r="E302" s="557"/>
      <c r="F302" s="405"/>
    </row>
    <row r="303" spans="1:6" ht="18.75" x14ac:dyDescent="0.25">
      <c r="A303" s="403" t="s">
        <v>5</v>
      </c>
      <c r="B303" s="402" t="s">
        <v>612</v>
      </c>
      <c r="C303" s="432">
        <f>C293-C307</f>
        <v>101</v>
      </c>
      <c r="D303" s="403" t="s">
        <v>35</v>
      </c>
      <c r="E303" s="557">
        <v>2200</v>
      </c>
      <c r="F303" s="405">
        <f>C303*E303</f>
        <v>222200</v>
      </c>
    </row>
    <row r="304" spans="1:6" ht="18.75" x14ac:dyDescent="0.25">
      <c r="A304" s="403" t="s">
        <v>6</v>
      </c>
      <c r="B304" s="402" t="s">
        <v>620</v>
      </c>
      <c r="C304" s="402">
        <f>C294</f>
        <v>25</v>
      </c>
      <c r="D304" s="403" t="s">
        <v>22</v>
      </c>
      <c r="E304" s="557">
        <f>E303*0.3</f>
        <v>660</v>
      </c>
      <c r="F304" s="405">
        <f>C304*E304</f>
        <v>16500</v>
      </c>
    </row>
    <row r="305" spans="1:6" ht="36" x14ac:dyDescent="0.25">
      <c r="A305" s="403"/>
      <c r="B305" s="434" t="s">
        <v>621</v>
      </c>
      <c r="C305" s="402"/>
      <c r="D305" s="403"/>
      <c r="E305" s="557"/>
      <c r="F305" s="405"/>
    </row>
    <row r="306" spans="1:6" ht="66" x14ac:dyDescent="0.25">
      <c r="A306" s="403"/>
      <c r="B306" s="421" t="s">
        <v>943</v>
      </c>
      <c r="C306" s="402"/>
      <c r="D306" s="403"/>
      <c r="E306" s="557"/>
      <c r="F306" s="405"/>
    </row>
    <row r="307" spans="1:6" ht="18.75" x14ac:dyDescent="0.25">
      <c r="A307" s="403" t="s">
        <v>7</v>
      </c>
      <c r="B307" s="402" t="s">
        <v>624</v>
      </c>
      <c r="C307" s="435">
        <v>48</v>
      </c>
      <c r="D307" s="403" t="s">
        <v>35</v>
      </c>
      <c r="E307" s="557">
        <v>7500</v>
      </c>
      <c r="F307" s="405">
        <f>E307*C307</f>
        <v>360000</v>
      </c>
    </row>
    <row r="308" spans="1:6" ht="18.75" x14ac:dyDescent="0.25">
      <c r="A308" s="403"/>
      <c r="B308" s="402"/>
      <c r="C308" s="584"/>
      <c r="D308" s="403"/>
      <c r="E308" s="557"/>
      <c r="F308" s="405"/>
    </row>
    <row r="309" spans="1:6" ht="54" x14ac:dyDescent="0.25">
      <c r="A309" s="403"/>
      <c r="B309" s="434" t="s">
        <v>625</v>
      </c>
      <c r="C309" s="402"/>
      <c r="D309" s="403"/>
      <c r="E309" s="557"/>
      <c r="F309" s="405"/>
    </row>
    <row r="310" spans="1:6" ht="18.75" x14ac:dyDescent="0.25">
      <c r="A310" s="403"/>
      <c r="B310" s="402" t="s">
        <v>626</v>
      </c>
      <c r="C310" s="402"/>
      <c r="D310" s="403"/>
      <c r="E310" s="557"/>
      <c r="F310" s="405"/>
    </row>
    <row r="311" spans="1:6" ht="18.75" x14ac:dyDescent="0.25">
      <c r="A311" s="403" t="s">
        <v>9</v>
      </c>
      <c r="B311" s="402" t="s">
        <v>627</v>
      </c>
      <c r="C311" s="412">
        <f>C307</f>
        <v>48</v>
      </c>
      <c r="D311" s="403" t="s">
        <v>35</v>
      </c>
      <c r="E311" s="557">
        <v>2100</v>
      </c>
      <c r="F311" s="405">
        <f>E311*C311</f>
        <v>100800</v>
      </c>
    </row>
    <row r="312" spans="1:6" ht="18.75" x14ac:dyDescent="0.25">
      <c r="A312" s="403"/>
      <c r="B312" s="408" t="s">
        <v>628</v>
      </c>
      <c r="C312" s="414"/>
      <c r="D312" s="403"/>
      <c r="E312" s="557"/>
      <c r="F312" s="424"/>
    </row>
    <row r="313" spans="1:6" ht="18.75" x14ac:dyDescent="0.25">
      <c r="A313" s="403"/>
      <c r="B313" s="402" t="s">
        <v>629</v>
      </c>
      <c r="C313" s="414"/>
      <c r="D313" s="403"/>
      <c r="E313" s="557"/>
      <c r="F313" s="424"/>
    </row>
    <row r="314" spans="1:6" ht="33" x14ac:dyDescent="0.25">
      <c r="A314" s="403"/>
      <c r="B314" s="420" t="s">
        <v>630</v>
      </c>
      <c r="C314" s="414"/>
      <c r="D314" s="403"/>
      <c r="E314" s="557"/>
      <c r="F314" s="424"/>
    </row>
    <row r="315" spans="1:6" ht="18.75" x14ac:dyDescent="0.25">
      <c r="A315" s="403" t="s">
        <v>10</v>
      </c>
      <c r="B315" s="402" t="s">
        <v>612</v>
      </c>
      <c r="C315" s="414">
        <v>162</v>
      </c>
      <c r="D315" s="403" t="s">
        <v>35</v>
      </c>
      <c r="E315" s="557">
        <f>E293</f>
        <v>3500</v>
      </c>
      <c r="F315" s="405">
        <f>C315*E315</f>
        <v>567000</v>
      </c>
    </row>
    <row r="316" spans="1:6" ht="33" x14ac:dyDescent="0.25">
      <c r="A316" s="403" t="s">
        <v>11</v>
      </c>
      <c r="B316" s="429" t="s">
        <v>1080</v>
      </c>
      <c r="C316" s="414">
        <v>54</v>
      </c>
      <c r="D316" s="403" t="s">
        <v>22</v>
      </c>
      <c r="E316" s="557">
        <f>E294</f>
        <v>1050</v>
      </c>
      <c r="F316" s="405">
        <f>E316*C316</f>
        <v>56700</v>
      </c>
    </row>
    <row r="317" spans="1:6" ht="18.75" x14ac:dyDescent="0.25">
      <c r="A317" s="403"/>
      <c r="B317" s="423"/>
      <c r="C317" s="414"/>
      <c r="D317" s="403"/>
      <c r="E317" s="557"/>
      <c r="F317" s="405"/>
    </row>
    <row r="318" spans="1:6" s="564" customFormat="1" ht="16.5" x14ac:dyDescent="0.25">
      <c r="A318" s="559"/>
      <c r="B318" s="579" t="s">
        <v>614</v>
      </c>
      <c r="C318" s="580"/>
      <c r="D318" s="559"/>
      <c r="E318" s="558"/>
      <c r="F318" s="562"/>
    </row>
    <row r="319" spans="1:6" s="564" customFormat="1" ht="16.5" x14ac:dyDescent="0.25">
      <c r="A319" s="559"/>
      <c r="B319" s="560" t="s">
        <v>615</v>
      </c>
      <c r="C319" s="581"/>
      <c r="D319" s="559"/>
      <c r="E319" s="558"/>
      <c r="F319" s="562"/>
    </row>
    <row r="320" spans="1:6" s="564" customFormat="1" ht="30" x14ac:dyDescent="0.25">
      <c r="A320" s="559"/>
      <c r="B320" s="582" t="s">
        <v>616</v>
      </c>
      <c r="C320" s="580"/>
      <c r="D320" s="559"/>
      <c r="E320" s="558"/>
      <c r="F320" s="562"/>
    </row>
    <row r="321" spans="1:6" s="564" customFormat="1" ht="16.5" x14ac:dyDescent="0.25">
      <c r="A321" s="559" t="s">
        <v>5</v>
      </c>
      <c r="B321" s="565" t="s">
        <v>617</v>
      </c>
      <c r="C321" s="580">
        <f>C315</f>
        <v>162</v>
      </c>
      <c r="D321" s="559" t="s">
        <v>35</v>
      </c>
      <c r="E321" s="558">
        <v>1400</v>
      </c>
      <c r="F321" s="562">
        <f>E321*C321</f>
        <v>226800</v>
      </c>
    </row>
    <row r="322" spans="1:6" s="564" customFormat="1" ht="25.5" customHeight="1" x14ac:dyDescent="0.25">
      <c r="A322" s="559" t="s">
        <v>6</v>
      </c>
      <c r="B322" s="583" t="s">
        <v>618</v>
      </c>
      <c r="C322" s="580">
        <f>C316</f>
        <v>54</v>
      </c>
      <c r="D322" s="559" t="s">
        <v>22</v>
      </c>
      <c r="E322" s="558">
        <f>E321*0.3</f>
        <v>420</v>
      </c>
      <c r="F322" s="562">
        <f>E322*C322</f>
        <v>22680</v>
      </c>
    </row>
    <row r="323" spans="1:6" ht="18.75" x14ac:dyDescent="0.25">
      <c r="A323" s="403"/>
      <c r="B323" s="416" t="s">
        <v>152</v>
      </c>
      <c r="C323" s="403"/>
      <c r="D323" s="403"/>
      <c r="E323" s="557"/>
      <c r="F323" s="405"/>
    </row>
    <row r="324" spans="1:6" ht="33" x14ac:dyDescent="0.25">
      <c r="A324" s="403"/>
      <c r="B324" s="421" t="s">
        <v>619</v>
      </c>
      <c r="C324" s="402"/>
      <c r="D324" s="406"/>
      <c r="E324" s="557"/>
      <c r="F324" s="405"/>
    </row>
    <row r="325" spans="1:6" ht="18.75" x14ac:dyDescent="0.25">
      <c r="A325" s="403" t="s">
        <v>12</v>
      </c>
      <c r="B325" s="402" t="s">
        <v>612</v>
      </c>
      <c r="C325" s="432">
        <f>C315</f>
        <v>162</v>
      </c>
      <c r="D325" s="403" t="s">
        <v>35</v>
      </c>
      <c r="E325" s="557">
        <v>2200</v>
      </c>
      <c r="F325" s="405">
        <f>C325*E325</f>
        <v>356400</v>
      </c>
    </row>
    <row r="326" spans="1:6" ht="18.75" x14ac:dyDescent="0.25">
      <c r="A326" s="403" t="s">
        <v>13</v>
      </c>
      <c r="B326" s="402" t="s">
        <v>620</v>
      </c>
      <c r="C326" s="414">
        <f>C316</f>
        <v>54</v>
      </c>
      <c r="D326" s="403" t="s">
        <v>22</v>
      </c>
      <c r="E326" s="558">
        <f>E325*0.3</f>
        <v>660</v>
      </c>
      <c r="F326" s="405">
        <f>C326*E326</f>
        <v>35640</v>
      </c>
    </row>
    <row r="327" spans="1:6" ht="18.75" x14ac:dyDescent="0.25">
      <c r="A327" s="403"/>
      <c r="B327" s="423"/>
      <c r="C327" s="414"/>
      <c r="D327" s="403"/>
      <c r="E327" s="557"/>
      <c r="F327" s="405"/>
    </row>
    <row r="328" spans="1:6" ht="18.75" x14ac:dyDescent="0.25">
      <c r="A328" s="403"/>
      <c r="B328" s="416"/>
      <c r="C328" s="416"/>
      <c r="D328" s="407"/>
      <c r="E328" s="566"/>
      <c r="F328" s="296"/>
    </row>
    <row r="329" spans="1:6" ht="18.75" x14ac:dyDescent="0.25">
      <c r="A329" s="403"/>
      <c r="B329" s="416"/>
      <c r="C329" s="416"/>
      <c r="D329" s="407"/>
      <c r="E329" s="566"/>
      <c r="F329" s="296"/>
    </row>
    <row r="330" spans="1:6" ht="18.75" x14ac:dyDescent="0.25">
      <c r="A330" s="403"/>
      <c r="B330" s="416"/>
      <c r="C330" s="416"/>
      <c r="D330" s="407"/>
      <c r="E330" s="566"/>
      <c r="F330" s="296"/>
    </row>
    <row r="331" spans="1:6" ht="18.75" x14ac:dyDescent="0.25">
      <c r="A331" s="403"/>
      <c r="B331" s="408" t="s">
        <v>236</v>
      </c>
      <c r="C331" s="416"/>
      <c r="D331" s="407"/>
      <c r="E331" s="566"/>
      <c r="F331" s="296"/>
    </row>
    <row r="332" spans="1:6" ht="18.75" x14ac:dyDescent="0.25">
      <c r="A332" s="403"/>
      <c r="B332" s="416" t="s">
        <v>638</v>
      </c>
      <c r="C332" s="416"/>
      <c r="D332" s="407"/>
      <c r="E332" s="566" t="s">
        <v>15</v>
      </c>
      <c r="F332" s="296">
        <f>F293+F294+F303+F304+F307+F307+F311+F315+F315+F316+F325+F326</f>
        <v>3189990</v>
      </c>
    </row>
    <row r="333" spans="1:6" ht="18.75" x14ac:dyDescent="0.25">
      <c r="A333" s="403"/>
      <c r="B333" s="408" t="s">
        <v>604</v>
      </c>
      <c r="C333" s="402"/>
      <c r="D333" s="403"/>
      <c r="E333" s="557"/>
      <c r="F333" s="405"/>
    </row>
    <row r="334" spans="1:6" ht="18.75" x14ac:dyDescent="0.25">
      <c r="A334" s="403"/>
      <c r="B334" s="402"/>
      <c r="C334" s="402"/>
      <c r="D334" s="403"/>
      <c r="E334" s="557"/>
      <c r="F334" s="405"/>
    </row>
    <row r="335" spans="1:6" ht="18.75" x14ac:dyDescent="0.25">
      <c r="A335" s="403"/>
      <c r="B335" s="408" t="s">
        <v>265</v>
      </c>
      <c r="C335" s="402"/>
      <c r="D335" s="403"/>
      <c r="E335" s="557"/>
      <c r="F335" s="405"/>
    </row>
    <row r="336" spans="1:6" ht="18.75" x14ac:dyDescent="0.25">
      <c r="A336" s="403"/>
      <c r="B336" s="415" t="s">
        <v>610</v>
      </c>
      <c r="C336" s="402"/>
      <c r="D336" s="403"/>
      <c r="E336" s="557"/>
      <c r="F336" s="405"/>
    </row>
    <row r="337" spans="1:6" ht="36" x14ac:dyDescent="0.25">
      <c r="A337" s="403"/>
      <c r="B337" s="505" t="s">
        <v>640</v>
      </c>
      <c r="C337" s="402"/>
      <c r="D337" s="403"/>
      <c r="E337" s="557"/>
      <c r="F337" s="405"/>
    </row>
    <row r="338" spans="1:6" ht="18.75" x14ac:dyDescent="0.25">
      <c r="A338" s="403"/>
      <c r="B338" s="415"/>
      <c r="C338" s="402"/>
      <c r="D338" s="403"/>
      <c r="E338" s="557"/>
      <c r="F338" s="405"/>
    </row>
    <row r="339" spans="1:6" ht="82.5" x14ac:dyDescent="0.25">
      <c r="A339" s="403"/>
      <c r="B339" s="419" t="s">
        <v>971</v>
      </c>
      <c r="C339" s="402"/>
      <c r="D339" s="403"/>
      <c r="E339" s="557"/>
      <c r="F339" s="405"/>
    </row>
    <row r="340" spans="1:6" ht="18.75" x14ac:dyDescent="0.25">
      <c r="A340" s="403"/>
      <c r="B340" s="419"/>
      <c r="C340" s="402"/>
      <c r="D340" s="403"/>
      <c r="E340" s="557"/>
      <c r="F340" s="405"/>
    </row>
    <row r="341" spans="1:6" ht="18.75" x14ac:dyDescent="0.25">
      <c r="A341" s="403" t="s">
        <v>2</v>
      </c>
      <c r="B341" s="402" t="s">
        <v>972</v>
      </c>
      <c r="C341" s="402">
        <v>8</v>
      </c>
      <c r="D341" s="403" t="s">
        <v>35</v>
      </c>
      <c r="E341" s="557">
        <v>8500</v>
      </c>
      <c r="F341" s="405">
        <f>E341*C341</f>
        <v>68000</v>
      </c>
    </row>
    <row r="342" spans="1:6" ht="18.75" x14ac:dyDescent="0.25">
      <c r="A342" s="403"/>
      <c r="B342" s="402"/>
      <c r="C342" s="402"/>
      <c r="D342" s="403"/>
      <c r="E342" s="557"/>
      <c r="F342" s="405"/>
    </row>
    <row r="343" spans="1:6" ht="82.5" x14ac:dyDescent="0.25">
      <c r="A343" s="403"/>
      <c r="B343" s="419" t="s">
        <v>973</v>
      </c>
      <c r="C343" s="402"/>
      <c r="D343" s="403"/>
      <c r="E343" s="557"/>
      <c r="F343" s="506"/>
    </row>
    <row r="344" spans="1:6" ht="30" x14ac:dyDescent="0.25">
      <c r="A344" s="403" t="s">
        <v>4</v>
      </c>
      <c r="B344" s="583" t="s">
        <v>1081</v>
      </c>
      <c r="C344" s="402">
        <v>66</v>
      </c>
      <c r="D344" s="403" t="s">
        <v>35</v>
      </c>
      <c r="E344" s="557">
        <v>12350</v>
      </c>
      <c r="F344" s="405">
        <f>E344*C344</f>
        <v>815100</v>
      </c>
    </row>
    <row r="345" spans="1:6" ht="18.75" x14ac:dyDescent="0.25">
      <c r="A345" s="403" t="s">
        <v>5</v>
      </c>
      <c r="B345" s="402" t="s">
        <v>642</v>
      </c>
      <c r="C345" s="414">
        <v>53</v>
      </c>
      <c r="D345" s="403" t="s">
        <v>22</v>
      </c>
      <c r="E345" s="557">
        <v>1852.5</v>
      </c>
      <c r="F345" s="405">
        <f>E345*C345</f>
        <v>98182.5</v>
      </c>
    </row>
    <row r="346" spans="1:6" ht="18.75" x14ac:dyDescent="0.25">
      <c r="A346" s="403"/>
      <c r="B346" s="402"/>
      <c r="C346" s="414"/>
      <c r="D346" s="403"/>
      <c r="E346" s="557"/>
      <c r="F346" s="405"/>
    </row>
    <row r="347" spans="1:6" ht="49.5" x14ac:dyDescent="0.25">
      <c r="A347" s="403"/>
      <c r="B347" s="421" t="s">
        <v>625</v>
      </c>
      <c r="C347" s="402"/>
      <c r="D347" s="403"/>
      <c r="E347" s="557"/>
      <c r="F347" s="506"/>
    </row>
    <row r="348" spans="1:6" ht="18.75" x14ac:dyDescent="0.25">
      <c r="A348" s="403"/>
      <c r="B348" s="402" t="s">
        <v>645</v>
      </c>
      <c r="C348" s="402"/>
      <c r="D348" s="403"/>
      <c r="E348" s="557"/>
      <c r="F348" s="506"/>
    </row>
    <row r="349" spans="1:6" ht="18.75" x14ac:dyDescent="0.25">
      <c r="A349" s="403" t="s">
        <v>6</v>
      </c>
      <c r="B349" s="402" t="s">
        <v>646</v>
      </c>
      <c r="C349" s="414">
        <f>C341+C344</f>
        <v>74</v>
      </c>
      <c r="D349" s="403" t="s">
        <v>35</v>
      </c>
      <c r="E349" s="557">
        <v>4200</v>
      </c>
      <c r="F349" s="405">
        <f>E349*C349</f>
        <v>310800</v>
      </c>
    </row>
    <row r="350" spans="1:6" ht="18.75" x14ac:dyDescent="0.25">
      <c r="A350" s="403" t="s">
        <v>7</v>
      </c>
      <c r="B350" s="402" t="s">
        <v>627</v>
      </c>
      <c r="C350" s="414">
        <f>C345</f>
        <v>53</v>
      </c>
      <c r="D350" s="403" t="s">
        <v>22</v>
      </c>
      <c r="E350" s="557">
        <f>E349*0.15</f>
        <v>630</v>
      </c>
      <c r="F350" s="405">
        <f>E350*C350</f>
        <v>33390</v>
      </c>
    </row>
    <row r="351" spans="1:6" ht="18.75" x14ac:dyDescent="0.25">
      <c r="A351" s="403"/>
      <c r="B351" s="402"/>
      <c r="C351" s="402"/>
      <c r="D351" s="403"/>
      <c r="E351" s="557"/>
      <c r="F351" s="405"/>
    </row>
    <row r="352" spans="1:6" ht="18.75" x14ac:dyDescent="0.25">
      <c r="A352" s="403"/>
      <c r="B352" s="505" t="s">
        <v>628</v>
      </c>
      <c r="C352" s="402"/>
      <c r="D352" s="403"/>
      <c r="E352" s="557"/>
      <c r="F352" s="422"/>
    </row>
    <row r="353" spans="1:6" ht="33" x14ac:dyDescent="0.25">
      <c r="A353" s="403"/>
      <c r="B353" s="420" t="s">
        <v>647</v>
      </c>
      <c r="C353" s="402"/>
      <c r="D353" s="403"/>
      <c r="E353" s="557"/>
      <c r="F353" s="506"/>
    </row>
    <row r="354" spans="1:6" ht="82.5" x14ac:dyDescent="0.25">
      <c r="A354" s="403"/>
      <c r="B354" s="419" t="s">
        <v>971</v>
      </c>
      <c r="C354" s="402"/>
      <c r="D354" s="403"/>
      <c r="E354" s="557"/>
      <c r="F354" s="422"/>
    </row>
    <row r="355" spans="1:6" ht="18.75" x14ac:dyDescent="0.25">
      <c r="A355" s="403" t="s">
        <v>8</v>
      </c>
      <c r="B355" s="402" t="s">
        <v>1082</v>
      </c>
      <c r="C355" s="402">
        <v>8</v>
      </c>
      <c r="D355" s="403" t="s">
        <v>35</v>
      </c>
      <c r="E355" s="557">
        <f>E344</f>
        <v>12350</v>
      </c>
      <c r="F355" s="405">
        <f>E355*C355</f>
        <v>98800</v>
      </c>
    </row>
    <row r="356" spans="1:6" ht="18.75" x14ac:dyDescent="0.25">
      <c r="A356" s="403" t="s">
        <v>9</v>
      </c>
      <c r="B356" s="402" t="s">
        <v>642</v>
      </c>
      <c r="C356" s="402">
        <v>5</v>
      </c>
      <c r="D356" s="403" t="s">
        <v>22</v>
      </c>
      <c r="E356" s="557">
        <f>E345</f>
        <v>1852.5</v>
      </c>
      <c r="F356" s="405">
        <f>E356*C356</f>
        <v>9262.5</v>
      </c>
    </row>
    <row r="357" spans="1:6" ht="49.5" x14ac:dyDescent="0.25">
      <c r="A357" s="403"/>
      <c r="B357" s="420" t="s">
        <v>625</v>
      </c>
      <c r="C357" s="402"/>
      <c r="D357" s="403"/>
      <c r="E357" s="557"/>
      <c r="F357" s="422"/>
    </row>
    <row r="358" spans="1:6" ht="18.75" x14ac:dyDescent="0.25">
      <c r="A358" s="403"/>
      <c r="B358" s="425" t="s">
        <v>645</v>
      </c>
      <c r="C358" s="402"/>
      <c r="D358" s="403"/>
      <c r="E358" s="557"/>
      <c r="F358" s="422"/>
    </row>
    <row r="359" spans="1:6" ht="18.75" x14ac:dyDescent="0.25">
      <c r="A359" s="403" t="s">
        <v>10</v>
      </c>
      <c r="B359" s="402" t="s">
        <v>649</v>
      </c>
      <c r="C359" s="402">
        <f>C355</f>
        <v>8</v>
      </c>
      <c r="D359" s="403" t="s">
        <v>35</v>
      </c>
      <c r="E359" s="557">
        <f>E349</f>
        <v>4200</v>
      </c>
      <c r="F359" s="405">
        <f>E359*C359</f>
        <v>33600</v>
      </c>
    </row>
    <row r="360" spans="1:6" ht="18.75" x14ac:dyDescent="0.25">
      <c r="A360" s="403" t="s">
        <v>11</v>
      </c>
      <c r="B360" s="402" t="s">
        <v>627</v>
      </c>
      <c r="C360" s="402">
        <f>C356</f>
        <v>5</v>
      </c>
      <c r="D360" s="403" t="s">
        <v>22</v>
      </c>
      <c r="E360" s="557">
        <f>E350</f>
        <v>630</v>
      </c>
      <c r="F360" s="405">
        <f>E360*C360</f>
        <v>3150</v>
      </c>
    </row>
    <row r="361" spans="1:6" ht="18.75" x14ac:dyDescent="0.25">
      <c r="A361" s="403"/>
      <c r="B361" s="402"/>
      <c r="C361" s="402"/>
      <c r="D361" s="403"/>
      <c r="E361" s="557"/>
      <c r="F361" s="405"/>
    </row>
    <row r="362" spans="1:6" ht="18.75" x14ac:dyDescent="0.25">
      <c r="A362" s="403"/>
      <c r="B362" s="402"/>
      <c r="C362" s="402"/>
      <c r="D362" s="403"/>
      <c r="E362" s="557"/>
      <c r="F362" s="405"/>
    </row>
    <row r="363" spans="1:6" ht="18.75" x14ac:dyDescent="0.25">
      <c r="A363" s="403"/>
      <c r="B363" s="402"/>
      <c r="C363" s="402"/>
      <c r="D363" s="403"/>
      <c r="E363" s="557"/>
      <c r="F363" s="405"/>
    </row>
    <row r="364" spans="1:6" ht="18.75" x14ac:dyDescent="0.25">
      <c r="A364" s="403"/>
      <c r="B364" s="402"/>
      <c r="C364" s="402"/>
      <c r="D364" s="403"/>
      <c r="E364" s="557"/>
      <c r="F364" s="405"/>
    </row>
    <row r="365" spans="1:6" ht="18.75" x14ac:dyDescent="0.25">
      <c r="A365" s="403"/>
      <c r="B365" s="402"/>
      <c r="C365" s="402"/>
      <c r="D365" s="403"/>
      <c r="E365" s="557"/>
      <c r="F365" s="405"/>
    </row>
    <row r="366" spans="1:6" ht="18.75" x14ac:dyDescent="0.25">
      <c r="A366" s="403"/>
      <c r="B366" s="402"/>
      <c r="C366" s="402"/>
      <c r="D366" s="403"/>
      <c r="E366" s="557"/>
      <c r="F366" s="405"/>
    </row>
    <row r="367" spans="1:6" ht="18.75" x14ac:dyDescent="0.25">
      <c r="A367" s="403"/>
      <c r="B367" s="402"/>
      <c r="C367" s="402"/>
      <c r="D367" s="403"/>
      <c r="E367" s="557"/>
      <c r="F367" s="405"/>
    </row>
    <row r="368" spans="1:6" ht="18.75" x14ac:dyDescent="0.25">
      <c r="A368" s="403"/>
      <c r="B368" s="402"/>
      <c r="C368" s="402"/>
      <c r="D368" s="403"/>
      <c r="E368" s="557"/>
      <c r="F368" s="405"/>
    </row>
    <row r="369" spans="1:6" ht="18.75" x14ac:dyDescent="0.25">
      <c r="A369" s="403"/>
      <c r="B369" s="402"/>
      <c r="C369" s="402"/>
      <c r="D369" s="403"/>
      <c r="E369" s="557"/>
      <c r="F369" s="405"/>
    </row>
    <row r="370" spans="1:6" ht="18.75" x14ac:dyDescent="0.25">
      <c r="A370" s="403"/>
      <c r="B370" s="402"/>
      <c r="C370" s="402"/>
      <c r="D370" s="403"/>
      <c r="E370" s="557"/>
      <c r="F370" s="405"/>
    </row>
    <row r="371" spans="1:6" ht="18.75" x14ac:dyDescent="0.25">
      <c r="A371" s="403"/>
      <c r="B371" s="402"/>
      <c r="C371" s="402"/>
      <c r="D371" s="403"/>
      <c r="E371" s="557"/>
      <c r="F371" s="405"/>
    </row>
    <row r="372" spans="1:6" ht="18.75" x14ac:dyDescent="0.25">
      <c r="A372" s="403"/>
      <c r="B372" s="402"/>
      <c r="C372" s="402"/>
      <c r="D372" s="403"/>
      <c r="E372" s="557"/>
      <c r="F372" s="405"/>
    </row>
    <row r="373" spans="1:6" ht="18.75" x14ac:dyDescent="0.25">
      <c r="A373" s="403"/>
      <c r="B373" s="402"/>
      <c r="C373" s="402"/>
      <c r="D373" s="403"/>
      <c r="E373" s="557"/>
      <c r="F373" s="405"/>
    </row>
    <row r="374" spans="1:6" ht="18.75" x14ac:dyDescent="0.25">
      <c r="A374" s="403"/>
      <c r="B374" s="402"/>
      <c r="C374" s="402"/>
      <c r="D374" s="403"/>
      <c r="E374" s="557"/>
      <c r="F374" s="405"/>
    </row>
    <row r="375" spans="1:6" ht="18.75" x14ac:dyDescent="0.25">
      <c r="A375" s="403"/>
      <c r="B375" s="408" t="s">
        <v>265</v>
      </c>
      <c r="C375" s="402"/>
      <c r="D375" s="403"/>
      <c r="E375" s="557"/>
      <c r="F375" s="405"/>
    </row>
    <row r="376" spans="1:6" ht="18.75" x14ac:dyDescent="0.25">
      <c r="A376" s="403"/>
      <c r="B376" s="416" t="s">
        <v>534</v>
      </c>
      <c r="C376" s="416"/>
      <c r="D376" s="407"/>
      <c r="E376" s="566" t="s">
        <v>15</v>
      </c>
      <c r="F376" s="296">
        <f>SUM(F339:F375)</f>
        <v>1470285</v>
      </c>
    </row>
    <row r="377" spans="1:6" ht="18.75" x14ac:dyDescent="0.25">
      <c r="A377" s="403"/>
      <c r="B377" s="408" t="s">
        <v>605</v>
      </c>
      <c r="C377" s="402"/>
      <c r="D377" s="403"/>
      <c r="E377" s="557"/>
      <c r="F377" s="405"/>
    </row>
    <row r="378" spans="1:6" ht="18.75" x14ac:dyDescent="0.25">
      <c r="A378" s="403"/>
      <c r="B378" s="402"/>
      <c r="C378" s="402"/>
      <c r="D378" s="403"/>
      <c r="E378" s="557"/>
      <c r="F378" s="405"/>
    </row>
    <row r="379" spans="1:6" ht="18.75" x14ac:dyDescent="0.25">
      <c r="A379" s="403"/>
      <c r="B379" s="408" t="s">
        <v>281</v>
      </c>
      <c r="C379" s="402"/>
      <c r="D379" s="403"/>
      <c r="E379" s="557"/>
      <c r="F379" s="405"/>
    </row>
    <row r="380" spans="1:6" ht="18.75" x14ac:dyDescent="0.25">
      <c r="A380" s="403"/>
      <c r="B380" s="408"/>
      <c r="C380" s="402"/>
      <c r="D380" s="403"/>
      <c r="E380" s="557"/>
      <c r="F380" s="405"/>
    </row>
    <row r="381" spans="1:6" ht="18.75" x14ac:dyDescent="0.25">
      <c r="A381" s="403"/>
      <c r="B381" s="408" t="s">
        <v>282</v>
      </c>
      <c r="C381" s="402"/>
      <c r="D381" s="403"/>
      <c r="E381" s="557"/>
      <c r="F381" s="405"/>
    </row>
    <row r="382" spans="1:6" ht="18.75" x14ac:dyDescent="0.25">
      <c r="A382" s="403"/>
      <c r="B382" s="408"/>
      <c r="C382" s="402"/>
      <c r="D382" s="403"/>
      <c r="E382" s="557"/>
      <c r="F382" s="405"/>
    </row>
    <row r="383" spans="1:6" ht="18.75" x14ac:dyDescent="0.25">
      <c r="A383" s="403"/>
      <c r="B383" s="416" t="s">
        <v>974</v>
      </c>
      <c r="C383" s="412"/>
      <c r="D383" s="403"/>
      <c r="E383" s="557"/>
      <c r="F383" s="501"/>
    </row>
    <row r="384" spans="1:6" ht="18.75" x14ac:dyDescent="0.25">
      <c r="A384" s="403"/>
      <c r="B384" s="402" t="s">
        <v>975</v>
      </c>
      <c r="C384" s="402"/>
      <c r="D384" s="403"/>
      <c r="E384" s="557"/>
      <c r="F384" s="501"/>
    </row>
    <row r="385" spans="1:6" ht="18.75" x14ac:dyDescent="0.25">
      <c r="A385" s="403" t="s">
        <v>2</v>
      </c>
      <c r="B385" s="402" t="s">
        <v>976</v>
      </c>
      <c r="C385" s="412">
        <v>82</v>
      </c>
      <c r="D385" s="403" t="s">
        <v>35</v>
      </c>
      <c r="E385" s="557">
        <v>13200</v>
      </c>
      <c r="F385" s="405">
        <f>C385*E385</f>
        <v>1082400</v>
      </c>
    </row>
    <row r="386" spans="1:6" ht="18.75" x14ac:dyDescent="0.25">
      <c r="A386" s="403"/>
      <c r="B386" s="402"/>
      <c r="C386" s="412"/>
      <c r="D386" s="403"/>
      <c r="E386" s="557"/>
      <c r="F386" s="405"/>
    </row>
    <row r="387" spans="1:6" ht="36" x14ac:dyDescent="0.25">
      <c r="A387" s="403"/>
      <c r="B387" s="434" t="s">
        <v>653</v>
      </c>
      <c r="C387" s="402"/>
      <c r="D387" s="403"/>
      <c r="E387" s="557"/>
      <c r="F387" s="501"/>
    </row>
    <row r="388" spans="1:6" ht="18.75" x14ac:dyDescent="0.25">
      <c r="A388" s="403"/>
      <c r="B388" s="507" t="s">
        <v>654</v>
      </c>
      <c r="C388" s="402"/>
      <c r="D388" s="403"/>
      <c r="E388" s="557"/>
      <c r="F388" s="405"/>
    </row>
    <row r="389" spans="1:6" ht="18.75" x14ac:dyDescent="0.25">
      <c r="A389" s="403" t="s">
        <v>4</v>
      </c>
      <c r="B389" s="402" t="s">
        <v>287</v>
      </c>
      <c r="C389" s="508">
        <v>983</v>
      </c>
      <c r="D389" s="403" t="s">
        <v>22</v>
      </c>
      <c r="E389" s="557">
        <v>400</v>
      </c>
      <c r="F389" s="405">
        <f>E389*C389</f>
        <v>393200</v>
      </c>
    </row>
    <row r="390" spans="1:6" ht="18.75" x14ac:dyDescent="0.25">
      <c r="A390" s="403"/>
      <c r="B390" s="416" t="s">
        <v>152</v>
      </c>
      <c r="C390" s="412"/>
      <c r="D390" s="403"/>
      <c r="E390" s="557"/>
      <c r="F390" s="501"/>
    </row>
    <row r="391" spans="1:6" ht="33" x14ac:dyDescent="0.25">
      <c r="A391" s="403"/>
      <c r="B391" s="421" t="s">
        <v>655</v>
      </c>
      <c r="C391" s="412"/>
      <c r="D391" s="403"/>
      <c r="E391" s="557"/>
      <c r="F391" s="501"/>
    </row>
    <row r="392" spans="1:6" ht="18.75" x14ac:dyDescent="0.25">
      <c r="A392" s="403" t="s">
        <v>5</v>
      </c>
      <c r="B392" s="402" t="s">
        <v>977</v>
      </c>
      <c r="C392" s="412">
        <f>C385</f>
        <v>82</v>
      </c>
      <c r="D392" s="403" t="s">
        <v>35</v>
      </c>
      <c r="E392" s="557">
        <v>2200</v>
      </c>
      <c r="F392" s="405">
        <f>C392*E392</f>
        <v>180400</v>
      </c>
    </row>
    <row r="393" spans="1:6" ht="18.75" x14ac:dyDescent="0.25">
      <c r="A393" s="403"/>
      <c r="B393" s="402"/>
      <c r="C393" s="402"/>
      <c r="D393" s="403"/>
      <c r="E393" s="557"/>
      <c r="F393" s="501"/>
    </row>
    <row r="394" spans="1:6" ht="18.75" x14ac:dyDescent="0.25">
      <c r="A394" s="403"/>
      <c r="B394" s="402"/>
      <c r="C394" s="402"/>
      <c r="D394" s="403"/>
      <c r="E394" s="557"/>
      <c r="F394" s="501"/>
    </row>
    <row r="395" spans="1:6" ht="18.75" x14ac:dyDescent="0.25">
      <c r="A395" s="403"/>
      <c r="B395" s="402"/>
      <c r="C395" s="402"/>
      <c r="D395" s="403"/>
      <c r="E395" s="557"/>
      <c r="F395" s="501"/>
    </row>
    <row r="396" spans="1:6" ht="18.75" x14ac:dyDescent="0.25">
      <c r="A396" s="403"/>
      <c r="B396" s="402"/>
      <c r="C396" s="402"/>
      <c r="D396" s="403"/>
      <c r="E396" s="557"/>
      <c r="F396" s="501"/>
    </row>
    <row r="397" spans="1:6" ht="18.75" x14ac:dyDescent="0.25">
      <c r="A397" s="403"/>
      <c r="B397" s="402"/>
      <c r="C397" s="402"/>
      <c r="D397" s="403"/>
      <c r="E397" s="557"/>
      <c r="F397" s="501"/>
    </row>
    <row r="398" spans="1:6" ht="18.75" x14ac:dyDescent="0.25">
      <c r="A398" s="403"/>
      <c r="B398" s="402"/>
      <c r="C398" s="402"/>
      <c r="D398" s="403"/>
      <c r="E398" s="557"/>
      <c r="F398" s="501"/>
    </row>
    <row r="399" spans="1:6" ht="18.75" x14ac:dyDescent="0.25">
      <c r="A399" s="403"/>
      <c r="B399" s="402"/>
      <c r="C399" s="402"/>
      <c r="D399" s="403"/>
      <c r="E399" s="557"/>
      <c r="F399" s="501"/>
    </row>
    <row r="400" spans="1:6" ht="18.75" x14ac:dyDescent="0.25">
      <c r="A400" s="403"/>
      <c r="B400" s="402"/>
      <c r="C400" s="402"/>
      <c r="D400" s="403"/>
      <c r="E400" s="557"/>
      <c r="F400" s="501"/>
    </row>
    <row r="401" spans="1:6" ht="16.5" x14ac:dyDescent="0.25">
      <c r="A401" s="403"/>
      <c r="B401" s="415"/>
      <c r="C401" s="402"/>
      <c r="D401" s="403"/>
      <c r="E401" s="557"/>
      <c r="F401" s="509"/>
    </row>
    <row r="402" spans="1:6" ht="16.5" x14ac:dyDescent="0.25">
      <c r="A402" s="403"/>
      <c r="B402" s="402"/>
      <c r="C402" s="402"/>
      <c r="D402" s="403"/>
      <c r="E402" s="557"/>
      <c r="F402" s="509"/>
    </row>
    <row r="403" spans="1:6" ht="18.75" x14ac:dyDescent="0.25">
      <c r="A403" s="403"/>
      <c r="B403" s="411"/>
      <c r="C403" s="402"/>
      <c r="D403" s="403"/>
      <c r="E403" s="557"/>
      <c r="F403" s="501"/>
    </row>
    <row r="404" spans="1:6" ht="18.75" x14ac:dyDescent="0.25">
      <c r="A404" s="403"/>
      <c r="B404" s="411"/>
      <c r="C404" s="402"/>
      <c r="D404" s="403"/>
      <c r="E404" s="557"/>
      <c r="F404" s="501"/>
    </row>
    <row r="405" spans="1:6" ht="18.75" x14ac:dyDescent="0.25">
      <c r="A405" s="403"/>
      <c r="B405" s="411"/>
      <c r="C405" s="402"/>
      <c r="D405" s="403"/>
      <c r="E405" s="557"/>
      <c r="F405" s="501"/>
    </row>
    <row r="406" spans="1:6" ht="18.75" x14ac:dyDescent="0.25">
      <c r="A406" s="403"/>
      <c r="B406" s="411"/>
      <c r="C406" s="402"/>
      <c r="D406" s="403"/>
      <c r="E406" s="557"/>
      <c r="F406" s="501"/>
    </row>
    <row r="407" spans="1:6" ht="18.75" x14ac:dyDescent="0.25">
      <c r="A407" s="403"/>
      <c r="B407" s="411"/>
      <c r="C407" s="402"/>
      <c r="D407" s="403"/>
      <c r="E407" s="557"/>
      <c r="F407" s="501"/>
    </row>
    <row r="408" spans="1:6" ht="18.75" x14ac:dyDescent="0.25">
      <c r="A408" s="403"/>
      <c r="B408" s="411"/>
      <c r="C408" s="402"/>
      <c r="D408" s="403"/>
      <c r="E408" s="557"/>
      <c r="F408" s="501"/>
    </row>
    <row r="409" spans="1:6" ht="18.75" x14ac:dyDescent="0.25">
      <c r="A409" s="403"/>
      <c r="B409" s="408" t="s">
        <v>281</v>
      </c>
      <c r="C409" s="416"/>
      <c r="D409" s="407"/>
      <c r="E409" s="566"/>
      <c r="F409" s="439"/>
    </row>
    <row r="410" spans="1:6" ht="18.75" x14ac:dyDescent="0.25">
      <c r="A410" s="403"/>
      <c r="B410" s="416" t="s">
        <v>534</v>
      </c>
      <c r="C410" s="416"/>
      <c r="D410" s="407"/>
      <c r="E410" s="566" t="s">
        <v>15</v>
      </c>
      <c r="F410" s="296">
        <f>SUM(F383:F409)</f>
        <v>1656000</v>
      </c>
    </row>
    <row r="411" spans="1:6" ht="18.75" x14ac:dyDescent="0.25">
      <c r="A411" s="403"/>
      <c r="B411" s="402"/>
      <c r="C411" s="402"/>
      <c r="D411" s="403"/>
      <c r="E411" s="557"/>
      <c r="F411" s="405"/>
    </row>
    <row r="412" spans="1:6" ht="18.75" x14ac:dyDescent="0.25">
      <c r="A412" s="403"/>
      <c r="B412" s="408" t="s">
        <v>608</v>
      </c>
      <c r="C412" s="416"/>
      <c r="D412" s="407"/>
      <c r="E412" s="566"/>
      <c r="F412" s="296"/>
    </row>
    <row r="413" spans="1:6" ht="18.75" x14ac:dyDescent="0.25">
      <c r="A413" s="403"/>
      <c r="B413" s="408" t="s">
        <v>657</v>
      </c>
      <c r="C413" s="416"/>
      <c r="D413" s="407"/>
      <c r="E413" s="566"/>
      <c r="F413" s="296"/>
    </row>
    <row r="414" spans="1:6" ht="16.5" x14ac:dyDescent="0.3">
      <c r="A414" s="510"/>
      <c r="B414" s="511" t="s">
        <v>960</v>
      </c>
      <c r="C414" s="402"/>
      <c r="D414" s="510"/>
      <c r="E414" s="585"/>
      <c r="F414" s="511"/>
    </row>
    <row r="415" spans="1:6" ht="16.5" x14ac:dyDescent="0.3">
      <c r="A415" s="510"/>
      <c r="B415" s="511"/>
      <c r="C415" s="402"/>
      <c r="D415" s="510"/>
      <c r="E415" s="585"/>
      <c r="F415" s="511"/>
    </row>
    <row r="416" spans="1:6" ht="33" x14ac:dyDescent="0.3">
      <c r="A416" s="510" t="s">
        <v>2</v>
      </c>
      <c r="B416" s="431" t="s">
        <v>1083</v>
      </c>
      <c r="C416" s="402"/>
      <c r="D416" s="510" t="s">
        <v>401</v>
      </c>
      <c r="E416" s="585"/>
      <c r="F416" s="405">
        <v>700000</v>
      </c>
    </row>
    <row r="417" spans="1:6" ht="16.5" x14ac:dyDescent="0.3">
      <c r="A417" s="510"/>
      <c r="B417" s="511"/>
      <c r="C417" s="402"/>
      <c r="D417" s="510"/>
      <c r="E417" s="585"/>
      <c r="F417" s="511"/>
    </row>
    <row r="418" spans="1:6" ht="16.5" x14ac:dyDescent="0.3">
      <c r="A418" s="510"/>
      <c r="B418" s="511"/>
      <c r="C418" s="402"/>
      <c r="D418" s="510"/>
      <c r="E418" s="585"/>
      <c r="F418" s="511"/>
    </row>
    <row r="419" spans="1:6" ht="16.5" x14ac:dyDescent="0.3">
      <c r="A419" s="510"/>
      <c r="B419" s="511"/>
      <c r="C419" s="402"/>
      <c r="D419" s="510"/>
      <c r="E419" s="585"/>
      <c r="F419" s="511"/>
    </row>
    <row r="420" spans="1:6" ht="16.5" x14ac:dyDescent="0.3">
      <c r="A420" s="510"/>
      <c r="B420" s="511"/>
      <c r="C420" s="402"/>
      <c r="D420" s="510"/>
      <c r="E420" s="585"/>
      <c r="F420" s="511"/>
    </row>
    <row r="421" spans="1:6" ht="16.5" x14ac:dyDescent="0.3">
      <c r="A421" s="510"/>
      <c r="B421" s="511"/>
      <c r="C421" s="402"/>
      <c r="D421" s="510"/>
      <c r="E421" s="585"/>
      <c r="F421" s="511"/>
    </row>
    <row r="422" spans="1:6" ht="18.75" x14ac:dyDescent="0.3">
      <c r="A422" s="510"/>
      <c r="B422" s="511"/>
      <c r="C422" s="402"/>
      <c r="D422" s="510"/>
      <c r="E422" s="585"/>
      <c r="F422" s="405"/>
    </row>
    <row r="423" spans="1:6" ht="18.75" x14ac:dyDescent="0.3">
      <c r="A423" s="510"/>
      <c r="B423" s="511"/>
      <c r="C423" s="402"/>
      <c r="D423" s="510"/>
      <c r="E423" s="585"/>
      <c r="F423" s="405"/>
    </row>
    <row r="424" spans="1:6" ht="18.75" x14ac:dyDescent="0.3">
      <c r="A424" s="510"/>
      <c r="B424" s="511"/>
      <c r="C424" s="402"/>
      <c r="D424" s="510"/>
      <c r="E424" s="585"/>
      <c r="F424" s="405"/>
    </row>
    <row r="425" spans="1:6" ht="18.75" x14ac:dyDescent="0.3">
      <c r="A425" s="510"/>
      <c r="B425" s="511"/>
      <c r="C425" s="402"/>
      <c r="D425" s="510"/>
      <c r="E425" s="585"/>
      <c r="F425" s="405"/>
    </row>
    <row r="426" spans="1:6" ht="18.75" x14ac:dyDescent="0.3">
      <c r="A426" s="510"/>
      <c r="B426" s="511"/>
      <c r="C426" s="402"/>
      <c r="D426" s="510"/>
      <c r="E426" s="585"/>
      <c r="F426" s="405"/>
    </row>
    <row r="427" spans="1:6" ht="18.75" x14ac:dyDescent="0.3">
      <c r="A427" s="510"/>
      <c r="B427" s="511"/>
      <c r="C427" s="402"/>
      <c r="D427" s="510"/>
      <c r="E427" s="585"/>
      <c r="F427" s="405"/>
    </row>
    <row r="428" spans="1:6" ht="18.75" x14ac:dyDescent="0.3">
      <c r="A428" s="510"/>
      <c r="B428" s="511"/>
      <c r="C428" s="402"/>
      <c r="D428" s="510"/>
      <c r="E428" s="585"/>
      <c r="F428" s="405"/>
    </row>
    <row r="429" spans="1:6" ht="18.75" x14ac:dyDescent="0.3">
      <c r="A429" s="510"/>
      <c r="B429" s="511"/>
      <c r="C429" s="499"/>
      <c r="D429" s="510"/>
      <c r="E429" s="585"/>
      <c r="F429" s="405"/>
    </row>
    <row r="430" spans="1:6" ht="18.75" x14ac:dyDescent="0.3">
      <c r="A430" s="510"/>
      <c r="B430" s="511"/>
      <c r="C430" s="512"/>
      <c r="D430" s="510"/>
      <c r="E430" s="585"/>
      <c r="F430" s="405"/>
    </row>
    <row r="431" spans="1:6" ht="18.75" x14ac:dyDescent="0.3">
      <c r="A431" s="510"/>
      <c r="B431" s="511"/>
      <c r="C431" s="512"/>
      <c r="D431" s="510"/>
      <c r="E431" s="585"/>
      <c r="F431" s="405"/>
    </row>
    <row r="432" spans="1:6" ht="18.75" x14ac:dyDescent="0.3">
      <c r="A432" s="510"/>
      <c r="B432" s="408" t="s">
        <v>657</v>
      </c>
      <c r="C432" s="499"/>
      <c r="D432" s="510"/>
      <c r="E432" s="585"/>
      <c r="F432" s="405"/>
    </row>
    <row r="433" spans="1:6" ht="18" x14ac:dyDescent="0.35">
      <c r="A433" s="510"/>
      <c r="B433" s="416" t="s">
        <v>520</v>
      </c>
      <c r="C433" s="402"/>
      <c r="D433" s="510"/>
      <c r="E433" s="586" t="s">
        <v>15</v>
      </c>
      <c r="F433" s="513">
        <f>F416</f>
        <v>700000</v>
      </c>
    </row>
    <row r="434" spans="1:6" ht="18.75" x14ac:dyDescent="0.25">
      <c r="A434" s="403"/>
      <c r="B434" s="408" t="s">
        <v>609</v>
      </c>
      <c r="C434" s="402"/>
      <c r="D434" s="403"/>
      <c r="E434" s="557"/>
      <c r="F434" s="405"/>
    </row>
    <row r="435" spans="1:6" ht="18.75" x14ac:dyDescent="0.25">
      <c r="A435" s="403"/>
      <c r="B435" s="402"/>
      <c r="C435" s="402"/>
      <c r="D435" s="403"/>
      <c r="E435" s="557"/>
      <c r="F435" s="405"/>
    </row>
    <row r="436" spans="1:6" ht="18.75" x14ac:dyDescent="0.25">
      <c r="A436" s="403"/>
      <c r="B436" s="514" t="s">
        <v>659</v>
      </c>
      <c r="C436" s="402"/>
      <c r="D436" s="403"/>
      <c r="E436" s="557"/>
      <c r="F436" s="405"/>
    </row>
    <row r="437" spans="1:6" ht="18.75" x14ac:dyDescent="0.25">
      <c r="A437" s="403"/>
      <c r="B437" s="402"/>
      <c r="C437" s="402"/>
      <c r="D437" s="403"/>
      <c r="E437" s="557"/>
      <c r="F437" s="405"/>
    </row>
    <row r="438" spans="1:6" ht="33" x14ac:dyDescent="0.3">
      <c r="A438" s="403" t="s">
        <v>2</v>
      </c>
      <c r="B438" s="431" t="s">
        <v>978</v>
      </c>
      <c r="C438" s="402"/>
      <c r="D438" s="510" t="s">
        <v>401</v>
      </c>
      <c r="E438" s="557"/>
      <c r="F438" s="405">
        <v>976500</v>
      </c>
    </row>
    <row r="439" spans="1:6" ht="18.75" x14ac:dyDescent="0.25">
      <c r="A439" s="403"/>
      <c r="B439" s="402"/>
      <c r="C439" s="402"/>
      <c r="D439" s="403"/>
      <c r="E439" s="557"/>
      <c r="F439" s="405"/>
    </row>
    <row r="440" spans="1:6" ht="18.75" x14ac:dyDescent="0.25">
      <c r="A440" s="403"/>
      <c r="B440" s="402"/>
      <c r="C440" s="402"/>
      <c r="D440" s="403"/>
      <c r="E440" s="557"/>
      <c r="F440" s="405"/>
    </row>
    <row r="441" spans="1:6" ht="18.75" x14ac:dyDescent="0.25">
      <c r="A441" s="403"/>
      <c r="B441" s="402"/>
      <c r="C441" s="402"/>
      <c r="D441" s="403"/>
      <c r="E441" s="557"/>
      <c r="F441" s="405"/>
    </row>
    <row r="442" spans="1:6" ht="18.75" x14ac:dyDescent="0.25">
      <c r="A442" s="403"/>
      <c r="B442" s="402"/>
      <c r="C442" s="402"/>
      <c r="D442" s="403"/>
      <c r="E442" s="557"/>
      <c r="F442" s="405"/>
    </row>
    <row r="443" spans="1:6" ht="18.75" x14ac:dyDescent="0.25">
      <c r="A443" s="403"/>
      <c r="B443" s="402"/>
      <c r="C443" s="402"/>
      <c r="D443" s="403"/>
      <c r="E443" s="557"/>
      <c r="F443" s="405"/>
    </row>
    <row r="444" spans="1:6" ht="18.75" x14ac:dyDescent="0.25">
      <c r="A444" s="403"/>
      <c r="B444" s="402"/>
      <c r="C444" s="402"/>
      <c r="D444" s="403"/>
      <c r="E444" s="557"/>
      <c r="F444" s="405"/>
    </row>
    <row r="445" spans="1:6" ht="18.75" x14ac:dyDescent="0.25">
      <c r="A445" s="403"/>
      <c r="B445" s="402"/>
      <c r="C445" s="402"/>
      <c r="D445" s="403"/>
      <c r="E445" s="557"/>
      <c r="F445" s="405"/>
    </row>
    <row r="446" spans="1:6" ht="18.75" x14ac:dyDescent="0.25">
      <c r="A446" s="403"/>
      <c r="B446" s="402"/>
      <c r="C446" s="402"/>
      <c r="D446" s="403"/>
      <c r="E446" s="557"/>
      <c r="F446" s="405"/>
    </row>
    <row r="447" spans="1:6" ht="18.75" x14ac:dyDescent="0.25">
      <c r="A447" s="403"/>
      <c r="B447" s="402"/>
      <c r="C447" s="402"/>
      <c r="D447" s="403"/>
      <c r="E447" s="557"/>
      <c r="F447" s="405"/>
    </row>
    <row r="448" spans="1:6" ht="18.75" x14ac:dyDescent="0.25">
      <c r="A448" s="403"/>
      <c r="B448" s="402"/>
      <c r="C448" s="402"/>
      <c r="D448" s="403"/>
      <c r="E448" s="557"/>
      <c r="F448" s="405"/>
    </row>
    <row r="449" spans="1:6" ht="18.75" x14ac:dyDescent="0.25">
      <c r="A449" s="403"/>
      <c r="B449" s="402"/>
      <c r="C449" s="402"/>
      <c r="D449" s="403"/>
      <c r="E449" s="557"/>
      <c r="F449" s="405"/>
    </row>
    <row r="450" spans="1:6" ht="18.75" x14ac:dyDescent="0.25">
      <c r="A450" s="403"/>
      <c r="B450" s="402"/>
      <c r="C450" s="402"/>
      <c r="D450" s="403"/>
      <c r="E450" s="557"/>
      <c r="F450" s="405"/>
    </row>
    <row r="451" spans="1:6" ht="18.75" x14ac:dyDescent="0.25">
      <c r="A451" s="403"/>
      <c r="B451" s="402"/>
      <c r="C451" s="402"/>
      <c r="D451" s="403"/>
      <c r="E451" s="557"/>
      <c r="F451" s="405"/>
    </row>
    <row r="452" spans="1:6" ht="18.75" x14ac:dyDescent="0.25">
      <c r="A452" s="403"/>
      <c r="B452" s="402"/>
      <c r="C452" s="402"/>
      <c r="D452" s="403"/>
      <c r="E452" s="557"/>
      <c r="F452" s="405"/>
    </row>
    <row r="453" spans="1:6" ht="18.75" x14ac:dyDescent="0.25">
      <c r="A453" s="403"/>
      <c r="B453" s="402"/>
      <c r="C453" s="402"/>
      <c r="D453" s="403"/>
      <c r="E453" s="557"/>
      <c r="F453" s="405"/>
    </row>
    <row r="454" spans="1:6" ht="18.75" x14ac:dyDescent="0.25">
      <c r="A454" s="403"/>
      <c r="B454" s="402"/>
      <c r="C454" s="402"/>
      <c r="D454" s="403"/>
      <c r="E454" s="557"/>
      <c r="F454" s="405"/>
    </row>
    <row r="455" spans="1:6" ht="18.75" x14ac:dyDescent="0.25">
      <c r="A455" s="403"/>
      <c r="B455" s="402"/>
      <c r="C455" s="402"/>
      <c r="D455" s="403"/>
      <c r="E455" s="557"/>
      <c r="F455" s="405"/>
    </row>
    <row r="456" spans="1:6" ht="18.75" x14ac:dyDescent="0.25">
      <c r="A456" s="403"/>
      <c r="B456" s="402"/>
      <c r="C456" s="402"/>
      <c r="D456" s="403"/>
      <c r="E456" s="557"/>
      <c r="F456" s="405"/>
    </row>
    <row r="457" spans="1:6" ht="18.75" x14ac:dyDescent="0.25">
      <c r="A457" s="403"/>
      <c r="B457" s="402"/>
      <c r="C457" s="402"/>
      <c r="D457" s="403"/>
      <c r="E457" s="557"/>
      <c r="F457" s="405"/>
    </row>
    <row r="458" spans="1:6" ht="18.75" x14ac:dyDescent="0.25">
      <c r="A458" s="403"/>
      <c r="B458" s="514" t="s">
        <v>659</v>
      </c>
      <c r="C458" s="402"/>
      <c r="D458" s="403"/>
      <c r="E458" s="557"/>
      <c r="F458" s="405"/>
    </row>
    <row r="459" spans="1:6" ht="18" x14ac:dyDescent="0.35">
      <c r="A459" s="510"/>
      <c r="B459" s="416" t="s">
        <v>520</v>
      </c>
      <c r="C459" s="402"/>
      <c r="D459" s="510"/>
      <c r="E459" s="586" t="s">
        <v>15</v>
      </c>
      <c r="F459" s="587">
        <f>F438</f>
        <v>976500</v>
      </c>
    </row>
    <row r="460" spans="1:6" ht="18.75" x14ac:dyDescent="0.25">
      <c r="A460" s="403"/>
      <c r="B460" s="416"/>
      <c r="C460" s="416"/>
      <c r="D460" s="407"/>
      <c r="E460" s="566"/>
      <c r="F460" s="426"/>
    </row>
    <row r="461" spans="1:6" ht="18.75" x14ac:dyDescent="0.25">
      <c r="A461" s="403"/>
      <c r="B461" s="408"/>
      <c r="C461" s="402"/>
      <c r="D461" s="403"/>
      <c r="E461" s="557"/>
      <c r="F461" s="424"/>
    </row>
    <row r="462" spans="1:6" ht="18.75" x14ac:dyDescent="0.25">
      <c r="A462" s="403"/>
      <c r="B462" s="409" t="s">
        <v>450</v>
      </c>
      <c r="C462" s="402"/>
      <c r="D462" s="403"/>
      <c r="E462" s="557"/>
      <c r="F462" s="405"/>
    </row>
    <row r="463" spans="1:6" ht="18.75" x14ac:dyDescent="0.25">
      <c r="A463" s="403"/>
      <c r="B463" s="402"/>
      <c r="C463" s="402"/>
      <c r="D463" s="403"/>
      <c r="E463" s="557"/>
      <c r="F463" s="437"/>
    </row>
    <row r="464" spans="1:6" ht="18.75" x14ac:dyDescent="0.25">
      <c r="A464" s="403"/>
      <c r="B464" s="421" t="s">
        <v>533</v>
      </c>
      <c r="C464" s="402"/>
      <c r="D464" s="403"/>
      <c r="E464" s="557">
        <f>F71</f>
        <v>4083475</v>
      </c>
      <c r="F464" s="438"/>
    </row>
    <row r="465" spans="1:6" ht="18.75" x14ac:dyDescent="0.25">
      <c r="A465" s="403"/>
      <c r="B465" s="402"/>
      <c r="C465" s="402"/>
      <c r="D465" s="403"/>
      <c r="E465" s="557"/>
      <c r="F465" s="438"/>
    </row>
    <row r="466" spans="1:6" ht="18.75" x14ac:dyDescent="0.25">
      <c r="A466" s="403"/>
      <c r="B466" s="402" t="s">
        <v>195</v>
      </c>
      <c r="C466" s="402"/>
      <c r="D466" s="403"/>
      <c r="E466" s="557">
        <f>F114</f>
        <v>2175000</v>
      </c>
      <c r="F466" s="438"/>
    </row>
    <row r="467" spans="1:6" ht="18.75" x14ac:dyDescent="0.25">
      <c r="A467" s="403"/>
      <c r="B467" s="402"/>
      <c r="C467" s="402"/>
      <c r="D467" s="403"/>
      <c r="E467" s="557"/>
      <c r="F467" s="405"/>
    </row>
    <row r="468" spans="1:6" ht="18.75" x14ac:dyDescent="0.25">
      <c r="A468" s="403"/>
      <c r="B468" s="402" t="s">
        <v>602</v>
      </c>
      <c r="C468" s="402"/>
      <c r="D468" s="403"/>
      <c r="E468" s="557">
        <f>F144</f>
        <v>1733850</v>
      </c>
      <c r="F468" s="438"/>
    </row>
    <row r="469" spans="1:6" ht="18.75" x14ac:dyDescent="0.25">
      <c r="A469" s="403"/>
      <c r="B469" s="402"/>
      <c r="C469" s="402"/>
      <c r="D469" s="403"/>
      <c r="E469" s="557"/>
      <c r="F469" s="405"/>
    </row>
    <row r="470" spans="1:6" ht="18.75" x14ac:dyDescent="0.25">
      <c r="A470" s="403"/>
      <c r="B470" s="402" t="s">
        <v>607</v>
      </c>
      <c r="C470" s="402"/>
      <c r="D470" s="403"/>
      <c r="E470" s="557">
        <f>F167</f>
        <v>283500</v>
      </c>
      <c r="F470" s="438"/>
    </row>
    <row r="471" spans="1:6" ht="18.75" x14ac:dyDescent="0.25">
      <c r="A471" s="403"/>
      <c r="B471" s="402"/>
      <c r="C471" s="402"/>
      <c r="D471" s="403"/>
      <c r="E471" s="557"/>
      <c r="F471" s="405"/>
    </row>
    <row r="472" spans="1:6" ht="18.75" x14ac:dyDescent="0.25">
      <c r="A472" s="403"/>
      <c r="B472" s="402" t="s">
        <v>163</v>
      </c>
      <c r="C472" s="402"/>
      <c r="D472" s="403"/>
      <c r="E472" s="557">
        <f>F285</f>
        <v>3262390</v>
      </c>
      <c r="F472" s="438"/>
    </row>
    <row r="473" spans="1:6" ht="18.75" x14ac:dyDescent="0.25">
      <c r="A473" s="403"/>
      <c r="B473" s="402"/>
      <c r="C473" s="402"/>
      <c r="D473" s="403"/>
      <c r="E473" s="557"/>
      <c r="F473" s="405"/>
    </row>
    <row r="474" spans="1:6" ht="18.75" x14ac:dyDescent="0.25">
      <c r="A474" s="403"/>
      <c r="B474" s="402" t="s">
        <v>236</v>
      </c>
      <c r="C474" s="402"/>
      <c r="D474" s="403"/>
      <c r="E474" s="557">
        <f>F332</f>
        <v>3189990</v>
      </c>
      <c r="F474" s="438"/>
    </row>
    <row r="475" spans="1:6" ht="18.75" x14ac:dyDescent="0.25">
      <c r="A475" s="403"/>
      <c r="B475" s="402"/>
      <c r="C475" s="402"/>
      <c r="D475" s="403"/>
      <c r="E475" s="557"/>
      <c r="F475" s="405"/>
    </row>
    <row r="476" spans="1:6" ht="18.75" x14ac:dyDescent="0.25">
      <c r="A476" s="403"/>
      <c r="B476" s="402" t="s">
        <v>265</v>
      </c>
      <c r="C476" s="402"/>
      <c r="D476" s="403"/>
      <c r="E476" s="557">
        <f>F376</f>
        <v>1470285</v>
      </c>
      <c r="F476" s="438"/>
    </row>
    <row r="477" spans="1:6" ht="18.75" x14ac:dyDescent="0.25">
      <c r="A477" s="403"/>
      <c r="B477" s="402"/>
      <c r="C477" s="402"/>
      <c r="D477" s="403"/>
      <c r="E477" s="557"/>
      <c r="F477" s="405"/>
    </row>
    <row r="478" spans="1:6" ht="18.75" x14ac:dyDescent="0.25">
      <c r="A478" s="403"/>
      <c r="B478" s="402" t="s">
        <v>281</v>
      </c>
      <c r="C478" s="402"/>
      <c r="D478" s="403"/>
      <c r="E478" s="557">
        <f>F410</f>
        <v>1656000</v>
      </c>
      <c r="F478" s="438"/>
    </row>
    <row r="479" spans="1:6" ht="18.75" x14ac:dyDescent="0.25">
      <c r="A479" s="403"/>
      <c r="B479" s="402"/>
      <c r="C479" s="402"/>
      <c r="D479" s="403"/>
      <c r="E479" s="557"/>
      <c r="F479" s="405"/>
    </row>
    <row r="480" spans="1:6" ht="18.75" x14ac:dyDescent="0.25">
      <c r="A480" s="403"/>
      <c r="B480" s="402" t="s">
        <v>658</v>
      </c>
      <c r="C480" s="402"/>
      <c r="D480" s="403"/>
      <c r="E480" s="557">
        <f>F433</f>
        <v>700000</v>
      </c>
      <c r="F480" s="438"/>
    </row>
    <row r="481" spans="1:6" ht="18.75" x14ac:dyDescent="0.25">
      <c r="A481" s="403"/>
      <c r="B481" s="402"/>
      <c r="C481" s="402"/>
      <c r="D481" s="403"/>
      <c r="E481" s="557"/>
      <c r="F481" s="405"/>
    </row>
    <row r="482" spans="1:6" ht="18.75" x14ac:dyDescent="0.25">
      <c r="A482" s="403"/>
      <c r="B482" s="402" t="s">
        <v>659</v>
      </c>
      <c r="C482" s="402"/>
      <c r="D482" s="403"/>
      <c r="E482" s="557">
        <f>F459</f>
        <v>976500</v>
      </c>
      <c r="F482" s="438"/>
    </row>
    <row r="483" spans="1:6" ht="18.75" x14ac:dyDescent="0.25">
      <c r="A483" s="403"/>
      <c r="B483" s="402"/>
      <c r="C483" s="402"/>
      <c r="D483" s="403"/>
      <c r="E483" s="557"/>
      <c r="F483" s="405"/>
    </row>
    <row r="484" spans="1:6" ht="18.75" x14ac:dyDescent="0.25">
      <c r="A484" s="403"/>
      <c r="B484" s="402"/>
      <c r="C484" s="402"/>
      <c r="D484" s="403"/>
      <c r="E484" s="557"/>
      <c r="F484" s="405"/>
    </row>
    <row r="485" spans="1:6" ht="18.75" x14ac:dyDescent="0.25">
      <c r="A485" s="403"/>
      <c r="B485" s="402"/>
      <c r="C485" s="402"/>
      <c r="D485" s="403"/>
      <c r="E485" s="557"/>
      <c r="F485" s="405"/>
    </row>
    <row r="486" spans="1:6" ht="18.75" x14ac:dyDescent="0.25">
      <c r="A486" s="403"/>
      <c r="B486" s="402"/>
      <c r="C486" s="402"/>
      <c r="D486" s="403"/>
      <c r="E486" s="557"/>
      <c r="F486" s="405"/>
    </row>
    <row r="487" spans="1:6" ht="18.75" x14ac:dyDescent="0.25">
      <c r="A487" s="403"/>
      <c r="B487" s="402"/>
      <c r="C487" s="402"/>
      <c r="D487" s="403"/>
      <c r="E487" s="557"/>
      <c r="F487" s="405"/>
    </row>
    <row r="488" spans="1:6" ht="18.75" x14ac:dyDescent="0.25">
      <c r="A488" s="403"/>
      <c r="B488" s="402"/>
      <c r="C488" s="402"/>
      <c r="D488" s="403"/>
      <c r="E488" s="557"/>
      <c r="F488" s="405"/>
    </row>
    <row r="489" spans="1:6" ht="18.75" x14ac:dyDescent="0.25">
      <c r="A489" s="403"/>
      <c r="B489" s="402"/>
      <c r="C489" s="402"/>
      <c r="D489" s="403"/>
      <c r="E489" s="557"/>
      <c r="F489" s="405"/>
    </row>
    <row r="490" spans="1:6" ht="18.75" x14ac:dyDescent="0.25">
      <c r="A490" s="403"/>
      <c r="B490" s="402"/>
      <c r="C490" s="402"/>
      <c r="D490" s="403"/>
      <c r="E490" s="557"/>
      <c r="F490" s="405"/>
    </row>
    <row r="491" spans="1:6" ht="18.75" x14ac:dyDescent="0.25">
      <c r="A491" s="403"/>
      <c r="B491" s="402"/>
      <c r="C491" s="402"/>
      <c r="D491" s="403"/>
      <c r="E491" s="557"/>
      <c r="F491" s="405"/>
    </row>
    <row r="492" spans="1:6" ht="18.75" x14ac:dyDescent="0.25">
      <c r="A492" s="403"/>
      <c r="B492" s="402"/>
      <c r="C492" s="402"/>
      <c r="D492" s="403"/>
      <c r="E492" s="557"/>
      <c r="F492" s="405"/>
    </row>
    <row r="493" spans="1:6" ht="18.75" x14ac:dyDescent="0.25">
      <c r="A493" s="403"/>
      <c r="B493" s="402"/>
      <c r="C493" s="402"/>
      <c r="D493" s="403"/>
      <c r="E493" s="557"/>
      <c r="F493" s="405"/>
    </row>
    <row r="494" spans="1:6" ht="18.75" x14ac:dyDescent="0.25">
      <c r="A494" s="403"/>
      <c r="B494" s="402"/>
      <c r="C494" s="402"/>
      <c r="D494" s="403"/>
      <c r="E494" s="557"/>
      <c r="F494" s="405"/>
    </row>
    <row r="495" spans="1:6" ht="18.75" x14ac:dyDescent="0.25">
      <c r="A495" s="403"/>
      <c r="B495" s="402"/>
      <c r="C495" s="402"/>
      <c r="D495" s="403"/>
      <c r="E495" s="557"/>
      <c r="F495" s="405"/>
    </row>
    <row r="496" spans="1:6" ht="18.75" x14ac:dyDescent="0.25">
      <c r="A496" s="403"/>
      <c r="B496" s="402"/>
      <c r="C496" s="402"/>
      <c r="D496" s="403"/>
      <c r="E496" s="557"/>
      <c r="F496" s="405"/>
    </row>
    <row r="497" spans="1:6" ht="18.75" x14ac:dyDescent="0.25">
      <c r="A497" s="403"/>
      <c r="B497" s="425" t="s">
        <v>1084</v>
      </c>
      <c r="C497" s="416"/>
      <c r="D497" s="407"/>
      <c r="E497" s="566"/>
      <c r="F497" s="439"/>
    </row>
    <row r="498" spans="1:6" ht="19.5" thickBot="1" x14ac:dyDescent="0.3">
      <c r="A498" s="403"/>
      <c r="B498" s="416" t="s">
        <v>695</v>
      </c>
      <c r="C498" s="416"/>
      <c r="D498" s="407"/>
      <c r="E498" s="566" t="s">
        <v>15</v>
      </c>
      <c r="F498" s="440">
        <f>SUM(E464:E482)</f>
        <v>19530990</v>
      </c>
    </row>
    <row r="499" spans="1:6" ht="19.5" thickTop="1" x14ac:dyDescent="0.25">
      <c r="A499" s="403"/>
      <c r="B499" s="402"/>
      <c r="C499" s="402"/>
      <c r="D499" s="403"/>
      <c r="E499" s="557"/>
      <c r="F499" s="405"/>
    </row>
    <row r="500" spans="1:6" ht="18.75" x14ac:dyDescent="0.25">
      <c r="A500" s="403"/>
      <c r="B500" s="402"/>
      <c r="C500" s="402"/>
      <c r="D500" s="403"/>
      <c r="E500" s="557"/>
      <c r="F500" s="405"/>
    </row>
    <row r="501" spans="1:6" ht="18.75" x14ac:dyDescent="0.25">
      <c r="A501" s="403"/>
      <c r="B501" s="416"/>
      <c r="C501" s="441"/>
      <c r="D501" s="407" t="s">
        <v>472</v>
      </c>
      <c r="E501" s="557"/>
      <c r="F501" s="296"/>
    </row>
    <row r="502" spans="1:6" ht="18.75" x14ac:dyDescent="0.25">
      <c r="A502" s="403"/>
      <c r="B502" s="416" t="s">
        <v>471</v>
      </c>
      <c r="C502" s="416"/>
      <c r="D502" s="407"/>
      <c r="E502" s="566"/>
      <c r="F502" s="296">
        <v>93</v>
      </c>
    </row>
    <row r="503" spans="1:6" ht="18.75" x14ac:dyDescent="0.25">
      <c r="A503" s="403"/>
      <c r="B503" s="416"/>
      <c r="C503" s="416"/>
      <c r="D503" s="407"/>
      <c r="E503" s="566"/>
      <c r="F503" s="296"/>
    </row>
    <row r="504" spans="1:6" ht="18.75" x14ac:dyDescent="0.25">
      <c r="A504" s="403"/>
      <c r="B504" s="416"/>
      <c r="C504" s="416"/>
      <c r="D504" s="407"/>
      <c r="E504" s="566"/>
      <c r="F504" s="296"/>
    </row>
    <row r="505" spans="1:6" ht="18.75" x14ac:dyDescent="0.25">
      <c r="A505" s="403"/>
      <c r="B505" s="416" t="s">
        <v>946</v>
      </c>
      <c r="C505" s="416"/>
      <c r="D505" s="407"/>
      <c r="E505" s="566"/>
      <c r="F505" s="296">
        <f>F498/F502</f>
        <v>210010.64516129033</v>
      </c>
    </row>
    <row r="506" spans="1:6" ht="18.75" x14ac:dyDescent="0.25">
      <c r="A506" s="403"/>
      <c r="B506" s="416" t="s">
        <v>875</v>
      </c>
      <c r="C506" s="416"/>
      <c r="D506" s="407"/>
      <c r="E506" s="566"/>
      <c r="F506" s="296">
        <f>F498/2</f>
        <v>9765495</v>
      </c>
    </row>
    <row r="507" spans="1:6" ht="18.75" x14ac:dyDescent="0.25">
      <c r="A507" s="403"/>
      <c r="B507" s="416"/>
      <c r="C507" s="416"/>
      <c r="D507" s="407"/>
      <c r="E507" s="566"/>
      <c r="F507" s="296"/>
    </row>
    <row r="508" spans="1:6" ht="18.75" x14ac:dyDescent="0.25">
      <c r="A508" s="403"/>
      <c r="B508" s="416"/>
      <c r="C508" s="416"/>
      <c r="D508" s="407"/>
      <c r="E508" s="566"/>
      <c r="F508" s="296"/>
    </row>
    <row r="509" spans="1:6" ht="18.75" x14ac:dyDescent="0.25">
      <c r="A509" s="403"/>
      <c r="B509" s="416"/>
      <c r="C509" s="416"/>
      <c r="D509" s="407"/>
      <c r="E509" s="566"/>
      <c r="F509" s="296"/>
    </row>
    <row r="510" spans="1:6" ht="18.75" x14ac:dyDescent="0.25">
      <c r="A510" s="403"/>
      <c r="B510" s="416"/>
      <c r="C510" s="416"/>
      <c r="D510" s="407"/>
      <c r="E510" s="566"/>
      <c r="F510" s="296"/>
    </row>
    <row r="511" spans="1:6" ht="18.75" x14ac:dyDescent="0.25">
      <c r="A511" s="403"/>
      <c r="B511" s="416"/>
      <c r="C511" s="416"/>
      <c r="D511" s="407"/>
      <c r="E511" s="566"/>
      <c r="F511" s="296"/>
    </row>
    <row r="512" spans="1:6" ht="18.75" x14ac:dyDescent="0.25">
      <c r="A512" s="403"/>
      <c r="B512" s="416" t="s">
        <v>473</v>
      </c>
      <c r="C512" s="442"/>
      <c r="D512" s="407"/>
      <c r="E512" s="566">
        <f>F498</f>
        <v>19530990</v>
      </c>
      <c r="F512" s="296"/>
    </row>
    <row r="513" spans="1:6" ht="18.75" x14ac:dyDescent="0.25">
      <c r="A513" s="403"/>
      <c r="B513" s="408" t="s">
        <v>474</v>
      </c>
      <c r="C513" s="416"/>
      <c r="D513" s="407"/>
      <c r="E513" s="566"/>
      <c r="F513" s="296"/>
    </row>
    <row r="514" spans="1:6" ht="18.75" x14ac:dyDescent="0.25">
      <c r="A514" s="403"/>
      <c r="B514" s="416" t="s">
        <v>692</v>
      </c>
      <c r="C514" s="416"/>
      <c r="D514" s="407"/>
      <c r="E514" s="566">
        <f>E512*5%</f>
        <v>976549.5</v>
      </c>
      <c r="F514" s="296"/>
    </row>
    <row r="515" spans="1:6" ht="18.75" x14ac:dyDescent="0.25">
      <c r="A515" s="403"/>
      <c r="B515" s="416"/>
      <c r="C515" s="416"/>
      <c r="D515" s="407"/>
      <c r="E515" s="566"/>
      <c r="F515" s="296"/>
    </row>
    <row r="516" spans="1:6" ht="18.75" x14ac:dyDescent="0.25">
      <c r="A516" s="403"/>
      <c r="B516" s="443" t="s">
        <v>476</v>
      </c>
      <c r="C516" s="443"/>
      <c r="D516" s="444" t="s">
        <v>15</v>
      </c>
      <c r="E516" s="588">
        <f>SUM(E512:E515)</f>
        <v>20507539.5</v>
      </c>
      <c r="F516" s="296"/>
    </row>
    <row r="517" spans="1:6" ht="18.75" x14ac:dyDescent="0.25">
      <c r="A517" s="403"/>
      <c r="B517" s="408" t="s">
        <v>474</v>
      </c>
      <c r="C517" s="443"/>
      <c r="D517" s="444"/>
      <c r="E517" s="589"/>
      <c r="F517" s="296"/>
    </row>
    <row r="518" spans="1:6" ht="18.75" x14ac:dyDescent="0.25">
      <c r="A518" s="403"/>
      <c r="B518" s="416" t="s">
        <v>477</v>
      </c>
      <c r="C518" s="416"/>
      <c r="D518" s="407"/>
      <c r="E518" s="566">
        <f>E516*7.5%</f>
        <v>1538065.4624999999</v>
      </c>
      <c r="F518" s="296"/>
    </row>
    <row r="519" spans="1:6" ht="19.5" thickBot="1" x14ac:dyDescent="0.3">
      <c r="A519" s="403"/>
      <c r="B519" s="416"/>
      <c r="C519" s="416"/>
      <c r="D519" s="407"/>
      <c r="E519" s="590">
        <f>SUM(E516:E518)</f>
        <v>22045604.962499999</v>
      </c>
      <c r="F519" s="296"/>
    </row>
    <row r="520" spans="1:6" ht="19.5" thickTop="1" x14ac:dyDescent="0.25">
      <c r="A520" s="403"/>
      <c r="B520" s="416"/>
      <c r="C520" s="416"/>
      <c r="D520" s="407"/>
      <c r="E520" s="566"/>
      <c r="F520" s="296"/>
    </row>
    <row r="521" spans="1:6" ht="18.75" hidden="1" x14ac:dyDescent="0.25">
      <c r="A521" s="403"/>
      <c r="B521" s="416" t="s">
        <v>478</v>
      </c>
      <c r="C521" s="416"/>
      <c r="D521" s="407"/>
      <c r="E521" s="566">
        <f>E519/2</f>
        <v>11022802.481249999</v>
      </c>
      <c r="F521" s="296"/>
    </row>
    <row r="522" spans="1:6" ht="18.75" hidden="1" x14ac:dyDescent="0.25">
      <c r="A522" s="403"/>
      <c r="B522" s="416"/>
      <c r="C522" s="416"/>
      <c r="D522" s="407"/>
      <c r="E522" s="566"/>
      <c r="F522" s="296"/>
    </row>
    <row r="523" spans="1:6" ht="18.75" hidden="1" x14ac:dyDescent="0.25">
      <c r="A523" s="403"/>
      <c r="B523" s="416" t="s">
        <v>479</v>
      </c>
      <c r="C523" s="416"/>
      <c r="D523" s="407"/>
      <c r="E523" s="566">
        <f>E519/F502</f>
        <v>237049.51572580644</v>
      </c>
      <c r="F523" s="296"/>
    </row>
    <row r="524" spans="1:6" ht="18.75" x14ac:dyDescent="0.25">
      <c r="B524" s="416"/>
      <c r="C524" s="402"/>
      <c r="D524" s="403"/>
      <c r="E524" s="557"/>
      <c r="F524" s="405"/>
    </row>
    <row r="525" spans="1:6" x14ac:dyDescent="0.25">
      <c r="A525" s="406"/>
      <c r="B525" s="406"/>
      <c r="C525" s="406"/>
      <c r="D525" s="406"/>
      <c r="E525" s="406"/>
      <c r="F525" s="406"/>
    </row>
  </sheetData>
  <pageMargins left="0.69930555555555596" right="0.69930555555555596" top="0.75" bottom="0.75" header="0.3" footer="0.3"/>
  <pageSetup paperSize="9" scale="65" orientation="portrait" r:id="rId1"/>
  <headerFooter>
    <oddFooter>Page &amp;P</oddFooter>
  </headerFooter>
  <rowBreaks count="15" manualBreakCount="15">
    <brk id="28" max="16383" man="1"/>
    <brk id="44" max="16383" man="1"/>
    <brk id="71" max="16383" man="1"/>
    <brk id="114" max="16383" man="1"/>
    <brk id="144" max="16383" man="1"/>
    <brk id="167" max="16383" man="1"/>
    <brk id="205" max="16383" man="1"/>
    <brk id="257" max="16383" man="1"/>
    <brk id="285" max="16383" man="1"/>
    <brk id="332" max="16383" man="1"/>
    <brk id="376" max="16383" man="1"/>
    <brk id="410" max="16383" man="1"/>
    <brk id="433" max="16383" man="1"/>
    <brk id="459" max="16383" man="1"/>
    <brk id="49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CC42-3854-441E-B778-6C5E7A0C0EA2}">
  <dimension ref="A1:J29"/>
  <sheetViews>
    <sheetView view="pageBreakPreview" topLeftCell="A7" zoomScaleNormal="96" zoomScaleSheetLayoutView="100" workbookViewId="0">
      <selection activeCell="D13" sqref="D13"/>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951</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idden="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247-AED9-48DE-A16E-F78665740927}">
  <dimension ref="A1:S536"/>
  <sheetViews>
    <sheetView view="pageBreakPreview" topLeftCell="A5" zoomScaleNormal="100" zoomScaleSheetLayoutView="100" workbookViewId="0">
      <selection activeCell="D10" sqref="D10"/>
    </sheetView>
  </sheetViews>
  <sheetFormatPr defaultColWidth="9.5703125" defaultRowHeight="15" x14ac:dyDescent="0.25"/>
  <cols>
    <col min="1" max="1" width="6.5703125" customWidth="1"/>
    <col min="2" max="2" width="45.42578125" customWidth="1"/>
    <col min="4" max="4" width="12.140625" customWidth="1"/>
    <col min="5" max="5" width="19.28515625" customWidth="1"/>
    <col min="6" max="6" width="17.85546875" customWidth="1"/>
    <col min="257" max="257" width="6.5703125" customWidth="1"/>
    <col min="258" max="258" width="38.5703125" customWidth="1"/>
    <col min="260" max="260" width="12.140625" customWidth="1"/>
    <col min="261" max="261" width="19.28515625" customWidth="1"/>
    <col min="262" max="262" width="17.85546875" customWidth="1"/>
    <col min="513" max="513" width="6.5703125" customWidth="1"/>
    <col min="514" max="514" width="38.5703125" customWidth="1"/>
    <col min="516" max="516" width="12.140625" customWidth="1"/>
    <col min="517" max="517" width="19.28515625" customWidth="1"/>
    <col min="518" max="518" width="17.85546875" customWidth="1"/>
    <col min="769" max="769" width="6.5703125" customWidth="1"/>
    <col min="770" max="770" width="38.5703125" customWidth="1"/>
    <col min="772" max="772" width="12.140625" customWidth="1"/>
    <col min="773" max="773" width="19.28515625" customWidth="1"/>
    <col min="774" max="774" width="17.85546875" customWidth="1"/>
    <col min="1025" max="1025" width="6.5703125" customWidth="1"/>
    <col min="1026" max="1026" width="38.5703125" customWidth="1"/>
    <col min="1028" max="1028" width="12.140625" customWidth="1"/>
    <col min="1029" max="1029" width="19.28515625" customWidth="1"/>
    <col min="1030" max="1030" width="17.85546875" customWidth="1"/>
    <col min="1281" max="1281" width="6.5703125" customWidth="1"/>
    <col min="1282" max="1282" width="38.5703125" customWidth="1"/>
    <col min="1284" max="1284" width="12.140625" customWidth="1"/>
    <col min="1285" max="1285" width="19.28515625" customWidth="1"/>
    <col min="1286" max="1286" width="17.85546875" customWidth="1"/>
    <col min="1537" max="1537" width="6.5703125" customWidth="1"/>
    <col min="1538" max="1538" width="38.5703125" customWidth="1"/>
    <col min="1540" max="1540" width="12.140625" customWidth="1"/>
    <col min="1541" max="1541" width="19.28515625" customWidth="1"/>
    <col min="1542" max="1542" width="17.85546875" customWidth="1"/>
    <col min="1793" max="1793" width="6.5703125" customWidth="1"/>
    <col min="1794" max="1794" width="38.5703125" customWidth="1"/>
    <col min="1796" max="1796" width="12.140625" customWidth="1"/>
    <col min="1797" max="1797" width="19.28515625" customWidth="1"/>
    <col min="1798" max="1798" width="17.85546875" customWidth="1"/>
    <col min="2049" max="2049" width="6.5703125" customWidth="1"/>
    <col min="2050" max="2050" width="38.5703125" customWidth="1"/>
    <col min="2052" max="2052" width="12.140625" customWidth="1"/>
    <col min="2053" max="2053" width="19.28515625" customWidth="1"/>
    <col min="2054" max="2054" width="17.85546875" customWidth="1"/>
    <col min="2305" max="2305" width="6.5703125" customWidth="1"/>
    <col min="2306" max="2306" width="38.5703125" customWidth="1"/>
    <col min="2308" max="2308" width="12.140625" customWidth="1"/>
    <col min="2309" max="2309" width="19.28515625" customWidth="1"/>
    <col min="2310" max="2310" width="17.85546875" customWidth="1"/>
    <col min="2561" max="2561" width="6.5703125" customWidth="1"/>
    <col min="2562" max="2562" width="38.5703125" customWidth="1"/>
    <col min="2564" max="2564" width="12.140625" customWidth="1"/>
    <col min="2565" max="2565" width="19.28515625" customWidth="1"/>
    <col min="2566" max="2566" width="17.85546875" customWidth="1"/>
    <col min="2817" max="2817" width="6.5703125" customWidth="1"/>
    <col min="2818" max="2818" width="38.5703125" customWidth="1"/>
    <col min="2820" max="2820" width="12.140625" customWidth="1"/>
    <col min="2821" max="2821" width="19.28515625" customWidth="1"/>
    <col min="2822" max="2822" width="17.85546875" customWidth="1"/>
    <col min="3073" max="3073" width="6.5703125" customWidth="1"/>
    <col min="3074" max="3074" width="38.5703125" customWidth="1"/>
    <col min="3076" max="3076" width="12.140625" customWidth="1"/>
    <col min="3077" max="3077" width="19.28515625" customWidth="1"/>
    <col min="3078" max="3078" width="17.85546875" customWidth="1"/>
    <col min="3329" max="3329" width="6.5703125" customWidth="1"/>
    <col min="3330" max="3330" width="38.5703125" customWidth="1"/>
    <col min="3332" max="3332" width="12.140625" customWidth="1"/>
    <col min="3333" max="3333" width="19.28515625" customWidth="1"/>
    <col min="3334" max="3334" width="17.85546875" customWidth="1"/>
    <col min="3585" max="3585" width="6.5703125" customWidth="1"/>
    <col min="3586" max="3586" width="38.5703125" customWidth="1"/>
    <col min="3588" max="3588" width="12.140625" customWidth="1"/>
    <col min="3589" max="3589" width="19.28515625" customWidth="1"/>
    <col min="3590" max="3590" width="17.85546875" customWidth="1"/>
    <col min="3841" max="3841" width="6.5703125" customWidth="1"/>
    <col min="3842" max="3842" width="38.5703125" customWidth="1"/>
    <col min="3844" max="3844" width="12.140625" customWidth="1"/>
    <col min="3845" max="3845" width="19.28515625" customWidth="1"/>
    <col min="3846" max="3846" width="17.85546875" customWidth="1"/>
    <col min="4097" max="4097" width="6.5703125" customWidth="1"/>
    <col min="4098" max="4098" width="38.5703125" customWidth="1"/>
    <col min="4100" max="4100" width="12.140625" customWidth="1"/>
    <col min="4101" max="4101" width="19.28515625" customWidth="1"/>
    <col min="4102" max="4102" width="17.85546875" customWidth="1"/>
    <col min="4353" max="4353" width="6.5703125" customWidth="1"/>
    <col min="4354" max="4354" width="38.5703125" customWidth="1"/>
    <col min="4356" max="4356" width="12.140625" customWidth="1"/>
    <col min="4357" max="4357" width="19.28515625" customWidth="1"/>
    <col min="4358" max="4358" width="17.85546875" customWidth="1"/>
    <col min="4609" max="4609" width="6.5703125" customWidth="1"/>
    <col min="4610" max="4610" width="38.5703125" customWidth="1"/>
    <col min="4612" max="4612" width="12.140625" customWidth="1"/>
    <col min="4613" max="4613" width="19.28515625" customWidth="1"/>
    <col min="4614" max="4614" width="17.85546875" customWidth="1"/>
    <col min="4865" max="4865" width="6.5703125" customWidth="1"/>
    <col min="4866" max="4866" width="38.5703125" customWidth="1"/>
    <col min="4868" max="4868" width="12.140625" customWidth="1"/>
    <col min="4869" max="4869" width="19.28515625" customWidth="1"/>
    <col min="4870" max="4870" width="17.85546875" customWidth="1"/>
    <col min="5121" max="5121" width="6.5703125" customWidth="1"/>
    <col min="5122" max="5122" width="38.5703125" customWidth="1"/>
    <col min="5124" max="5124" width="12.140625" customWidth="1"/>
    <col min="5125" max="5125" width="19.28515625" customWidth="1"/>
    <col min="5126" max="5126" width="17.85546875" customWidth="1"/>
    <col min="5377" max="5377" width="6.5703125" customWidth="1"/>
    <col min="5378" max="5378" width="38.5703125" customWidth="1"/>
    <col min="5380" max="5380" width="12.140625" customWidth="1"/>
    <col min="5381" max="5381" width="19.28515625" customWidth="1"/>
    <col min="5382" max="5382" width="17.85546875" customWidth="1"/>
    <col min="5633" max="5633" width="6.5703125" customWidth="1"/>
    <col min="5634" max="5634" width="38.5703125" customWidth="1"/>
    <col min="5636" max="5636" width="12.140625" customWidth="1"/>
    <col min="5637" max="5637" width="19.28515625" customWidth="1"/>
    <col min="5638" max="5638" width="17.85546875" customWidth="1"/>
    <col min="5889" max="5889" width="6.5703125" customWidth="1"/>
    <col min="5890" max="5890" width="38.5703125" customWidth="1"/>
    <col min="5892" max="5892" width="12.140625" customWidth="1"/>
    <col min="5893" max="5893" width="19.28515625" customWidth="1"/>
    <col min="5894" max="5894" width="17.85546875" customWidth="1"/>
    <col min="6145" max="6145" width="6.5703125" customWidth="1"/>
    <col min="6146" max="6146" width="38.5703125" customWidth="1"/>
    <col min="6148" max="6148" width="12.140625" customWidth="1"/>
    <col min="6149" max="6149" width="19.28515625" customWidth="1"/>
    <col min="6150" max="6150" width="17.85546875" customWidth="1"/>
    <col min="6401" max="6401" width="6.5703125" customWidth="1"/>
    <col min="6402" max="6402" width="38.5703125" customWidth="1"/>
    <col min="6404" max="6404" width="12.140625" customWidth="1"/>
    <col min="6405" max="6405" width="19.28515625" customWidth="1"/>
    <col min="6406" max="6406" width="17.85546875" customWidth="1"/>
    <col min="6657" max="6657" width="6.5703125" customWidth="1"/>
    <col min="6658" max="6658" width="38.5703125" customWidth="1"/>
    <col min="6660" max="6660" width="12.140625" customWidth="1"/>
    <col min="6661" max="6661" width="19.28515625" customWidth="1"/>
    <col min="6662" max="6662" width="17.85546875" customWidth="1"/>
    <col min="6913" max="6913" width="6.5703125" customWidth="1"/>
    <col min="6914" max="6914" width="38.5703125" customWidth="1"/>
    <col min="6916" max="6916" width="12.140625" customWidth="1"/>
    <col min="6917" max="6917" width="19.28515625" customWidth="1"/>
    <col min="6918" max="6918" width="17.85546875" customWidth="1"/>
    <col min="7169" max="7169" width="6.5703125" customWidth="1"/>
    <col min="7170" max="7170" width="38.5703125" customWidth="1"/>
    <col min="7172" max="7172" width="12.140625" customWidth="1"/>
    <col min="7173" max="7173" width="19.28515625" customWidth="1"/>
    <col min="7174" max="7174" width="17.85546875" customWidth="1"/>
    <col min="7425" max="7425" width="6.5703125" customWidth="1"/>
    <col min="7426" max="7426" width="38.5703125" customWidth="1"/>
    <col min="7428" max="7428" width="12.140625" customWidth="1"/>
    <col min="7429" max="7429" width="19.28515625" customWidth="1"/>
    <col min="7430" max="7430" width="17.85546875" customWidth="1"/>
    <col min="7681" max="7681" width="6.5703125" customWidth="1"/>
    <col min="7682" max="7682" width="38.5703125" customWidth="1"/>
    <col min="7684" max="7684" width="12.140625" customWidth="1"/>
    <col min="7685" max="7685" width="19.28515625" customWidth="1"/>
    <col min="7686" max="7686" width="17.85546875" customWidth="1"/>
    <col min="7937" max="7937" width="6.5703125" customWidth="1"/>
    <col min="7938" max="7938" width="38.5703125" customWidth="1"/>
    <col min="7940" max="7940" width="12.140625" customWidth="1"/>
    <col min="7941" max="7941" width="19.28515625" customWidth="1"/>
    <col min="7942" max="7942" width="17.85546875" customWidth="1"/>
    <col min="8193" max="8193" width="6.5703125" customWidth="1"/>
    <col min="8194" max="8194" width="38.5703125" customWidth="1"/>
    <col min="8196" max="8196" width="12.140625" customWidth="1"/>
    <col min="8197" max="8197" width="19.28515625" customWidth="1"/>
    <col min="8198" max="8198" width="17.85546875" customWidth="1"/>
    <col min="8449" max="8449" width="6.5703125" customWidth="1"/>
    <col min="8450" max="8450" width="38.5703125" customWidth="1"/>
    <col min="8452" max="8452" width="12.140625" customWidth="1"/>
    <col min="8453" max="8453" width="19.28515625" customWidth="1"/>
    <col min="8454" max="8454" width="17.85546875" customWidth="1"/>
    <col min="8705" max="8705" width="6.5703125" customWidth="1"/>
    <col min="8706" max="8706" width="38.5703125" customWidth="1"/>
    <col min="8708" max="8708" width="12.140625" customWidth="1"/>
    <col min="8709" max="8709" width="19.28515625" customWidth="1"/>
    <col min="8710" max="8710" width="17.85546875" customWidth="1"/>
    <col min="8961" max="8961" width="6.5703125" customWidth="1"/>
    <col min="8962" max="8962" width="38.5703125" customWidth="1"/>
    <col min="8964" max="8964" width="12.140625" customWidth="1"/>
    <col min="8965" max="8965" width="19.28515625" customWidth="1"/>
    <col min="8966" max="8966" width="17.85546875" customWidth="1"/>
    <col min="9217" max="9217" width="6.5703125" customWidth="1"/>
    <col min="9218" max="9218" width="38.5703125" customWidth="1"/>
    <col min="9220" max="9220" width="12.140625" customWidth="1"/>
    <col min="9221" max="9221" width="19.28515625" customWidth="1"/>
    <col min="9222" max="9222" width="17.85546875" customWidth="1"/>
    <col min="9473" max="9473" width="6.5703125" customWidth="1"/>
    <col min="9474" max="9474" width="38.5703125" customWidth="1"/>
    <col min="9476" max="9476" width="12.140625" customWidth="1"/>
    <col min="9477" max="9477" width="19.28515625" customWidth="1"/>
    <col min="9478" max="9478" width="17.85546875" customWidth="1"/>
    <col min="9729" max="9729" width="6.5703125" customWidth="1"/>
    <col min="9730" max="9730" width="38.5703125" customWidth="1"/>
    <col min="9732" max="9732" width="12.140625" customWidth="1"/>
    <col min="9733" max="9733" width="19.28515625" customWidth="1"/>
    <col min="9734" max="9734" width="17.85546875" customWidth="1"/>
    <col min="9985" max="9985" width="6.5703125" customWidth="1"/>
    <col min="9986" max="9986" width="38.5703125" customWidth="1"/>
    <col min="9988" max="9988" width="12.140625" customWidth="1"/>
    <col min="9989" max="9989" width="19.28515625" customWidth="1"/>
    <col min="9990" max="9990" width="17.85546875" customWidth="1"/>
    <col min="10241" max="10241" width="6.5703125" customWidth="1"/>
    <col min="10242" max="10242" width="38.5703125" customWidth="1"/>
    <col min="10244" max="10244" width="12.140625" customWidth="1"/>
    <col min="10245" max="10245" width="19.28515625" customWidth="1"/>
    <col min="10246" max="10246" width="17.85546875" customWidth="1"/>
    <col min="10497" max="10497" width="6.5703125" customWidth="1"/>
    <col min="10498" max="10498" width="38.5703125" customWidth="1"/>
    <col min="10500" max="10500" width="12.140625" customWidth="1"/>
    <col min="10501" max="10501" width="19.28515625" customWidth="1"/>
    <col min="10502" max="10502" width="17.85546875" customWidth="1"/>
    <col min="10753" max="10753" width="6.5703125" customWidth="1"/>
    <col min="10754" max="10754" width="38.5703125" customWidth="1"/>
    <col min="10756" max="10756" width="12.140625" customWidth="1"/>
    <col min="10757" max="10757" width="19.28515625" customWidth="1"/>
    <col min="10758" max="10758" width="17.85546875" customWidth="1"/>
    <col min="11009" max="11009" width="6.5703125" customWidth="1"/>
    <col min="11010" max="11010" width="38.5703125" customWidth="1"/>
    <col min="11012" max="11012" width="12.140625" customWidth="1"/>
    <col min="11013" max="11013" width="19.28515625" customWidth="1"/>
    <col min="11014" max="11014" width="17.85546875" customWidth="1"/>
    <col min="11265" max="11265" width="6.5703125" customWidth="1"/>
    <col min="11266" max="11266" width="38.5703125" customWidth="1"/>
    <col min="11268" max="11268" width="12.140625" customWidth="1"/>
    <col min="11269" max="11269" width="19.28515625" customWidth="1"/>
    <col min="11270" max="11270" width="17.85546875" customWidth="1"/>
    <col min="11521" max="11521" width="6.5703125" customWidth="1"/>
    <col min="11522" max="11522" width="38.5703125" customWidth="1"/>
    <col min="11524" max="11524" width="12.140625" customWidth="1"/>
    <col min="11525" max="11525" width="19.28515625" customWidth="1"/>
    <col min="11526" max="11526" width="17.85546875" customWidth="1"/>
    <col min="11777" max="11777" width="6.5703125" customWidth="1"/>
    <col min="11778" max="11778" width="38.5703125" customWidth="1"/>
    <col min="11780" max="11780" width="12.140625" customWidth="1"/>
    <col min="11781" max="11781" width="19.28515625" customWidth="1"/>
    <col min="11782" max="11782" width="17.85546875" customWidth="1"/>
    <col min="12033" max="12033" width="6.5703125" customWidth="1"/>
    <col min="12034" max="12034" width="38.5703125" customWidth="1"/>
    <col min="12036" max="12036" width="12.140625" customWidth="1"/>
    <col min="12037" max="12037" width="19.28515625" customWidth="1"/>
    <col min="12038" max="12038" width="17.85546875" customWidth="1"/>
    <col min="12289" max="12289" width="6.5703125" customWidth="1"/>
    <col min="12290" max="12290" width="38.5703125" customWidth="1"/>
    <col min="12292" max="12292" width="12.140625" customWidth="1"/>
    <col min="12293" max="12293" width="19.28515625" customWidth="1"/>
    <col min="12294" max="12294" width="17.85546875" customWidth="1"/>
    <col min="12545" max="12545" width="6.5703125" customWidth="1"/>
    <col min="12546" max="12546" width="38.5703125" customWidth="1"/>
    <col min="12548" max="12548" width="12.140625" customWidth="1"/>
    <col min="12549" max="12549" width="19.28515625" customWidth="1"/>
    <col min="12550" max="12550" width="17.85546875" customWidth="1"/>
    <col min="12801" max="12801" width="6.5703125" customWidth="1"/>
    <col min="12802" max="12802" width="38.5703125" customWidth="1"/>
    <col min="12804" max="12804" width="12.140625" customWidth="1"/>
    <col min="12805" max="12805" width="19.28515625" customWidth="1"/>
    <col min="12806" max="12806" width="17.85546875" customWidth="1"/>
    <col min="13057" max="13057" width="6.5703125" customWidth="1"/>
    <col min="13058" max="13058" width="38.5703125" customWidth="1"/>
    <col min="13060" max="13060" width="12.140625" customWidth="1"/>
    <col min="13061" max="13061" width="19.28515625" customWidth="1"/>
    <col min="13062" max="13062" width="17.85546875" customWidth="1"/>
    <col min="13313" max="13313" width="6.5703125" customWidth="1"/>
    <col min="13314" max="13314" width="38.5703125" customWidth="1"/>
    <col min="13316" max="13316" width="12.140625" customWidth="1"/>
    <col min="13317" max="13317" width="19.28515625" customWidth="1"/>
    <col min="13318" max="13318" width="17.85546875" customWidth="1"/>
    <col min="13569" max="13569" width="6.5703125" customWidth="1"/>
    <col min="13570" max="13570" width="38.5703125" customWidth="1"/>
    <col min="13572" max="13572" width="12.140625" customWidth="1"/>
    <col min="13573" max="13573" width="19.28515625" customWidth="1"/>
    <col min="13574" max="13574" width="17.85546875" customWidth="1"/>
    <col min="13825" max="13825" width="6.5703125" customWidth="1"/>
    <col min="13826" max="13826" width="38.5703125" customWidth="1"/>
    <col min="13828" max="13828" width="12.140625" customWidth="1"/>
    <col min="13829" max="13829" width="19.28515625" customWidth="1"/>
    <col min="13830" max="13830" width="17.85546875" customWidth="1"/>
    <col min="14081" max="14081" width="6.5703125" customWidth="1"/>
    <col min="14082" max="14082" width="38.5703125" customWidth="1"/>
    <col min="14084" max="14084" width="12.140625" customWidth="1"/>
    <col min="14085" max="14085" width="19.28515625" customWidth="1"/>
    <col min="14086" max="14086" width="17.85546875" customWidth="1"/>
    <col min="14337" max="14337" width="6.5703125" customWidth="1"/>
    <col min="14338" max="14338" width="38.5703125" customWidth="1"/>
    <col min="14340" max="14340" width="12.140625" customWidth="1"/>
    <col min="14341" max="14341" width="19.28515625" customWidth="1"/>
    <col min="14342" max="14342" width="17.85546875" customWidth="1"/>
    <col min="14593" max="14593" width="6.5703125" customWidth="1"/>
    <col min="14594" max="14594" width="38.5703125" customWidth="1"/>
    <col min="14596" max="14596" width="12.140625" customWidth="1"/>
    <col min="14597" max="14597" width="19.28515625" customWidth="1"/>
    <col min="14598" max="14598" width="17.85546875" customWidth="1"/>
    <col min="14849" max="14849" width="6.5703125" customWidth="1"/>
    <col min="14850" max="14850" width="38.5703125" customWidth="1"/>
    <col min="14852" max="14852" width="12.140625" customWidth="1"/>
    <col min="14853" max="14853" width="19.28515625" customWidth="1"/>
    <col min="14854" max="14854" width="17.85546875" customWidth="1"/>
    <col min="15105" max="15105" width="6.5703125" customWidth="1"/>
    <col min="15106" max="15106" width="38.5703125" customWidth="1"/>
    <col min="15108" max="15108" width="12.140625" customWidth="1"/>
    <col min="15109" max="15109" width="19.28515625" customWidth="1"/>
    <col min="15110" max="15110" width="17.85546875" customWidth="1"/>
    <col min="15361" max="15361" width="6.5703125" customWidth="1"/>
    <col min="15362" max="15362" width="38.5703125" customWidth="1"/>
    <col min="15364" max="15364" width="12.140625" customWidth="1"/>
    <col min="15365" max="15365" width="19.28515625" customWidth="1"/>
    <col min="15366" max="15366" width="17.85546875" customWidth="1"/>
    <col min="15617" max="15617" width="6.5703125" customWidth="1"/>
    <col min="15618" max="15618" width="38.5703125" customWidth="1"/>
    <col min="15620" max="15620" width="12.140625" customWidth="1"/>
    <col min="15621" max="15621" width="19.28515625" customWidth="1"/>
    <col min="15622" max="15622" width="17.85546875" customWidth="1"/>
    <col min="15873" max="15873" width="6.5703125" customWidth="1"/>
    <col min="15874" max="15874" width="38.5703125" customWidth="1"/>
    <col min="15876" max="15876" width="12.140625" customWidth="1"/>
    <col min="15877" max="15877" width="19.28515625" customWidth="1"/>
    <col min="15878" max="15878" width="17.85546875" customWidth="1"/>
    <col min="16129" max="16129" width="6.5703125" customWidth="1"/>
    <col min="16130" max="16130" width="38.5703125" customWidth="1"/>
    <col min="16132" max="16132" width="12.140625" customWidth="1"/>
    <col min="16133" max="16133" width="19.28515625" customWidth="1"/>
    <col min="16134" max="16134" width="17.85546875" customWidth="1"/>
  </cols>
  <sheetData>
    <row r="1" spans="1:6" ht="18.75" x14ac:dyDescent="0.25">
      <c r="A1" s="400"/>
      <c r="B1" s="401" t="s">
        <v>508</v>
      </c>
      <c r="C1" s="402"/>
      <c r="D1" s="403"/>
      <c r="E1" s="557"/>
      <c r="F1" s="405"/>
    </row>
    <row r="2" spans="1:6" ht="18.75" x14ac:dyDescent="0.25">
      <c r="A2" s="403"/>
      <c r="B2" s="407"/>
      <c r="C2" s="402"/>
      <c r="D2" s="403"/>
      <c r="E2" s="557"/>
      <c r="F2" s="405"/>
    </row>
    <row r="3" spans="1:6" ht="18.75" x14ac:dyDescent="0.25">
      <c r="A3" s="403"/>
      <c r="B3" s="408" t="s">
        <v>509</v>
      </c>
      <c r="C3" s="402"/>
      <c r="D3" s="403"/>
      <c r="E3" s="557"/>
      <c r="F3" s="405"/>
    </row>
    <row r="4" spans="1:6" ht="18.75" x14ac:dyDescent="0.25">
      <c r="A4" s="403"/>
      <c r="B4" s="408"/>
      <c r="C4" s="402"/>
      <c r="D4" s="403"/>
      <c r="E4" s="557"/>
      <c r="F4" s="405"/>
    </row>
    <row r="5" spans="1:6" ht="18" x14ac:dyDescent="0.25">
      <c r="A5" s="403"/>
      <c r="B5" s="409" t="s">
        <v>44</v>
      </c>
      <c r="C5" s="402"/>
      <c r="D5" s="403"/>
      <c r="E5" s="557"/>
      <c r="F5" s="410"/>
    </row>
    <row r="6" spans="1:6" ht="18" x14ac:dyDescent="0.25">
      <c r="A6" s="403"/>
      <c r="B6" s="409"/>
      <c r="C6" s="402"/>
      <c r="D6" s="403"/>
      <c r="E6" s="557"/>
      <c r="F6" s="410"/>
    </row>
    <row r="7" spans="1:6" ht="18" x14ac:dyDescent="0.25">
      <c r="A7" s="403"/>
      <c r="B7" s="409" t="s">
        <v>510</v>
      </c>
      <c r="C7" s="402"/>
      <c r="D7" s="403"/>
      <c r="E7" s="557"/>
      <c r="F7" s="410"/>
    </row>
    <row r="8" spans="1:6" ht="18.75" x14ac:dyDescent="0.25">
      <c r="A8" s="403"/>
      <c r="B8" s="402"/>
      <c r="C8" s="402"/>
      <c r="D8" s="403"/>
      <c r="E8" s="557"/>
      <c r="F8" s="405"/>
    </row>
    <row r="9" spans="1:6" ht="33" x14ac:dyDescent="0.25">
      <c r="A9" s="403" t="s">
        <v>2</v>
      </c>
      <c r="B9" s="411" t="s">
        <v>45</v>
      </c>
      <c r="C9" s="412">
        <v>35</v>
      </c>
      <c r="D9" s="403" t="s">
        <v>933</v>
      </c>
      <c r="E9" s="557">
        <v>200</v>
      </c>
      <c r="F9" s="405">
        <f t="shared" ref="F9:F16" si="0">C9*E9</f>
        <v>7000</v>
      </c>
    </row>
    <row r="10" spans="1:6" ht="49.5" x14ac:dyDescent="0.25">
      <c r="A10" s="403" t="s">
        <v>4</v>
      </c>
      <c r="B10" s="411" t="s">
        <v>934</v>
      </c>
      <c r="C10" s="413">
        <v>9</v>
      </c>
      <c r="D10" s="403" t="s">
        <v>959</v>
      </c>
      <c r="E10" s="557">
        <v>1900</v>
      </c>
      <c r="F10" s="405">
        <f t="shared" si="0"/>
        <v>17100</v>
      </c>
    </row>
    <row r="11" spans="1:6" ht="49.5" x14ac:dyDescent="0.25">
      <c r="A11" s="403" t="s">
        <v>5</v>
      </c>
      <c r="B11" s="411" t="s">
        <v>49</v>
      </c>
      <c r="C11" s="402">
        <v>39</v>
      </c>
      <c r="D11" s="403" t="s">
        <v>935</v>
      </c>
      <c r="E11" s="557">
        <f>E10</f>
        <v>1900</v>
      </c>
      <c r="F11" s="405">
        <f t="shared" si="0"/>
        <v>74100</v>
      </c>
    </row>
    <row r="12" spans="1:6" ht="33" x14ac:dyDescent="0.25">
      <c r="A12" s="403" t="s">
        <v>7</v>
      </c>
      <c r="B12" s="411" t="s">
        <v>19</v>
      </c>
      <c r="C12" s="414">
        <v>18</v>
      </c>
      <c r="D12" s="403" t="s">
        <v>933</v>
      </c>
      <c r="E12" s="557">
        <v>250</v>
      </c>
      <c r="F12" s="405">
        <f t="shared" si="0"/>
        <v>4500</v>
      </c>
    </row>
    <row r="13" spans="1:6" ht="33" x14ac:dyDescent="0.25">
      <c r="A13" s="403" t="s">
        <v>8</v>
      </c>
      <c r="B13" s="411" t="s">
        <v>515</v>
      </c>
      <c r="C13" s="414">
        <v>6</v>
      </c>
      <c r="D13" s="403" t="s">
        <v>935</v>
      </c>
      <c r="E13" s="557">
        <v>1400</v>
      </c>
      <c r="F13" s="405">
        <f t="shared" si="0"/>
        <v>8400</v>
      </c>
    </row>
    <row r="14" spans="1:6" ht="33" x14ac:dyDescent="0.25">
      <c r="A14" s="403" t="s">
        <v>9</v>
      </c>
      <c r="B14" s="411" t="s">
        <v>516</v>
      </c>
      <c r="C14" s="413">
        <v>14</v>
      </c>
      <c r="D14" s="403" t="s">
        <v>935</v>
      </c>
      <c r="E14" s="557">
        <v>900</v>
      </c>
      <c r="F14" s="405">
        <f t="shared" si="0"/>
        <v>12600</v>
      </c>
    </row>
    <row r="15" spans="1:6" ht="49.5" x14ac:dyDescent="0.25">
      <c r="A15" s="403" t="s">
        <v>10</v>
      </c>
      <c r="B15" s="421" t="s">
        <v>961</v>
      </c>
      <c r="C15" s="412">
        <v>5</v>
      </c>
      <c r="D15" s="403" t="s">
        <v>935</v>
      </c>
      <c r="E15" s="557">
        <v>6500</v>
      </c>
      <c r="F15" s="405">
        <f t="shared" si="0"/>
        <v>32500</v>
      </c>
    </row>
    <row r="16" spans="1:6" ht="33" x14ac:dyDescent="0.25">
      <c r="A16" s="403" t="s">
        <v>11</v>
      </c>
      <c r="B16" s="411" t="s">
        <v>663</v>
      </c>
      <c r="C16" s="412">
        <v>17</v>
      </c>
      <c r="D16" s="403" t="s">
        <v>933</v>
      </c>
      <c r="E16" s="557">
        <v>2700</v>
      </c>
      <c r="F16" s="405">
        <f t="shared" si="0"/>
        <v>45900</v>
      </c>
    </row>
    <row r="17" spans="1:8" ht="18.75" x14ac:dyDescent="0.25">
      <c r="A17" s="403"/>
      <c r="B17" s="411"/>
      <c r="C17" s="412"/>
      <c r="D17" s="403"/>
      <c r="E17" s="557"/>
      <c r="F17" s="405"/>
      <c r="G17" s="591"/>
      <c r="H17" s="591"/>
    </row>
    <row r="18" spans="1:8" ht="18.75" x14ac:dyDescent="0.25">
      <c r="A18" s="403"/>
      <c r="B18" s="409" t="s">
        <v>98</v>
      </c>
      <c r="C18" s="402"/>
      <c r="D18" s="403"/>
      <c r="E18" s="557"/>
      <c r="F18" s="405"/>
      <c r="G18" s="591"/>
      <c r="H18" s="591"/>
    </row>
    <row r="19" spans="1:8" s="564" customFormat="1" ht="17.25" customHeight="1" x14ac:dyDescent="0.25">
      <c r="A19" s="559"/>
      <c r="B19" s="560" t="s">
        <v>962</v>
      </c>
      <c r="C19" s="559"/>
      <c r="D19" s="559"/>
      <c r="E19" s="561"/>
      <c r="F19" s="562"/>
      <c r="G19" s="563"/>
    </row>
    <row r="20" spans="1:8" s="564" customFormat="1" ht="17.25" customHeight="1" x14ac:dyDescent="0.25">
      <c r="A20" s="559" t="s">
        <v>12</v>
      </c>
      <c r="B20" s="565" t="s">
        <v>963</v>
      </c>
      <c r="C20" s="568">
        <v>30</v>
      </c>
      <c r="D20" s="559" t="s">
        <v>511</v>
      </c>
      <c r="E20" s="561">
        <v>3000</v>
      </c>
      <c r="F20" s="562">
        <f>C20*E20</f>
        <v>90000</v>
      </c>
      <c r="G20" s="563"/>
      <c r="H20" s="284"/>
    </row>
    <row r="21" spans="1:8" ht="18.75" x14ac:dyDescent="0.25">
      <c r="A21" s="403"/>
      <c r="B21" s="415" t="s">
        <v>936</v>
      </c>
      <c r="C21" s="402"/>
      <c r="D21" s="403"/>
      <c r="E21" s="557"/>
      <c r="F21" s="405"/>
      <c r="G21" s="591"/>
      <c r="H21" s="591"/>
    </row>
    <row r="22" spans="1:8" ht="18.75" x14ac:dyDescent="0.25">
      <c r="A22" s="403" t="s">
        <v>13</v>
      </c>
      <c r="B22" s="402" t="s">
        <v>937</v>
      </c>
      <c r="C22" s="402">
        <v>3</v>
      </c>
      <c r="D22" s="403" t="s">
        <v>935</v>
      </c>
      <c r="E22" s="557">
        <v>95000</v>
      </c>
      <c r="F22" s="405">
        <f>C22*E22</f>
        <v>285000</v>
      </c>
      <c r="G22" s="591"/>
      <c r="H22" s="591"/>
    </row>
    <row r="23" spans="1:8" ht="18.75" x14ac:dyDescent="0.25">
      <c r="A23" s="403" t="s">
        <v>14</v>
      </c>
      <c r="B23" s="402" t="s">
        <v>519</v>
      </c>
      <c r="C23" s="402">
        <v>3</v>
      </c>
      <c r="D23" s="403" t="s">
        <v>935</v>
      </c>
      <c r="E23" s="557">
        <f>E22</f>
        <v>95000</v>
      </c>
      <c r="F23" s="405">
        <f>C23*E23</f>
        <v>285000</v>
      </c>
      <c r="G23" s="591"/>
      <c r="H23" s="591"/>
    </row>
    <row r="24" spans="1:8" ht="18.75" x14ac:dyDescent="0.25">
      <c r="A24" s="403" t="s">
        <v>15</v>
      </c>
      <c r="B24" s="402" t="s">
        <v>668</v>
      </c>
      <c r="C24" s="402"/>
      <c r="D24" s="403" t="s">
        <v>959</v>
      </c>
      <c r="E24" s="557">
        <f>E23</f>
        <v>95000</v>
      </c>
      <c r="F24" s="405">
        <f>C24*E24</f>
        <v>0</v>
      </c>
      <c r="G24" s="591"/>
      <c r="H24" s="591"/>
    </row>
    <row r="25" spans="1:8" ht="18.75" x14ac:dyDescent="0.25">
      <c r="A25" s="403"/>
      <c r="B25" s="402"/>
      <c r="C25" s="402"/>
      <c r="D25" s="403"/>
      <c r="E25" s="557"/>
      <c r="F25" s="405"/>
      <c r="G25" s="591"/>
      <c r="H25" s="591"/>
    </row>
    <row r="26" spans="1:8" ht="18.75" x14ac:dyDescent="0.25">
      <c r="A26" s="403"/>
      <c r="B26" s="416"/>
      <c r="C26" s="416"/>
      <c r="D26" s="407"/>
      <c r="E26" s="566"/>
      <c r="F26" s="296"/>
      <c r="G26" s="591"/>
      <c r="H26" s="591"/>
    </row>
    <row r="27" spans="1:8" ht="18.75" x14ac:dyDescent="0.25">
      <c r="A27" s="403"/>
      <c r="B27" s="416"/>
      <c r="C27" s="416"/>
      <c r="D27" s="407"/>
      <c r="E27" s="566"/>
      <c r="F27" s="296"/>
      <c r="G27" s="591"/>
      <c r="H27" s="591"/>
    </row>
    <row r="28" spans="1:8" ht="18.75" x14ac:dyDescent="0.25">
      <c r="A28" s="403"/>
      <c r="B28" s="416" t="s">
        <v>520</v>
      </c>
      <c r="C28" s="416"/>
      <c r="D28" s="407"/>
      <c r="E28" s="566" t="s">
        <v>15</v>
      </c>
      <c r="F28" s="296">
        <f>SUM(F5:F24)</f>
        <v>862100</v>
      </c>
      <c r="G28" s="591"/>
      <c r="H28" s="591"/>
    </row>
    <row r="29" spans="1:8" ht="18.75" x14ac:dyDescent="0.25">
      <c r="A29" s="407"/>
      <c r="B29" s="408" t="s">
        <v>521</v>
      </c>
      <c r="C29" s="416"/>
      <c r="D29" s="407"/>
      <c r="E29" s="566"/>
      <c r="F29" s="439"/>
      <c r="G29" s="591"/>
      <c r="H29" s="591"/>
    </row>
    <row r="30" spans="1:8" ht="18.75" x14ac:dyDescent="0.25">
      <c r="A30" s="403"/>
      <c r="B30" s="402"/>
      <c r="C30" s="412"/>
      <c r="D30" s="403"/>
      <c r="E30" s="557"/>
      <c r="F30" s="405"/>
      <c r="G30" s="591"/>
      <c r="H30" s="591"/>
    </row>
    <row r="31" spans="1:8" s="564" customFormat="1" ht="17.25" customHeight="1" x14ac:dyDescent="0.25">
      <c r="A31" s="559"/>
      <c r="B31" s="560" t="s">
        <v>964</v>
      </c>
      <c r="C31" s="559"/>
      <c r="D31" s="559"/>
      <c r="E31" s="567"/>
      <c r="F31" s="562"/>
      <c r="G31" s="563"/>
    </row>
    <row r="32" spans="1:8" s="564" customFormat="1" ht="23.25" customHeight="1" x14ac:dyDescent="0.25">
      <c r="A32" s="559" t="s">
        <v>2</v>
      </c>
      <c r="B32" s="565" t="s">
        <v>965</v>
      </c>
      <c r="C32" s="568">
        <v>8</v>
      </c>
      <c r="D32" s="559" t="s">
        <v>513</v>
      </c>
      <c r="E32" s="561">
        <v>95000</v>
      </c>
      <c r="F32" s="562">
        <f>C32*E32</f>
        <v>760000</v>
      </c>
      <c r="G32" s="563"/>
      <c r="H32" s="284"/>
    </row>
    <row r="33" spans="1:8" s="564" customFormat="1" ht="21.75" customHeight="1" x14ac:dyDescent="0.25">
      <c r="A33" s="559" t="s">
        <v>4</v>
      </c>
      <c r="B33" s="565" t="s">
        <v>65</v>
      </c>
      <c r="C33" s="568">
        <v>2</v>
      </c>
      <c r="D33" s="559" t="s">
        <v>513</v>
      </c>
      <c r="E33" s="561">
        <f>E32</f>
        <v>95000</v>
      </c>
      <c r="F33" s="562">
        <f>C33*E33</f>
        <v>190000</v>
      </c>
      <c r="G33" s="563"/>
      <c r="H33" s="284"/>
    </row>
    <row r="34" spans="1:8" s="564" customFormat="1" ht="21" customHeight="1" x14ac:dyDescent="0.25">
      <c r="A34" s="559"/>
      <c r="B34" s="569" t="s">
        <v>102</v>
      </c>
      <c r="C34" s="559"/>
      <c r="D34" s="559"/>
      <c r="E34" s="567"/>
      <c r="F34" s="562"/>
      <c r="G34" s="563"/>
    </row>
    <row r="35" spans="1:8" s="564" customFormat="1" ht="38.25" customHeight="1" x14ac:dyDescent="0.25">
      <c r="A35" s="559"/>
      <c r="B35" s="570" t="s">
        <v>966</v>
      </c>
      <c r="C35" s="559"/>
      <c r="D35" s="559"/>
      <c r="E35" s="567"/>
      <c r="F35" s="562"/>
      <c r="G35" s="563"/>
    </row>
    <row r="36" spans="1:8" s="564" customFormat="1" ht="18" customHeight="1" x14ac:dyDescent="0.25">
      <c r="A36" s="559"/>
      <c r="B36" s="583" t="s">
        <v>539</v>
      </c>
      <c r="C36" s="559">
        <v>456</v>
      </c>
      <c r="D36" s="559" t="s">
        <v>75</v>
      </c>
      <c r="E36" s="567"/>
      <c r="F36" s="562"/>
      <c r="G36" s="563"/>
    </row>
    <row r="37" spans="1:8" s="564" customFormat="1" ht="18" customHeight="1" x14ac:dyDescent="0.25">
      <c r="A37" s="559" t="s">
        <v>5</v>
      </c>
      <c r="B37" s="565" t="s">
        <v>672</v>
      </c>
      <c r="C37" s="571">
        <v>431</v>
      </c>
      <c r="D37" s="559" t="s">
        <v>75</v>
      </c>
      <c r="E37" s="561">
        <v>1450</v>
      </c>
      <c r="F37" s="562">
        <f>C37*E37</f>
        <v>624950</v>
      </c>
      <c r="G37" s="563"/>
      <c r="H37" s="284"/>
    </row>
    <row r="38" spans="1:8" s="564" customFormat="1" ht="19.5" customHeight="1" x14ac:dyDescent="0.25">
      <c r="A38" s="559" t="s">
        <v>6</v>
      </c>
      <c r="B38" s="565" t="s">
        <v>523</v>
      </c>
      <c r="C38" s="568">
        <v>100</v>
      </c>
      <c r="D38" s="559" t="s">
        <v>75</v>
      </c>
      <c r="E38" s="561">
        <f>E37</f>
        <v>1450</v>
      </c>
      <c r="F38" s="562">
        <f>C38*E38</f>
        <v>145000</v>
      </c>
      <c r="G38" s="563"/>
      <c r="H38" s="284"/>
    </row>
    <row r="39" spans="1:8" s="564" customFormat="1" ht="21" customHeight="1" x14ac:dyDescent="0.25">
      <c r="A39" s="559"/>
      <c r="B39" s="569" t="s">
        <v>67</v>
      </c>
      <c r="C39" s="559"/>
      <c r="D39" s="559"/>
      <c r="E39" s="567"/>
      <c r="F39" s="562"/>
      <c r="G39" s="563"/>
    </row>
    <row r="40" spans="1:8" s="564" customFormat="1" ht="24.75" customHeight="1" x14ac:dyDescent="0.25">
      <c r="A40" s="559"/>
      <c r="B40" s="560" t="s">
        <v>120</v>
      </c>
      <c r="C40" s="559"/>
      <c r="D40" s="559"/>
      <c r="E40" s="567"/>
      <c r="F40" s="562"/>
      <c r="G40" s="563"/>
    </row>
    <row r="41" spans="1:8" s="564" customFormat="1" ht="21.75" customHeight="1" x14ac:dyDescent="0.25">
      <c r="A41" s="559" t="s">
        <v>7</v>
      </c>
      <c r="B41" s="565" t="s">
        <v>967</v>
      </c>
      <c r="C41" s="568">
        <v>27</v>
      </c>
      <c r="D41" s="559" t="s">
        <v>511</v>
      </c>
      <c r="E41" s="561">
        <v>8500</v>
      </c>
      <c r="F41" s="562">
        <f>C41*E41</f>
        <v>229500</v>
      </c>
      <c r="G41" s="563"/>
      <c r="H41" s="284"/>
    </row>
    <row r="42" spans="1:8" ht="18.75" x14ac:dyDescent="0.25">
      <c r="A42" s="403" t="s">
        <v>8</v>
      </c>
      <c r="B42" s="402" t="s">
        <v>1</v>
      </c>
      <c r="C42" s="402">
        <v>19</v>
      </c>
      <c r="D42" s="403" t="s">
        <v>22</v>
      </c>
      <c r="E42" s="557">
        <f>E41*0.15</f>
        <v>1275</v>
      </c>
      <c r="F42" s="405">
        <f>C42*E42</f>
        <v>24225</v>
      </c>
      <c r="G42" s="591"/>
      <c r="H42" s="591"/>
    </row>
    <row r="43" spans="1:8" ht="49.5" x14ac:dyDescent="0.25">
      <c r="A43" s="403"/>
      <c r="B43" s="420" t="s">
        <v>524</v>
      </c>
      <c r="C43" s="402"/>
      <c r="D43" s="403"/>
      <c r="E43" s="557"/>
      <c r="F43" s="405"/>
      <c r="G43" s="591"/>
      <c r="H43" s="591"/>
    </row>
    <row r="44" spans="1:8" ht="18.75" x14ac:dyDescent="0.25">
      <c r="A44" s="403" t="s">
        <v>9</v>
      </c>
      <c r="B44" s="421" t="s">
        <v>39</v>
      </c>
      <c r="C44" s="402">
        <v>22</v>
      </c>
      <c r="D44" s="403" t="s">
        <v>933</v>
      </c>
      <c r="E44" s="557">
        <v>1800</v>
      </c>
      <c r="F44" s="405">
        <f>C44*E44</f>
        <v>39600</v>
      </c>
      <c r="G44" s="591"/>
      <c r="H44" s="591"/>
    </row>
    <row r="45" spans="1:8" ht="18.75" x14ac:dyDescent="0.25">
      <c r="A45" s="403"/>
      <c r="B45" s="402"/>
      <c r="C45" s="402"/>
      <c r="D45" s="403"/>
      <c r="E45" s="557"/>
      <c r="F45" s="405"/>
      <c r="G45" s="591"/>
      <c r="H45" s="591"/>
    </row>
    <row r="46" spans="1:8" ht="18.75" x14ac:dyDescent="0.25">
      <c r="A46" s="403"/>
      <c r="B46" s="409" t="s">
        <v>84</v>
      </c>
      <c r="C46" s="416"/>
      <c r="D46" s="407"/>
      <c r="E46" s="566"/>
      <c r="F46" s="418"/>
      <c r="G46" s="591"/>
      <c r="H46" s="591"/>
    </row>
    <row r="47" spans="1:8" ht="18.75" x14ac:dyDescent="0.25">
      <c r="A47" s="403"/>
      <c r="B47" s="419"/>
      <c r="C47" s="416"/>
      <c r="D47" s="407"/>
      <c r="E47" s="566"/>
      <c r="F47" s="418"/>
      <c r="G47" s="591"/>
      <c r="H47" s="591"/>
    </row>
    <row r="48" spans="1:8" ht="49.5" x14ac:dyDescent="0.25">
      <c r="A48" s="403"/>
      <c r="B48" s="420" t="s">
        <v>526</v>
      </c>
      <c r="C48" s="416"/>
      <c r="D48" s="407"/>
      <c r="E48" s="566"/>
      <c r="F48" s="418"/>
      <c r="G48" s="591"/>
      <c r="H48" s="591"/>
    </row>
    <row r="49" spans="1:6" ht="18.75" x14ac:dyDescent="0.25">
      <c r="A49" s="403"/>
      <c r="B49" s="420"/>
      <c r="C49" s="416"/>
      <c r="D49" s="407"/>
      <c r="E49" s="566"/>
      <c r="F49" s="418"/>
    </row>
    <row r="50" spans="1:6" ht="18.75" x14ac:dyDescent="0.25">
      <c r="A50" s="403" t="s">
        <v>2</v>
      </c>
      <c r="B50" s="421" t="s">
        <v>527</v>
      </c>
      <c r="C50" s="402">
        <v>20</v>
      </c>
      <c r="D50" s="403" t="s">
        <v>933</v>
      </c>
      <c r="E50" s="557">
        <v>13000</v>
      </c>
      <c r="F50" s="405">
        <f>C50*E50</f>
        <v>260000</v>
      </c>
    </row>
    <row r="51" spans="1:6" ht="18.75" x14ac:dyDescent="0.25">
      <c r="A51" s="403"/>
      <c r="B51" s="402"/>
      <c r="C51" s="591"/>
      <c r="D51" s="403"/>
      <c r="E51" s="557"/>
      <c r="F51" s="405"/>
    </row>
    <row r="52" spans="1:6" ht="18.75" x14ac:dyDescent="0.25">
      <c r="A52" s="403"/>
      <c r="B52" s="415" t="s">
        <v>528</v>
      </c>
      <c r="C52" s="402"/>
      <c r="D52" s="403"/>
      <c r="E52" s="557"/>
      <c r="F52" s="422"/>
    </row>
    <row r="53" spans="1:6" ht="18.75" x14ac:dyDescent="0.25">
      <c r="A53" s="403"/>
      <c r="B53" s="402"/>
      <c r="C53" s="402"/>
      <c r="D53" s="403"/>
      <c r="E53" s="557"/>
      <c r="F53" s="422"/>
    </row>
    <row r="54" spans="1:6" ht="18.75" x14ac:dyDescent="0.25">
      <c r="A54" s="403"/>
      <c r="B54" s="415" t="s">
        <v>529</v>
      </c>
      <c r="C54" s="402"/>
      <c r="D54" s="403"/>
      <c r="E54" s="557"/>
      <c r="F54" s="422"/>
    </row>
    <row r="55" spans="1:6" ht="18.75" x14ac:dyDescent="0.25">
      <c r="A55" s="403"/>
      <c r="B55" s="402"/>
      <c r="C55" s="402"/>
      <c r="D55" s="403"/>
      <c r="E55" s="557"/>
      <c r="F55" s="422"/>
    </row>
    <row r="56" spans="1:6" ht="49.5" x14ac:dyDescent="0.25">
      <c r="A56" s="403" t="s">
        <v>4</v>
      </c>
      <c r="B56" s="411" t="s">
        <v>530</v>
      </c>
      <c r="C56" s="402">
        <v>22</v>
      </c>
      <c r="D56" s="403" t="s">
        <v>933</v>
      </c>
      <c r="E56" s="557">
        <v>650</v>
      </c>
      <c r="F56" s="405">
        <f>C56*E56</f>
        <v>14300</v>
      </c>
    </row>
    <row r="57" spans="1:6" ht="18.75" x14ac:dyDescent="0.25">
      <c r="A57" s="403"/>
      <c r="B57" s="411"/>
      <c r="C57" s="402"/>
      <c r="D57" s="403"/>
      <c r="E57" s="557"/>
      <c r="F57" s="422"/>
    </row>
    <row r="58" spans="1:6" ht="18.75" x14ac:dyDescent="0.25">
      <c r="A58" s="403"/>
      <c r="B58" s="411"/>
      <c r="C58" s="402"/>
      <c r="D58" s="403"/>
      <c r="E58" s="557"/>
      <c r="F58" s="422"/>
    </row>
    <row r="59" spans="1:6" ht="18.75" x14ac:dyDescent="0.25">
      <c r="A59" s="403"/>
      <c r="B59" s="498" t="s">
        <v>525</v>
      </c>
      <c r="C59" s="402"/>
      <c r="D59" s="403"/>
      <c r="E59" s="566" t="s">
        <v>15</v>
      </c>
      <c r="F59" s="439">
        <f>SUM(F30:F58)</f>
        <v>2287575</v>
      </c>
    </row>
    <row r="60" spans="1:6" ht="18.75" x14ac:dyDescent="0.25">
      <c r="A60" s="403"/>
      <c r="B60" s="411"/>
      <c r="C60" s="402"/>
      <c r="D60" s="403"/>
      <c r="E60" s="557"/>
      <c r="F60" s="422"/>
    </row>
    <row r="61" spans="1:6" ht="18.75" x14ac:dyDescent="0.25">
      <c r="A61" s="403"/>
      <c r="B61" s="498"/>
      <c r="C61" s="402"/>
      <c r="D61" s="403"/>
      <c r="E61" s="566"/>
      <c r="F61" s="296"/>
    </row>
    <row r="62" spans="1:6" ht="18.75" x14ac:dyDescent="0.25">
      <c r="A62" s="403"/>
      <c r="B62" s="409" t="s">
        <v>531</v>
      </c>
      <c r="C62" s="402"/>
      <c r="D62" s="403"/>
      <c r="E62" s="566"/>
      <c r="F62" s="296"/>
    </row>
    <row r="63" spans="1:6" ht="18.75" x14ac:dyDescent="0.25">
      <c r="A63" s="403"/>
      <c r="B63" s="402"/>
      <c r="C63" s="402"/>
      <c r="D63" s="403"/>
      <c r="E63" s="557"/>
      <c r="F63" s="424"/>
    </row>
    <row r="64" spans="1:6" ht="18.75" x14ac:dyDescent="0.25">
      <c r="A64" s="403"/>
      <c r="B64" s="499" t="s">
        <v>532</v>
      </c>
      <c r="C64" s="402"/>
      <c r="D64" s="403"/>
      <c r="E64" s="557">
        <f>F28</f>
        <v>862100</v>
      </c>
      <c r="F64" s="424"/>
    </row>
    <row r="65" spans="1:6" ht="18.75" x14ac:dyDescent="0.25">
      <c r="A65" s="403"/>
      <c r="B65" s="500"/>
      <c r="C65" s="402"/>
      <c r="D65" s="403"/>
      <c r="E65" s="557"/>
      <c r="F65" s="424"/>
    </row>
    <row r="66" spans="1:6" ht="18.75" x14ac:dyDescent="0.25">
      <c r="A66" s="403"/>
      <c r="B66" s="499" t="s">
        <v>451</v>
      </c>
      <c r="C66" s="402"/>
      <c r="D66" s="403"/>
      <c r="E66" s="557">
        <f>F59</f>
        <v>2287575</v>
      </c>
      <c r="F66" s="424"/>
    </row>
    <row r="67" spans="1:6" ht="18.75" x14ac:dyDescent="0.25">
      <c r="A67" s="403"/>
      <c r="B67" s="423"/>
      <c r="C67" s="402"/>
      <c r="D67" s="403"/>
      <c r="E67" s="557"/>
      <c r="F67" s="424"/>
    </row>
    <row r="68" spans="1:6" ht="18.75" x14ac:dyDescent="0.25">
      <c r="A68" s="403"/>
      <c r="B68" s="423"/>
      <c r="C68" s="402"/>
      <c r="D68" s="403"/>
      <c r="E68" s="557"/>
      <c r="F68" s="424"/>
    </row>
    <row r="69" spans="1:6" ht="18.75" x14ac:dyDescent="0.25">
      <c r="A69" s="403"/>
      <c r="B69" s="423"/>
      <c r="C69" s="402"/>
      <c r="D69" s="403"/>
      <c r="E69" s="557"/>
      <c r="F69" s="424"/>
    </row>
    <row r="70" spans="1:6" ht="18.75" x14ac:dyDescent="0.25">
      <c r="A70" s="403"/>
      <c r="B70" s="423"/>
      <c r="C70" s="402"/>
      <c r="D70" s="403"/>
      <c r="E70" s="557"/>
      <c r="F70" s="424"/>
    </row>
    <row r="71" spans="1:6" ht="18.75" x14ac:dyDescent="0.25">
      <c r="A71" s="403"/>
      <c r="B71" s="425" t="s">
        <v>533</v>
      </c>
      <c r="C71" s="416"/>
      <c r="D71" s="407"/>
      <c r="E71" s="557"/>
      <c r="F71" s="426"/>
    </row>
    <row r="72" spans="1:6" ht="18.75" x14ac:dyDescent="0.25">
      <c r="A72" s="403"/>
      <c r="B72" s="416" t="s">
        <v>534</v>
      </c>
      <c r="C72" s="416"/>
      <c r="D72" s="407"/>
      <c r="E72" s="566" t="s">
        <v>15</v>
      </c>
      <c r="F72" s="418">
        <f>SUM(E64:E67)</f>
        <v>3149675</v>
      </c>
    </row>
    <row r="73" spans="1:6" ht="18.75" x14ac:dyDescent="0.25">
      <c r="A73" s="403"/>
      <c r="B73" s="401" t="s">
        <v>535</v>
      </c>
      <c r="C73" s="402"/>
      <c r="D73" s="403"/>
      <c r="E73" s="557"/>
      <c r="F73" s="405"/>
    </row>
    <row r="74" spans="1:6" ht="18.75" x14ac:dyDescent="0.25">
      <c r="A74" s="403"/>
      <c r="B74" s="402"/>
      <c r="C74" s="402"/>
      <c r="D74" s="403"/>
      <c r="E74" s="557"/>
      <c r="F74" s="405"/>
    </row>
    <row r="75" spans="1:6" ht="18.75" x14ac:dyDescent="0.25">
      <c r="A75" s="403"/>
      <c r="B75" s="408" t="s">
        <v>968</v>
      </c>
      <c r="C75" s="402"/>
      <c r="D75" s="403"/>
      <c r="E75" s="557"/>
      <c r="F75" s="424"/>
    </row>
    <row r="76" spans="1:6" ht="18.75" x14ac:dyDescent="0.25">
      <c r="A76" s="403"/>
      <c r="B76" s="408"/>
      <c r="C76" s="402"/>
      <c r="D76" s="403"/>
      <c r="E76" s="557"/>
      <c r="F76" s="424"/>
    </row>
    <row r="77" spans="1:6" ht="18.75" x14ac:dyDescent="0.25">
      <c r="A77" s="403"/>
      <c r="B77" s="409" t="s">
        <v>84</v>
      </c>
      <c r="C77" s="416"/>
      <c r="D77" s="407"/>
      <c r="E77" s="566"/>
      <c r="F77" s="418"/>
    </row>
    <row r="78" spans="1:6" ht="18.75" x14ac:dyDescent="0.25">
      <c r="A78" s="403"/>
      <c r="B78" s="419"/>
      <c r="C78" s="416"/>
      <c r="D78" s="407"/>
      <c r="E78" s="566"/>
      <c r="F78" s="418"/>
    </row>
    <row r="79" spans="1:6" ht="33" x14ac:dyDescent="0.25">
      <c r="A79" s="403"/>
      <c r="B79" s="420" t="s">
        <v>594</v>
      </c>
      <c r="C79" s="416"/>
      <c r="D79" s="407"/>
      <c r="E79" s="566"/>
      <c r="F79" s="418"/>
    </row>
    <row r="80" spans="1:6" ht="18.75" x14ac:dyDescent="0.25">
      <c r="A80" s="403"/>
      <c r="B80" s="420"/>
      <c r="C80" s="416"/>
      <c r="D80" s="407"/>
      <c r="E80" s="566"/>
      <c r="F80" s="418"/>
    </row>
    <row r="81" spans="1:8" ht="18.75" x14ac:dyDescent="0.25">
      <c r="A81" s="403" t="s">
        <v>2</v>
      </c>
      <c r="B81" s="402" t="s">
        <v>595</v>
      </c>
      <c r="C81" s="412">
        <v>42</v>
      </c>
      <c r="D81" s="403" t="s">
        <v>933</v>
      </c>
      <c r="E81" s="557">
        <v>10300</v>
      </c>
      <c r="F81" s="501">
        <f>C81*E81</f>
        <v>432600</v>
      </c>
      <c r="G81" s="591"/>
      <c r="H81" s="591"/>
    </row>
    <row r="82" spans="1:8" ht="18.75" x14ac:dyDescent="0.25">
      <c r="A82" s="403"/>
      <c r="B82" s="408"/>
      <c r="C82" s="402"/>
      <c r="D82" s="403"/>
      <c r="E82" s="557"/>
      <c r="F82" s="502"/>
      <c r="G82" s="591"/>
      <c r="H82" s="591"/>
    </row>
    <row r="83" spans="1:8" ht="18.75" x14ac:dyDescent="0.25">
      <c r="A83" s="403" t="s">
        <v>4</v>
      </c>
      <c r="B83" s="402" t="s">
        <v>596</v>
      </c>
      <c r="C83" s="412">
        <v>6</v>
      </c>
      <c r="D83" s="403" t="s">
        <v>933</v>
      </c>
      <c r="E83" s="557">
        <v>8500</v>
      </c>
      <c r="F83" s="501">
        <f>C83*E83</f>
        <v>51000</v>
      </c>
      <c r="G83" s="591"/>
      <c r="H83" s="591"/>
    </row>
    <row r="84" spans="1:8" ht="18.75" x14ac:dyDescent="0.25">
      <c r="A84" s="403"/>
      <c r="B84" s="402"/>
      <c r="C84" s="415"/>
      <c r="D84" s="403"/>
      <c r="E84" s="557"/>
      <c r="F84" s="427"/>
      <c r="G84" s="591"/>
      <c r="H84" s="591"/>
    </row>
    <row r="85" spans="1:8" ht="18.75" x14ac:dyDescent="0.25">
      <c r="A85" s="403"/>
      <c r="B85" s="409" t="s">
        <v>98</v>
      </c>
      <c r="C85" s="402"/>
      <c r="D85" s="403"/>
      <c r="E85" s="557"/>
      <c r="F85" s="424"/>
      <c r="G85" s="591"/>
      <c r="H85" s="591"/>
    </row>
    <row r="86" spans="1:8" ht="18.75" x14ac:dyDescent="0.25">
      <c r="A86" s="403"/>
      <c r="B86" s="402"/>
      <c r="C86" s="402"/>
      <c r="D86" s="403"/>
      <c r="E86" s="557"/>
      <c r="F86" s="424"/>
      <c r="G86" s="591"/>
      <c r="H86" s="591"/>
    </row>
    <row r="87" spans="1:8" ht="18.75" x14ac:dyDescent="0.25">
      <c r="A87" s="403"/>
      <c r="B87" s="415" t="s">
        <v>938</v>
      </c>
      <c r="C87" s="402"/>
      <c r="D87" s="403"/>
      <c r="E87" s="557"/>
      <c r="F87" s="424"/>
      <c r="G87" s="591"/>
      <c r="H87" s="591"/>
    </row>
    <row r="88" spans="1:8" ht="18.75" x14ac:dyDescent="0.25">
      <c r="A88" s="403"/>
      <c r="B88" s="415"/>
      <c r="C88" s="402"/>
      <c r="D88" s="403"/>
      <c r="E88" s="557"/>
      <c r="F88" s="424"/>
      <c r="G88" s="591"/>
      <c r="H88" s="591"/>
    </row>
    <row r="89" spans="1:8" ht="18.75" x14ac:dyDescent="0.25">
      <c r="A89" s="403" t="s">
        <v>5</v>
      </c>
      <c r="B89" s="402" t="s">
        <v>597</v>
      </c>
      <c r="C89" s="402">
        <v>1</v>
      </c>
      <c r="D89" s="403" t="s">
        <v>935</v>
      </c>
      <c r="E89" s="557">
        <f>E32</f>
        <v>95000</v>
      </c>
      <c r="F89" s="424">
        <f>C89*E89</f>
        <v>95000</v>
      </c>
      <c r="G89" s="591"/>
      <c r="H89" s="591"/>
    </row>
    <row r="90" spans="1:8" ht="18.75" x14ac:dyDescent="0.25">
      <c r="A90" s="403"/>
      <c r="B90" s="402"/>
      <c r="C90" s="402"/>
      <c r="D90" s="403"/>
      <c r="E90" s="557"/>
      <c r="F90" s="424"/>
      <c r="G90" s="591"/>
      <c r="H90" s="591"/>
    </row>
    <row r="91" spans="1:8" s="564" customFormat="1" ht="21.75" customHeight="1" x14ac:dyDescent="0.25">
      <c r="A91" s="559" t="s">
        <v>6</v>
      </c>
      <c r="B91" s="565" t="s">
        <v>65</v>
      </c>
      <c r="C91" s="568">
        <v>10</v>
      </c>
      <c r="D91" s="559" t="s">
        <v>513</v>
      </c>
      <c r="E91" s="561">
        <f>E89</f>
        <v>95000</v>
      </c>
      <c r="F91" s="562">
        <f>C91*E91</f>
        <v>950000</v>
      </c>
      <c r="G91" s="563"/>
      <c r="H91" s="284"/>
    </row>
    <row r="92" spans="1:8" ht="18.75" x14ac:dyDescent="0.25">
      <c r="A92" s="403"/>
      <c r="B92" s="402"/>
      <c r="C92" s="402"/>
      <c r="D92" s="403"/>
      <c r="E92" s="557"/>
      <c r="F92" s="424"/>
      <c r="G92" s="591"/>
      <c r="H92" s="591"/>
    </row>
    <row r="93" spans="1:8" s="564" customFormat="1" ht="16.5" x14ac:dyDescent="0.25">
      <c r="A93" s="559" t="s">
        <v>7</v>
      </c>
      <c r="B93" s="565" t="s">
        <v>537</v>
      </c>
      <c r="C93" s="568">
        <v>4</v>
      </c>
      <c r="D93" s="559" t="s">
        <v>513</v>
      </c>
      <c r="E93" s="561">
        <f>E91</f>
        <v>95000</v>
      </c>
      <c r="F93" s="562">
        <f>C93*E93</f>
        <v>380000</v>
      </c>
      <c r="G93" s="562"/>
      <c r="H93" s="284"/>
    </row>
    <row r="94" spans="1:8" s="564" customFormat="1" ht="16.5" x14ac:dyDescent="0.25">
      <c r="A94" s="559"/>
      <c r="B94" s="565"/>
      <c r="C94" s="568"/>
      <c r="D94" s="559"/>
      <c r="E94" s="561"/>
      <c r="F94" s="562"/>
      <c r="G94" s="562"/>
      <c r="H94" s="284"/>
    </row>
    <row r="95" spans="1:8" s="564" customFormat="1" ht="16.5" x14ac:dyDescent="0.25">
      <c r="A95" s="559" t="s">
        <v>7</v>
      </c>
      <c r="B95" s="565" t="s">
        <v>1086</v>
      </c>
      <c r="C95" s="568">
        <v>2</v>
      </c>
      <c r="D95" s="559" t="s">
        <v>513</v>
      </c>
      <c r="E95" s="561">
        <f>E93</f>
        <v>95000</v>
      </c>
      <c r="F95" s="562">
        <f>C95*E95</f>
        <v>190000</v>
      </c>
      <c r="G95" s="562"/>
      <c r="H95" s="284"/>
    </row>
    <row r="96" spans="1:8" s="564" customFormat="1" ht="16.5" x14ac:dyDescent="0.25">
      <c r="A96" s="559"/>
      <c r="B96" s="565"/>
      <c r="C96" s="568"/>
      <c r="D96" s="559"/>
      <c r="E96" s="561"/>
      <c r="F96" s="562"/>
      <c r="G96" s="562"/>
      <c r="H96" s="284"/>
    </row>
    <row r="97" spans="1:8" s="564" customFormat="1" ht="16.5" x14ac:dyDescent="0.25">
      <c r="A97" s="559"/>
      <c r="B97" s="565"/>
      <c r="C97" s="568"/>
      <c r="D97" s="559"/>
      <c r="E97" s="561"/>
      <c r="F97" s="562"/>
      <c r="G97" s="562"/>
      <c r="H97" s="284"/>
    </row>
    <row r="98" spans="1:8" ht="18.75" x14ac:dyDescent="0.25">
      <c r="A98" s="403"/>
      <c r="B98" s="409" t="s">
        <v>102</v>
      </c>
      <c r="C98" s="402"/>
      <c r="D98" s="403"/>
      <c r="E98" s="557"/>
      <c r="F98" s="424"/>
      <c r="G98" s="591"/>
      <c r="H98" s="591"/>
    </row>
    <row r="99" spans="1:8" ht="18.75" x14ac:dyDescent="0.25">
      <c r="A99" s="403"/>
      <c r="B99" s="415"/>
      <c r="C99" s="402"/>
      <c r="D99" s="403"/>
      <c r="E99" s="557"/>
      <c r="F99" s="424"/>
      <c r="G99" s="591"/>
      <c r="H99" s="591"/>
    </row>
    <row r="100" spans="1:8" ht="33" x14ac:dyDescent="0.25">
      <c r="A100" s="403"/>
      <c r="B100" s="420" t="s">
        <v>1087</v>
      </c>
      <c r="C100" s="402"/>
      <c r="D100" s="403"/>
      <c r="E100" s="557"/>
      <c r="F100" s="424"/>
      <c r="G100" s="591"/>
      <c r="H100" s="591"/>
    </row>
    <row r="101" spans="1:8" ht="18.75" x14ac:dyDescent="0.25">
      <c r="A101" s="403"/>
      <c r="B101" s="402"/>
      <c r="C101" s="402"/>
      <c r="D101" s="403"/>
      <c r="E101" s="557"/>
      <c r="F101" s="424"/>
      <c r="G101" s="591"/>
      <c r="H101" s="591"/>
    </row>
    <row r="102" spans="1:8" ht="18.75" x14ac:dyDescent="0.25">
      <c r="A102" s="403" t="s">
        <v>8</v>
      </c>
      <c r="B102" s="402" t="s">
        <v>1059</v>
      </c>
      <c r="C102" s="402">
        <f>218+245+130+107</f>
        <v>700</v>
      </c>
      <c r="D102" s="403" t="s">
        <v>75</v>
      </c>
      <c r="E102" s="557">
        <v>1450</v>
      </c>
      <c r="F102" s="424">
        <f>C102*E102</f>
        <v>1015000</v>
      </c>
      <c r="G102" s="591"/>
      <c r="H102" s="591"/>
    </row>
    <row r="103" spans="1:8" ht="18.75" x14ac:dyDescent="0.25">
      <c r="A103" s="403"/>
      <c r="B103" s="402" t="s">
        <v>1088</v>
      </c>
      <c r="C103" s="402">
        <f>108+804+518</f>
        <v>1430</v>
      </c>
      <c r="D103" s="403" t="s">
        <v>75</v>
      </c>
      <c r="E103" s="557">
        <f>E102</f>
        <v>1450</v>
      </c>
      <c r="F103" s="424">
        <f>C103*E103</f>
        <v>2073500</v>
      </c>
      <c r="G103" s="591"/>
      <c r="H103" s="591"/>
    </row>
    <row r="104" spans="1:8" ht="18.75" x14ac:dyDescent="0.25">
      <c r="A104" s="403"/>
      <c r="B104" s="402"/>
      <c r="C104" s="402"/>
      <c r="D104" s="403"/>
      <c r="E104" s="557"/>
      <c r="F104" s="424"/>
      <c r="G104" s="591"/>
      <c r="H104" s="591"/>
    </row>
    <row r="105" spans="1:8" ht="18.75" x14ac:dyDescent="0.25">
      <c r="A105" s="403"/>
      <c r="B105" s="402"/>
      <c r="C105" s="402"/>
      <c r="D105" s="403"/>
      <c r="E105" s="557"/>
      <c r="F105" s="424"/>
      <c r="G105" s="591"/>
      <c r="H105" s="591"/>
    </row>
    <row r="106" spans="1:8" ht="18.75" x14ac:dyDescent="0.25">
      <c r="A106" s="403"/>
      <c r="B106" s="402"/>
      <c r="C106" s="402"/>
      <c r="D106" s="403"/>
      <c r="E106" s="557"/>
      <c r="F106" s="424"/>
      <c r="G106" s="591"/>
      <c r="H106" s="591"/>
    </row>
    <row r="107" spans="1:8" ht="18.75" x14ac:dyDescent="0.25">
      <c r="A107" s="403"/>
      <c r="B107" s="409" t="s">
        <v>67</v>
      </c>
      <c r="C107" s="402"/>
      <c r="D107" s="403"/>
      <c r="E107" s="557"/>
      <c r="F107" s="424"/>
      <c r="G107" s="591"/>
      <c r="H107" s="591"/>
    </row>
    <row r="108" spans="1:8" ht="18.75" x14ac:dyDescent="0.25">
      <c r="A108" s="403"/>
      <c r="B108" s="402"/>
      <c r="C108" s="402"/>
      <c r="D108" s="403"/>
      <c r="E108" s="557"/>
      <c r="F108" s="424"/>
      <c r="G108" s="591"/>
      <c r="H108" s="591"/>
    </row>
    <row r="109" spans="1:8" ht="18.75" x14ac:dyDescent="0.25">
      <c r="A109" s="403"/>
      <c r="B109" s="415" t="s">
        <v>120</v>
      </c>
      <c r="C109" s="402"/>
      <c r="D109" s="403"/>
      <c r="E109" s="557"/>
      <c r="F109" s="424"/>
      <c r="G109" s="591"/>
      <c r="H109" s="591"/>
    </row>
    <row r="110" spans="1:8" ht="18.75" x14ac:dyDescent="0.25">
      <c r="A110" s="403"/>
      <c r="B110" s="402"/>
      <c r="C110" s="402"/>
      <c r="D110" s="403"/>
      <c r="E110" s="557"/>
      <c r="F110" s="424"/>
      <c r="G110" s="591"/>
      <c r="H110" s="591"/>
    </row>
    <row r="111" spans="1:8" ht="33" x14ac:dyDescent="0.25">
      <c r="A111" s="403" t="s">
        <v>9</v>
      </c>
      <c r="B111" s="421" t="s">
        <v>1089</v>
      </c>
      <c r="C111" s="402">
        <f>25+82+30+31</f>
        <v>168</v>
      </c>
      <c r="D111" s="403" t="s">
        <v>933</v>
      </c>
      <c r="E111" s="557">
        <v>8500</v>
      </c>
      <c r="F111" s="424">
        <f>C111*E111</f>
        <v>1428000</v>
      </c>
      <c r="G111" s="591"/>
      <c r="H111" s="591"/>
    </row>
    <row r="112" spans="1:8" ht="18.75" x14ac:dyDescent="0.25">
      <c r="A112" s="403"/>
      <c r="B112" s="415"/>
      <c r="C112" s="402"/>
      <c r="D112" s="403"/>
      <c r="E112" s="557"/>
      <c r="F112" s="422"/>
      <c r="G112" s="591"/>
      <c r="H112" s="591"/>
    </row>
    <row r="113" spans="1:6" ht="18.75" x14ac:dyDescent="0.25">
      <c r="A113" s="403"/>
      <c r="B113" s="402"/>
      <c r="C113" s="402"/>
      <c r="D113" s="403"/>
      <c r="E113" s="557"/>
      <c r="F113" s="422"/>
    </row>
    <row r="114" spans="1:6" ht="18.75" x14ac:dyDescent="0.25">
      <c r="A114" s="403"/>
      <c r="B114" s="402"/>
      <c r="C114" s="415"/>
      <c r="D114" s="403"/>
      <c r="E114" s="557"/>
      <c r="F114" s="427"/>
    </row>
    <row r="115" spans="1:6" ht="18.75" x14ac:dyDescent="0.25">
      <c r="A115" s="403"/>
      <c r="B115" s="402"/>
      <c r="C115" s="415"/>
      <c r="D115" s="403"/>
      <c r="E115" s="557"/>
      <c r="F115" s="427"/>
    </row>
    <row r="116" spans="1:6" ht="18.75" x14ac:dyDescent="0.25">
      <c r="A116" s="403"/>
      <c r="B116" s="402"/>
      <c r="C116" s="415"/>
      <c r="D116" s="403"/>
      <c r="E116" s="557"/>
      <c r="F116" s="427"/>
    </row>
    <row r="117" spans="1:6" ht="18.75" x14ac:dyDescent="0.25">
      <c r="A117" s="403"/>
      <c r="B117" s="402"/>
      <c r="C117" s="416"/>
      <c r="D117" s="407"/>
      <c r="E117" s="566"/>
      <c r="F117" s="426"/>
    </row>
    <row r="118" spans="1:6" ht="18.75" x14ac:dyDescent="0.25">
      <c r="A118" s="403"/>
      <c r="B118" s="402"/>
      <c r="C118" s="402"/>
      <c r="D118" s="403"/>
      <c r="E118" s="557"/>
      <c r="F118" s="405"/>
    </row>
    <row r="119" spans="1:6" ht="18.75" x14ac:dyDescent="0.25">
      <c r="A119" s="403"/>
      <c r="B119" s="408" t="s">
        <v>968</v>
      </c>
      <c r="C119" s="402"/>
      <c r="D119" s="403"/>
      <c r="E119" s="557"/>
      <c r="F119" s="405"/>
    </row>
    <row r="120" spans="1:6" ht="18.75" x14ac:dyDescent="0.25">
      <c r="A120" s="403"/>
      <c r="B120" s="416" t="s">
        <v>534</v>
      </c>
      <c r="C120" s="402"/>
      <c r="D120" s="403"/>
      <c r="E120" s="566" t="s">
        <v>15</v>
      </c>
      <c r="F120" s="296">
        <f>F81+F83+F89+F102+F111+F91+F93</f>
        <v>4351600</v>
      </c>
    </row>
    <row r="121" spans="1:6" ht="18.75" x14ac:dyDescent="0.25">
      <c r="A121" s="403"/>
      <c r="B121" s="401" t="s">
        <v>543</v>
      </c>
      <c r="C121" s="402"/>
      <c r="D121" s="403"/>
      <c r="E121" s="557"/>
      <c r="F121" s="405"/>
    </row>
    <row r="122" spans="1:6" ht="18.75" x14ac:dyDescent="0.25">
      <c r="A122" s="403"/>
      <c r="B122" s="402"/>
      <c r="C122" s="402"/>
      <c r="D122" s="403"/>
      <c r="E122" s="557"/>
      <c r="F122" s="405"/>
    </row>
    <row r="123" spans="1:6" ht="18.75" x14ac:dyDescent="0.25">
      <c r="A123" s="403"/>
      <c r="B123" s="408" t="s">
        <v>602</v>
      </c>
      <c r="C123" s="402"/>
      <c r="D123" s="403"/>
      <c r="E123" s="557"/>
      <c r="F123" s="424"/>
    </row>
    <row r="124" spans="1:6" ht="36" x14ac:dyDescent="0.25">
      <c r="A124" s="403"/>
      <c r="B124" s="505" t="s">
        <v>203</v>
      </c>
      <c r="C124" s="416"/>
      <c r="D124" s="407"/>
      <c r="E124" s="566"/>
      <c r="F124" s="418"/>
    </row>
    <row r="125" spans="1:6" ht="18.75" x14ac:dyDescent="0.25">
      <c r="A125" s="403"/>
      <c r="B125" s="416"/>
      <c r="C125" s="416"/>
      <c r="D125" s="407"/>
      <c r="E125" s="566"/>
      <c r="F125" s="418"/>
    </row>
    <row r="126" spans="1:6" ht="33" x14ac:dyDescent="0.25">
      <c r="A126" s="403"/>
      <c r="B126" s="421" t="s">
        <v>603</v>
      </c>
      <c r="C126" s="402"/>
      <c r="D126" s="403"/>
      <c r="E126" s="557"/>
      <c r="F126" s="424"/>
    </row>
    <row r="127" spans="1:6" ht="56.25" customHeight="1" x14ac:dyDescent="0.3">
      <c r="A127" s="403"/>
      <c r="B127" s="592" t="s">
        <v>1060</v>
      </c>
      <c r="C127" s="402"/>
      <c r="D127" s="403"/>
      <c r="E127" s="557"/>
      <c r="F127" s="405"/>
    </row>
    <row r="128" spans="1:6" ht="18.75" x14ac:dyDescent="0.25">
      <c r="A128" s="403"/>
      <c r="B128" s="421"/>
      <c r="C128" s="402"/>
      <c r="D128" s="403"/>
      <c r="E128" s="557"/>
      <c r="F128" s="405"/>
    </row>
    <row r="129" spans="1:6" ht="18.75" x14ac:dyDescent="0.25">
      <c r="A129" s="403" t="s">
        <v>2</v>
      </c>
      <c r="B129" s="402" t="s">
        <v>1090</v>
      </c>
      <c r="C129" s="402">
        <v>1</v>
      </c>
      <c r="D129" s="403" t="s">
        <v>3</v>
      </c>
      <c r="E129" s="557">
        <v>180000</v>
      </c>
      <c r="F129" s="424">
        <f>C129*E129</f>
        <v>180000</v>
      </c>
    </row>
    <row r="130" spans="1:6" ht="18.75" x14ac:dyDescent="0.25">
      <c r="A130" s="403"/>
      <c r="B130" s="402"/>
      <c r="C130" s="402"/>
      <c r="D130" s="403"/>
      <c r="E130" s="557"/>
      <c r="F130" s="424"/>
    </row>
    <row r="131" spans="1:6" ht="18.75" x14ac:dyDescent="0.25">
      <c r="A131" s="403" t="s">
        <v>4</v>
      </c>
      <c r="B131" s="402" t="s">
        <v>1062</v>
      </c>
      <c r="C131" s="402">
        <v>2</v>
      </c>
      <c r="D131" s="403" t="s">
        <v>3</v>
      </c>
      <c r="E131" s="557">
        <v>87750</v>
      </c>
      <c r="F131" s="424">
        <f>C131*E131</f>
        <v>175500</v>
      </c>
    </row>
    <row r="132" spans="1:6" ht="18.75" x14ac:dyDescent="0.25">
      <c r="A132" s="403"/>
      <c r="B132" s="402"/>
      <c r="C132" s="402"/>
      <c r="D132" s="403"/>
      <c r="E132" s="557"/>
      <c r="F132" s="424"/>
    </row>
    <row r="133" spans="1:6" ht="56.25" customHeight="1" x14ac:dyDescent="0.3">
      <c r="A133" s="403"/>
      <c r="B133" s="592" t="s">
        <v>1063</v>
      </c>
      <c r="C133" s="402"/>
      <c r="D133" s="403"/>
      <c r="E133" s="557"/>
      <c r="F133" s="405"/>
    </row>
    <row r="134" spans="1:6" ht="18.75" x14ac:dyDescent="0.25">
      <c r="A134" s="403"/>
      <c r="B134" s="421"/>
      <c r="C134" s="402"/>
      <c r="D134" s="403"/>
      <c r="E134" s="557"/>
      <c r="F134" s="424"/>
    </row>
    <row r="135" spans="1:6" ht="18.75" x14ac:dyDescent="0.25">
      <c r="A135" s="403" t="s">
        <v>6</v>
      </c>
      <c r="B135" s="421" t="s">
        <v>1091</v>
      </c>
      <c r="C135" s="402">
        <v>1</v>
      </c>
      <c r="D135" s="403" t="s">
        <v>3</v>
      </c>
      <c r="E135" s="557">
        <v>23400</v>
      </c>
      <c r="F135" s="424">
        <f>C135*E135</f>
        <v>23400</v>
      </c>
    </row>
    <row r="136" spans="1:6" ht="18.75" x14ac:dyDescent="0.25">
      <c r="A136" s="403"/>
      <c r="B136" s="421"/>
      <c r="C136" s="402"/>
      <c r="D136" s="403"/>
      <c r="E136" s="557"/>
      <c r="F136" s="424"/>
    </row>
    <row r="137" spans="1:6" ht="33" customHeight="1" x14ac:dyDescent="0.3">
      <c r="A137" s="403"/>
      <c r="B137" s="572" t="s">
        <v>1066</v>
      </c>
      <c r="C137" s="402"/>
      <c r="D137" s="403"/>
      <c r="E137" s="557"/>
      <c r="F137" s="424"/>
    </row>
    <row r="138" spans="1:6" ht="18.75" x14ac:dyDescent="0.25">
      <c r="A138" s="403"/>
      <c r="B138" s="408"/>
      <c r="C138" s="402"/>
      <c r="D138" s="403"/>
      <c r="E138" s="557"/>
      <c r="F138" s="422"/>
    </row>
    <row r="139" spans="1:6" ht="18.75" x14ac:dyDescent="0.25">
      <c r="A139" s="403" t="s">
        <v>7</v>
      </c>
      <c r="B139" s="402" t="s">
        <v>1067</v>
      </c>
      <c r="C139" s="402">
        <v>2</v>
      </c>
      <c r="D139" s="403" t="s">
        <v>3</v>
      </c>
      <c r="E139" s="557">
        <v>285900</v>
      </c>
      <c r="F139" s="501">
        <f>C139*E139</f>
        <v>571800</v>
      </c>
    </row>
    <row r="140" spans="1:6" ht="18.75" x14ac:dyDescent="0.25">
      <c r="A140" s="403"/>
      <c r="B140" s="409"/>
      <c r="C140" s="402"/>
      <c r="D140" s="403"/>
      <c r="E140" s="557"/>
      <c r="F140" s="405"/>
    </row>
    <row r="141" spans="1:6" ht="18.75" x14ac:dyDescent="0.25">
      <c r="A141" s="403"/>
      <c r="B141" s="415"/>
      <c r="C141" s="402"/>
      <c r="D141" s="403"/>
      <c r="E141" s="557"/>
      <c r="F141" s="405"/>
    </row>
    <row r="142" spans="1:6" ht="18.75" x14ac:dyDescent="0.25">
      <c r="A142" s="403"/>
      <c r="B142" s="415"/>
      <c r="C142" s="402"/>
      <c r="D142" s="403"/>
      <c r="E142" s="557"/>
      <c r="F142" s="405"/>
    </row>
    <row r="143" spans="1:6" ht="18.75" x14ac:dyDescent="0.25">
      <c r="A143" s="403"/>
      <c r="B143" s="415"/>
      <c r="C143" s="402"/>
      <c r="D143" s="403"/>
      <c r="E143" s="557"/>
      <c r="F143" s="405"/>
    </row>
    <row r="144" spans="1:6" ht="18.75" x14ac:dyDescent="0.25">
      <c r="A144" s="403"/>
      <c r="B144" s="415"/>
      <c r="C144" s="402"/>
      <c r="D144" s="403"/>
      <c r="E144" s="557"/>
      <c r="F144" s="405"/>
    </row>
    <row r="145" spans="1:6" ht="18.75" x14ac:dyDescent="0.25">
      <c r="A145" s="403"/>
      <c r="B145" s="402"/>
      <c r="C145" s="402"/>
      <c r="D145" s="403"/>
      <c r="E145" s="557"/>
      <c r="F145" s="405"/>
    </row>
    <row r="146" spans="1:6" ht="18.75" x14ac:dyDescent="0.25">
      <c r="A146" s="403"/>
      <c r="B146" s="402"/>
      <c r="C146" s="402"/>
      <c r="D146" s="403"/>
      <c r="E146" s="557"/>
      <c r="F146" s="405"/>
    </row>
    <row r="147" spans="1:6" ht="18.75" x14ac:dyDescent="0.25">
      <c r="A147" s="403"/>
      <c r="B147" s="408" t="s">
        <v>200</v>
      </c>
      <c r="C147" s="402"/>
      <c r="D147" s="403"/>
      <c r="E147" s="557"/>
      <c r="F147" s="405"/>
    </row>
    <row r="148" spans="1:6" ht="18.75" x14ac:dyDescent="0.25">
      <c r="A148" s="403"/>
      <c r="B148" s="416" t="s">
        <v>534</v>
      </c>
      <c r="C148" s="402"/>
      <c r="D148" s="403"/>
      <c r="E148" s="566" t="s">
        <v>15</v>
      </c>
      <c r="F148" s="296">
        <f>SUM(F126:F143)</f>
        <v>950700</v>
      </c>
    </row>
    <row r="149" spans="1:6" ht="18.75" x14ac:dyDescent="0.25">
      <c r="A149" s="403"/>
      <c r="B149" s="408" t="s">
        <v>548</v>
      </c>
      <c r="C149" s="402"/>
      <c r="D149" s="403"/>
      <c r="E149" s="557"/>
      <c r="F149" s="424"/>
    </row>
    <row r="150" spans="1:6" ht="18.75" x14ac:dyDescent="0.25">
      <c r="A150" s="403"/>
      <c r="B150" s="416"/>
      <c r="C150" s="402"/>
      <c r="D150" s="403"/>
      <c r="E150" s="557"/>
      <c r="F150" s="424"/>
    </row>
    <row r="151" spans="1:6" ht="18.75" x14ac:dyDescent="0.25">
      <c r="A151" s="403"/>
      <c r="B151" s="408" t="s">
        <v>213</v>
      </c>
      <c r="C151" s="402"/>
      <c r="D151" s="403"/>
      <c r="E151" s="557"/>
      <c r="F151" s="424"/>
    </row>
    <row r="152" spans="1:6" ht="18.75" x14ac:dyDescent="0.25">
      <c r="A152" s="403"/>
      <c r="B152" s="402"/>
      <c r="C152" s="402"/>
      <c r="D152" s="403"/>
      <c r="E152" s="557"/>
      <c r="F152" s="424"/>
    </row>
    <row r="153" spans="1:6" ht="18.75" x14ac:dyDescent="0.25">
      <c r="A153" s="403"/>
      <c r="B153" s="408" t="s">
        <v>606</v>
      </c>
      <c r="C153" s="402"/>
      <c r="D153" s="403"/>
      <c r="E153" s="557"/>
      <c r="F153" s="424"/>
    </row>
    <row r="154" spans="1:6" ht="18.75" x14ac:dyDescent="0.25">
      <c r="A154" s="403"/>
      <c r="B154" s="402"/>
      <c r="C154" s="402"/>
      <c r="D154" s="403"/>
      <c r="E154" s="557"/>
      <c r="F154" s="424"/>
    </row>
    <row r="155" spans="1:6" ht="26.25" x14ac:dyDescent="0.25">
      <c r="A155" s="403"/>
      <c r="B155" s="593" t="s">
        <v>1092</v>
      </c>
      <c r="C155" s="402"/>
      <c r="D155" s="403"/>
      <c r="E155" s="557"/>
      <c r="F155" s="424"/>
    </row>
    <row r="156" spans="1:6" ht="18.75" x14ac:dyDescent="0.25">
      <c r="A156" s="403"/>
      <c r="B156" s="408"/>
      <c r="C156" s="402"/>
      <c r="D156" s="403"/>
      <c r="E156" s="557"/>
      <c r="F156" s="501"/>
    </row>
    <row r="157" spans="1:6" ht="18.75" x14ac:dyDescent="0.25">
      <c r="A157" s="403" t="s">
        <v>2</v>
      </c>
      <c r="B157" s="402" t="s">
        <v>894</v>
      </c>
      <c r="C157" s="402"/>
      <c r="D157" s="403" t="s">
        <v>3</v>
      </c>
      <c r="E157" s="557">
        <v>171000</v>
      </c>
      <c r="F157" s="501">
        <f>C157*E157</f>
        <v>0</v>
      </c>
    </row>
    <row r="158" spans="1:6" ht="18.75" x14ac:dyDescent="0.25">
      <c r="A158" s="403"/>
      <c r="B158" s="402"/>
      <c r="C158" s="402"/>
      <c r="D158" s="403"/>
      <c r="E158" s="557"/>
      <c r="F158" s="501"/>
    </row>
    <row r="159" spans="1:6" ht="18.75" x14ac:dyDescent="0.25">
      <c r="A159" s="403" t="s">
        <v>4</v>
      </c>
      <c r="B159" s="402" t="s">
        <v>893</v>
      </c>
      <c r="C159" s="402">
        <v>1</v>
      </c>
      <c r="D159" s="403" t="s">
        <v>3</v>
      </c>
      <c r="E159" s="557">
        <v>141750</v>
      </c>
      <c r="F159" s="501">
        <f>C159*E159</f>
        <v>141750</v>
      </c>
    </row>
    <row r="160" spans="1:6" ht="18.75" x14ac:dyDescent="0.25">
      <c r="A160" s="403"/>
      <c r="B160" s="408"/>
      <c r="C160" s="402"/>
      <c r="D160" s="403"/>
      <c r="E160" s="557"/>
      <c r="F160" s="501"/>
    </row>
    <row r="161" spans="1:6" ht="18.75" x14ac:dyDescent="0.25">
      <c r="A161" s="403"/>
      <c r="B161" s="408"/>
      <c r="C161" s="402"/>
      <c r="D161" s="403"/>
      <c r="E161" s="557"/>
      <c r="F161" s="501"/>
    </row>
    <row r="162" spans="1:6" ht="18.75" x14ac:dyDescent="0.25">
      <c r="A162" s="403"/>
      <c r="B162" s="415"/>
      <c r="C162" s="402"/>
      <c r="D162" s="403"/>
      <c r="E162" s="557"/>
      <c r="F162" s="424"/>
    </row>
    <row r="163" spans="1:6" ht="18.75" x14ac:dyDescent="0.25">
      <c r="A163" s="403"/>
      <c r="B163" s="415"/>
      <c r="C163" s="402"/>
      <c r="D163" s="403"/>
      <c r="E163" s="557"/>
      <c r="F163" s="424"/>
    </row>
    <row r="164" spans="1:6" ht="18.75" x14ac:dyDescent="0.25">
      <c r="A164" s="403"/>
      <c r="B164" s="415"/>
      <c r="C164" s="402"/>
      <c r="D164" s="403"/>
      <c r="E164" s="557"/>
      <c r="F164" s="424"/>
    </row>
    <row r="165" spans="1:6" ht="18.75" x14ac:dyDescent="0.25">
      <c r="A165" s="403"/>
      <c r="B165" s="415"/>
      <c r="C165" s="402"/>
      <c r="D165" s="403"/>
      <c r="E165" s="557"/>
      <c r="F165" s="424"/>
    </row>
    <row r="166" spans="1:6" ht="18.75" x14ac:dyDescent="0.25">
      <c r="A166" s="403"/>
      <c r="B166" s="415"/>
      <c r="C166" s="402"/>
      <c r="D166" s="403"/>
      <c r="E166" s="557"/>
      <c r="F166" s="424"/>
    </row>
    <row r="167" spans="1:6" ht="18.75" x14ac:dyDescent="0.25">
      <c r="A167" s="403"/>
      <c r="B167" s="415"/>
      <c r="C167" s="402"/>
      <c r="D167" s="403"/>
      <c r="E167" s="557"/>
      <c r="F167" s="424"/>
    </row>
    <row r="168" spans="1:6" ht="18.75" x14ac:dyDescent="0.25">
      <c r="A168" s="403"/>
      <c r="B168" s="415"/>
      <c r="C168" s="402"/>
      <c r="D168" s="403"/>
      <c r="E168" s="557"/>
      <c r="F168" s="424"/>
    </row>
    <row r="169" spans="1:6" ht="18.75" x14ac:dyDescent="0.25">
      <c r="A169" s="403"/>
      <c r="B169" s="415"/>
      <c r="C169" s="402"/>
      <c r="D169" s="403"/>
      <c r="E169" s="557"/>
      <c r="F169" s="424"/>
    </row>
    <row r="170" spans="1:6" ht="18.75" x14ac:dyDescent="0.25">
      <c r="A170" s="403"/>
      <c r="B170" s="415"/>
      <c r="C170" s="402"/>
      <c r="D170" s="403"/>
      <c r="E170" s="557"/>
      <c r="F170" s="424"/>
    </row>
    <row r="171" spans="1:6" ht="18.75" x14ac:dyDescent="0.25">
      <c r="A171" s="403"/>
      <c r="B171" s="408" t="s">
        <v>607</v>
      </c>
      <c r="C171" s="416"/>
      <c r="D171" s="407"/>
      <c r="E171" s="566"/>
      <c r="F171" s="426"/>
    </row>
    <row r="172" spans="1:6" ht="18.75" x14ac:dyDescent="0.25">
      <c r="A172" s="403"/>
      <c r="B172" s="416" t="s">
        <v>534</v>
      </c>
      <c r="C172" s="416"/>
      <c r="D172" s="407"/>
      <c r="E172" s="566" t="s">
        <v>15</v>
      </c>
      <c r="F172" s="418">
        <f>SUM(F153:F171)</f>
        <v>141750</v>
      </c>
    </row>
    <row r="173" spans="1:6" ht="18.75" x14ac:dyDescent="0.25">
      <c r="A173" s="503"/>
      <c r="B173" s="401" t="s">
        <v>569</v>
      </c>
      <c r="C173" s="402"/>
      <c r="D173" s="403"/>
      <c r="E173" s="557"/>
      <c r="F173" s="424"/>
    </row>
    <row r="174" spans="1:6" ht="18.75" x14ac:dyDescent="0.25">
      <c r="A174" s="403"/>
      <c r="B174" s="402"/>
      <c r="C174" s="402"/>
      <c r="D174" s="403"/>
      <c r="E174" s="557"/>
      <c r="F174" s="424"/>
    </row>
    <row r="175" spans="1:6" ht="18.75" x14ac:dyDescent="0.25">
      <c r="A175" s="403"/>
      <c r="B175" s="408" t="s">
        <v>163</v>
      </c>
      <c r="C175" s="402"/>
      <c r="D175" s="403"/>
      <c r="E175" s="557"/>
      <c r="F175" s="424"/>
    </row>
    <row r="176" spans="1:6" ht="18.75" x14ac:dyDescent="0.25">
      <c r="A176" s="403"/>
      <c r="B176" s="402"/>
      <c r="C176" s="402"/>
      <c r="D176" s="403"/>
      <c r="E176" s="557"/>
      <c r="F176" s="424"/>
    </row>
    <row r="177" spans="1:6" ht="18.75" x14ac:dyDescent="0.25">
      <c r="A177" s="403"/>
      <c r="B177" s="409" t="s">
        <v>98</v>
      </c>
      <c r="C177" s="402"/>
      <c r="D177" s="403"/>
      <c r="E177" s="557"/>
      <c r="F177" s="424"/>
    </row>
    <row r="178" spans="1:6" ht="18.75" x14ac:dyDescent="0.25">
      <c r="A178" s="403"/>
      <c r="B178" s="402"/>
      <c r="C178" s="402"/>
      <c r="D178" s="403"/>
      <c r="E178" s="557"/>
      <c r="F178" s="424"/>
    </row>
    <row r="179" spans="1:6" ht="18.75" x14ac:dyDescent="0.25">
      <c r="A179" s="403"/>
      <c r="B179" s="415" t="s">
        <v>536</v>
      </c>
      <c r="C179" s="402"/>
      <c r="D179" s="403"/>
      <c r="E179" s="557"/>
      <c r="F179" s="424"/>
    </row>
    <row r="180" spans="1:6" ht="18.75" x14ac:dyDescent="0.25">
      <c r="A180" s="403"/>
      <c r="B180" s="415"/>
      <c r="C180" s="402"/>
      <c r="D180" s="403"/>
      <c r="E180" s="557"/>
      <c r="F180" s="424"/>
    </row>
    <row r="181" spans="1:6" ht="18.75" x14ac:dyDescent="0.25">
      <c r="A181" s="403"/>
      <c r="B181" s="415" t="s">
        <v>938</v>
      </c>
      <c r="C181" s="402"/>
      <c r="D181" s="403"/>
      <c r="E181" s="557"/>
      <c r="F181" s="424"/>
    </row>
    <row r="182" spans="1:6" ht="18.75" x14ac:dyDescent="0.25">
      <c r="A182" s="403"/>
      <c r="B182" s="402"/>
      <c r="C182" s="402"/>
      <c r="D182" s="403"/>
      <c r="E182" s="557"/>
      <c r="F182" s="424"/>
    </row>
    <row r="183" spans="1:6" ht="18.75" x14ac:dyDescent="0.25">
      <c r="A183" s="403" t="s">
        <v>2</v>
      </c>
      <c r="B183" s="402" t="s">
        <v>1093</v>
      </c>
      <c r="C183" s="402">
        <v>16</v>
      </c>
      <c r="D183" s="403" t="s">
        <v>935</v>
      </c>
      <c r="E183" s="557">
        <v>95000</v>
      </c>
      <c r="F183" s="424">
        <f>C183*E183</f>
        <v>1520000</v>
      </c>
    </row>
    <row r="184" spans="1:6" ht="18.75" x14ac:dyDescent="0.25">
      <c r="A184" s="403"/>
      <c r="B184" s="402"/>
      <c r="C184" s="402"/>
      <c r="D184" s="403"/>
      <c r="E184" s="557"/>
      <c r="F184" s="424"/>
    </row>
    <row r="185" spans="1:6" ht="18.75" x14ac:dyDescent="0.25">
      <c r="A185" s="503"/>
      <c r="B185" s="409" t="s">
        <v>102</v>
      </c>
      <c r="C185" s="402"/>
      <c r="D185" s="403"/>
      <c r="E185" s="557"/>
      <c r="F185" s="424"/>
    </row>
    <row r="186" spans="1:6" ht="18.75" x14ac:dyDescent="0.25">
      <c r="A186" s="403"/>
      <c r="B186" s="415"/>
      <c r="C186" s="402"/>
      <c r="D186" s="403"/>
      <c r="E186" s="557"/>
      <c r="F186" s="424"/>
    </row>
    <row r="187" spans="1:6" ht="33" x14ac:dyDescent="0.25">
      <c r="A187" s="403"/>
      <c r="B187" s="420" t="s">
        <v>570</v>
      </c>
      <c r="C187" s="402"/>
      <c r="D187" s="403"/>
      <c r="E187" s="557"/>
      <c r="F187" s="424"/>
    </row>
    <row r="188" spans="1:6" ht="18.75" x14ac:dyDescent="0.25">
      <c r="A188" s="403"/>
      <c r="B188" s="421"/>
      <c r="C188" s="591"/>
      <c r="D188" s="574"/>
      <c r="E188" s="575"/>
      <c r="F188" s="576"/>
    </row>
    <row r="189" spans="1:6" ht="18.75" x14ac:dyDescent="0.25">
      <c r="A189" s="403" t="s">
        <v>4</v>
      </c>
      <c r="B189" s="402" t="s">
        <v>988</v>
      </c>
      <c r="C189" s="402">
        <v>1565</v>
      </c>
      <c r="D189" s="403" t="s">
        <v>75</v>
      </c>
      <c r="E189" s="557">
        <v>1450</v>
      </c>
      <c r="F189" s="504">
        <f>C189*E189</f>
        <v>2269250</v>
      </c>
    </row>
    <row r="190" spans="1:6" ht="18.75" x14ac:dyDescent="0.25">
      <c r="A190" s="577"/>
      <c r="B190" s="402"/>
      <c r="C190" s="402"/>
      <c r="D190" s="403"/>
      <c r="E190" s="557"/>
      <c r="F190" s="504"/>
    </row>
    <row r="191" spans="1:6" ht="18.75" x14ac:dyDescent="0.25">
      <c r="A191" s="577"/>
      <c r="B191" s="402"/>
      <c r="C191" s="402"/>
      <c r="D191" s="403"/>
      <c r="E191" s="557"/>
      <c r="F191" s="504"/>
    </row>
    <row r="192" spans="1:6" ht="18.75" x14ac:dyDescent="0.25">
      <c r="A192" s="403"/>
      <c r="B192" s="409" t="s">
        <v>67</v>
      </c>
      <c r="C192" s="402"/>
      <c r="D192" s="403"/>
      <c r="E192" s="557"/>
      <c r="F192" s="424"/>
    </row>
    <row r="193" spans="1:6" ht="18.75" x14ac:dyDescent="0.25">
      <c r="A193" s="403"/>
      <c r="B193" s="402"/>
      <c r="C193" s="402"/>
      <c r="D193" s="403"/>
      <c r="E193" s="557"/>
      <c r="F193" s="424"/>
    </row>
    <row r="194" spans="1:6" ht="18.75" x14ac:dyDescent="0.25">
      <c r="A194" s="403"/>
      <c r="B194" s="415" t="s">
        <v>120</v>
      </c>
      <c r="C194" s="402"/>
      <c r="D194" s="403"/>
      <c r="E194" s="557"/>
      <c r="F194" s="424"/>
    </row>
    <row r="195" spans="1:6" ht="18.75" x14ac:dyDescent="0.25">
      <c r="A195" s="403"/>
      <c r="B195" s="402"/>
      <c r="C195" s="402"/>
      <c r="D195" s="403"/>
      <c r="E195" s="557"/>
      <c r="F195" s="424"/>
    </row>
    <row r="196" spans="1:6" ht="18.75" x14ac:dyDescent="0.25">
      <c r="A196" s="403" t="s">
        <v>7</v>
      </c>
      <c r="B196" s="421" t="s">
        <v>1094</v>
      </c>
      <c r="C196" s="402">
        <f>39+74</f>
        <v>113</v>
      </c>
      <c r="D196" s="403" t="s">
        <v>933</v>
      </c>
      <c r="E196" s="557">
        <v>8500</v>
      </c>
      <c r="F196" s="424">
        <f>C196*E196</f>
        <v>960500</v>
      </c>
    </row>
    <row r="197" spans="1:6" ht="18.75" x14ac:dyDescent="0.25">
      <c r="A197" s="403"/>
      <c r="B197" s="402"/>
      <c r="C197" s="402"/>
      <c r="D197" s="403"/>
      <c r="E197" s="557"/>
      <c r="F197" s="424"/>
    </row>
    <row r="198" spans="1:6" ht="18.75" x14ac:dyDescent="0.25">
      <c r="A198" s="403"/>
      <c r="B198" s="402"/>
      <c r="C198" s="402"/>
      <c r="D198" s="403"/>
      <c r="E198" s="557"/>
      <c r="F198" s="424"/>
    </row>
    <row r="199" spans="1:6" ht="18.75" x14ac:dyDescent="0.25">
      <c r="A199" s="403"/>
      <c r="B199" s="402"/>
      <c r="C199" s="402"/>
      <c r="D199" s="403"/>
      <c r="E199" s="557"/>
      <c r="F199" s="424"/>
    </row>
    <row r="200" spans="1:6" ht="18.75" x14ac:dyDescent="0.25">
      <c r="A200" s="403"/>
      <c r="B200" s="402"/>
      <c r="C200" s="402"/>
      <c r="D200" s="403"/>
      <c r="E200" s="557"/>
      <c r="F200" s="424"/>
    </row>
    <row r="201" spans="1:6" ht="18.75" x14ac:dyDescent="0.25">
      <c r="A201" s="403"/>
      <c r="B201" s="402"/>
      <c r="C201" s="402"/>
      <c r="D201" s="403"/>
      <c r="E201" s="557"/>
      <c r="F201" s="424"/>
    </row>
    <row r="202" spans="1:6" ht="18.75" x14ac:dyDescent="0.25">
      <c r="A202" s="403"/>
      <c r="B202" s="402"/>
      <c r="C202" s="402"/>
      <c r="D202" s="403"/>
      <c r="E202" s="557"/>
      <c r="F202" s="424"/>
    </row>
    <row r="203" spans="1:6" ht="18.75" x14ac:dyDescent="0.25">
      <c r="A203" s="403"/>
      <c r="B203" s="402"/>
      <c r="C203" s="402"/>
      <c r="D203" s="403"/>
      <c r="E203" s="557"/>
      <c r="F203" s="424"/>
    </row>
    <row r="204" spans="1:6" ht="18.75" x14ac:dyDescent="0.25">
      <c r="A204" s="403"/>
      <c r="B204" s="402"/>
      <c r="C204" s="402"/>
      <c r="D204" s="403"/>
      <c r="E204" s="557"/>
      <c r="F204" s="424"/>
    </row>
    <row r="205" spans="1:6" ht="18.75" x14ac:dyDescent="0.25">
      <c r="A205" s="403"/>
      <c r="B205" s="402"/>
      <c r="C205" s="402"/>
      <c r="D205" s="403"/>
      <c r="E205" s="557"/>
      <c r="F205" s="424"/>
    </row>
    <row r="206" spans="1:6" ht="18.75" x14ac:dyDescent="0.25">
      <c r="A206" s="403"/>
      <c r="B206" s="402"/>
      <c r="C206" s="402"/>
      <c r="D206" s="403"/>
      <c r="E206" s="557"/>
      <c r="F206" s="424"/>
    </row>
    <row r="207" spans="1:6" ht="18.75" x14ac:dyDescent="0.25">
      <c r="A207" s="403"/>
      <c r="B207" s="416" t="s">
        <v>520</v>
      </c>
      <c r="C207" s="416"/>
      <c r="D207" s="407"/>
      <c r="E207" s="566" t="s">
        <v>15</v>
      </c>
      <c r="F207" s="426">
        <f>SUM(F176:F205)</f>
        <v>4749750</v>
      </c>
    </row>
    <row r="208" spans="1:6" ht="18.75" x14ac:dyDescent="0.25">
      <c r="A208" s="403"/>
      <c r="B208" s="408" t="s">
        <v>573</v>
      </c>
      <c r="C208" s="402"/>
      <c r="D208" s="403"/>
      <c r="E208" s="557"/>
      <c r="F208" s="424"/>
    </row>
    <row r="209" spans="1:6" ht="18.75" x14ac:dyDescent="0.25">
      <c r="A209" s="403"/>
      <c r="B209" s="402"/>
      <c r="C209" s="402"/>
      <c r="D209" s="403"/>
      <c r="E209" s="557"/>
      <c r="F209" s="424"/>
    </row>
    <row r="210" spans="1:6" ht="49.5" x14ac:dyDescent="0.25">
      <c r="A210" s="403"/>
      <c r="B210" s="578" t="s">
        <v>574</v>
      </c>
      <c r="C210" s="402"/>
      <c r="D210" s="403"/>
      <c r="E210" s="557"/>
      <c r="F210" s="405"/>
    </row>
    <row r="211" spans="1:6" ht="18.75" x14ac:dyDescent="0.25">
      <c r="A211" s="403"/>
      <c r="B211" s="423"/>
      <c r="C211" s="402"/>
      <c r="D211" s="403"/>
      <c r="E211" s="557"/>
      <c r="F211" s="405"/>
    </row>
    <row r="212" spans="1:6" ht="18.75" x14ac:dyDescent="0.25">
      <c r="A212" s="403" t="s">
        <v>2</v>
      </c>
      <c r="B212" s="429" t="s">
        <v>1072</v>
      </c>
      <c r="C212" s="412"/>
      <c r="D212" s="403" t="s">
        <v>933</v>
      </c>
      <c r="E212" s="557">
        <v>10100</v>
      </c>
      <c r="F212" s="501">
        <f>C212*E212</f>
        <v>0</v>
      </c>
    </row>
    <row r="213" spans="1:6" ht="18.75" x14ac:dyDescent="0.25">
      <c r="A213" s="403"/>
      <c r="B213" s="411"/>
      <c r="C213" s="402"/>
      <c r="D213" s="403"/>
      <c r="E213" s="557"/>
      <c r="F213" s="501"/>
    </row>
    <row r="214" spans="1:6" ht="18.75" x14ac:dyDescent="0.25">
      <c r="A214" s="403" t="s">
        <v>4</v>
      </c>
      <c r="B214" s="402" t="s">
        <v>1073</v>
      </c>
      <c r="C214" s="402"/>
      <c r="D214" s="403" t="s">
        <v>22</v>
      </c>
      <c r="E214" s="557">
        <f>E212*0.3</f>
        <v>3030</v>
      </c>
      <c r="F214" s="501">
        <f>C214*E214</f>
        <v>0</v>
      </c>
    </row>
    <row r="215" spans="1:6" ht="18.75" x14ac:dyDescent="0.25">
      <c r="A215" s="403"/>
      <c r="B215" s="402"/>
      <c r="C215" s="402"/>
      <c r="D215" s="403"/>
      <c r="E215" s="557"/>
      <c r="F215" s="501"/>
    </row>
    <row r="216" spans="1:6" ht="18.75" x14ac:dyDescent="0.25">
      <c r="A216" s="403"/>
      <c r="B216" s="402"/>
      <c r="C216" s="402"/>
      <c r="D216" s="403"/>
      <c r="E216" s="557"/>
      <c r="F216" s="501"/>
    </row>
    <row r="217" spans="1:6" ht="36" x14ac:dyDescent="0.25">
      <c r="A217" s="403"/>
      <c r="B217" s="505" t="s">
        <v>577</v>
      </c>
      <c r="C217" s="402"/>
      <c r="D217" s="403"/>
      <c r="E217" s="557"/>
      <c r="F217" s="501"/>
    </row>
    <row r="218" spans="1:6" ht="18.75" x14ac:dyDescent="0.25">
      <c r="A218" s="403"/>
      <c r="B218" s="402"/>
      <c r="C218" s="402"/>
      <c r="D218" s="403"/>
      <c r="E218" s="557"/>
      <c r="F218" s="405"/>
    </row>
    <row r="219" spans="1:6" ht="33" x14ac:dyDescent="0.25">
      <c r="A219" s="403"/>
      <c r="B219" s="420" t="s">
        <v>187</v>
      </c>
      <c r="C219" s="402"/>
      <c r="D219" s="403"/>
      <c r="E219" s="557"/>
      <c r="F219" s="405"/>
    </row>
    <row r="220" spans="1:6" ht="18.75" x14ac:dyDescent="0.25">
      <c r="A220" s="403"/>
      <c r="B220" s="402"/>
      <c r="C220" s="402"/>
      <c r="D220" s="403"/>
      <c r="E220" s="557"/>
      <c r="F220" s="405"/>
    </row>
    <row r="221" spans="1:6" ht="18.75" x14ac:dyDescent="0.25">
      <c r="A221" s="403" t="s">
        <v>5</v>
      </c>
      <c r="B221" s="402" t="s">
        <v>678</v>
      </c>
      <c r="C221" s="412"/>
      <c r="D221" s="403" t="s">
        <v>22</v>
      </c>
      <c r="E221" s="557">
        <v>800</v>
      </c>
      <c r="F221" s="501">
        <f>C221*E221</f>
        <v>0</v>
      </c>
    </row>
    <row r="222" spans="1:6" ht="18.75" x14ac:dyDescent="0.25">
      <c r="A222" s="403"/>
      <c r="B222" s="402"/>
      <c r="C222" s="402"/>
      <c r="D222" s="403"/>
      <c r="E222" s="557"/>
      <c r="F222" s="405"/>
    </row>
    <row r="223" spans="1:6" ht="18.75" x14ac:dyDescent="0.25">
      <c r="A223" s="403" t="s">
        <v>6</v>
      </c>
      <c r="B223" s="402" t="s">
        <v>188</v>
      </c>
      <c r="C223" s="412"/>
      <c r="D223" s="403" t="s">
        <v>22</v>
      </c>
      <c r="E223" s="557">
        <f>E221</f>
        <v>800</v>
      </c>
      <c r="F223" s="501">
        <f>C223*E223</f>
        <v>0</v>
      </c>
    </row>
    <row r="224" spans="1:6" ht="18.75" x14ac:dyDescent="0.25">
      <c r="A224" s="403"/>
      <c r="B224" s="402"/>
      <c r="C224" s="402"/>
      <c r="D224" s="403"/>
      <c r="E224" s="557"/>
      <c r="F224" s="405"/>
    </row>
    <row r="225" spans="1:6" ht="18.75" x14ac:dyDescent="0.25">
      <c r="A225" s="403" t="s">
        <v>7</v>
      </c>
      <c r="B225" s="402" t="s">
        <v>1074</v>
      </c>
      <c r="C225" s="412"/>
      <c r="D225" s="403" t="s">
        <v>22</v>
      </c>
      <c r="E225" s="557">
        <f>E221</f>
        <v>800</v>
      </c>
      <c r="F225" s="501">
        <f>C225*E225</f>
        <v>0</v>
      </c>
    </row>
    <row r="226" spans="1:6" ht="18.75" x14ac:dyDescent="0.25">
      <c r="A226" s="403"/>
      <c r="B226" s="402"/>
      <c r="C226" s="402"/>
      <c r="D226" s="403"/>
      <c r="E226" s="557"/>
      <c r="F226" s="405"/>
    </row>
    <row r="227" spans="1:6" ht="18.75" x14ac:dyDescent="0.25">
      <c r="A227" s="403" t="s">
        <v>8</v>
      </c>
      <c r="B227" s="402" t="s">
        <v>580</v>
      </c>
      <c r="C227" s="412"/>
      <c r="D227" s="403" t="s">
        <v>22</v>
      </c>
      <c r="E227" s="557">
        <f>E221</f>
        <v>800</v>
      </c>
      <c r="F227" s="501">
        <f>C227*E227</f>
        <v>0</v>
      </c>
    </row>
    <row r="228" spans="1:6" ht="18.75" x14ac:dyDescent="0.25">
      <c r="A228" s="403"/>
      <c r="B228" s="402"/>
      <c r="C228" s="402"/>
      <c r="D228" s="403"/>
      <c r="E228" s="557"/>
      <c r="F228" s="501"/>
    </row>
    <row r="229" spans="1:6" ht="18.75" x14ac:dyDescent="0.25">
      <c r="A229" s="403" t="s">
        <v>9</v>
      </c>
      <c r="B229" s="402" t="s">
        <v>191</v>
      </c>
      <c r="C229" s="412"/>
      <c r="D229" s="403" t="s">
        <v>22</v>
      </c>
      <c r="E229" s="557">
        <v>550</v>
      </c>
      <c r="F229" s="501">
        <f>C229*E229</f>
        <v>0</v>
      </c>
    </row>
    <row r="230" spans="1:6" ht="18.75" x14ac:dyDescent="0.25">
      <c r="A230" s="403"/>
      <c r="B230" s="402"/>
      <c r="C230" s="412"/>
      <c r="D230" s="403"/>
      <c r="E230" s="557"/>
      <c r="F230" s="501"/>
    </row>
    <row r="231" spans="1:6" ht="18.75" x14ac:dyDescent="0.25">
      <c r="A231" s="403"/>
      <c r="B231" s="402"/>
      <c r="C231" s="412"/>
      <c r="D231" s="403"/>
      <c r="E231" s="557"/>
      <c r="F231" s="501"/>
    </row>
    <row r="232" spans="1:6" ht="18.75" x14ac:dyDescent="0.25">
      <c r="A232" s="403"/>
      <c r="B232" s="409" t="s">
        <v>84</v>
      </c>
      <c r="C232" s="416"/>
      <c r="D232" s="407"/>
      <c r="E232" s="566"/>
      <c r="F232" s="418"/>
    </row>
    <row r="233" spans="1:6" ht="18.75" x14ac:dyDescent="0.25">
      <c r="A233" s="403"/>
      <c r="B233" s="419"/>
      <c r="C233" s="416"/>
      <c r="D233" s="407"/>
      <c r="E233" s="566"/>
      <c r="F233" s="418"/>
    </row>
    <row r="234" spans="1:6" ht="33" x14ac:dyDescent="0.25">
      <c r="A234" s="403"/>
      <c r="B234" s="420" t="s">
        <v>582</v>
      </c>
      <c r="C234" s="416"/>
      <c r="D234" s="407"/>
      <c r="E234" s="566"/>
      <c r="F234" s="418"/>
    </row>
    <row r="235" spans="1:6" ht="18.75" x14ac:dyDescent="0.25">
      <c r="A235" s="403"/>
      <c r="B235" s="420"/>
      <c r="C235" s="416"/>
      <c r="D235" s="407"/>
      <c r="E235" s="566"/>
      <c r="F235" s="418"/>
    </row>
    <row r="236" spans="1:6" ht="18.75" x14ac:dyDescent="0.25">
      <c r="A236" s="403" t="s">
        <v>10</v>
      </c>
      <c r="B236" s="421" t="s">
        <v>1075</v>
      </c>
      <c r="C236" s="402">
        <f>16+23</f>
        <v>39</v>
      </c>
      <c r="D236" s="403" t="s">
        <v>933</v>
      </c>
      <c r="E236" s="557">
        <v>10300</v>
      </c>
      <c r="F236" s="405">
        <f>C236*E236</f>
        <v>401700</v>
      </c>
    </row>
    <row r="237" spans="1:6" ht="18.75" x14ac:dyDescent="0.25">
      <c r="A237" s="403"/>
      <c r="B237" s="402"/>
      <c r="C237" s="402"/>
      <c r="D237" s="403"/>
      <c r="E237" s="557"/>
      <c r="F237" s="405"/>
    </row>
    <row r="238" spans="1:6" ht="18.75" x14ac:dyDescent="0.25">
      <c r="A238" s="403"/>
      <c r="B238" s="409" t="s">
        <v>147</v>
      </c>
      <c r="C238" s="402"/>
      <c r="D238" s="403"/>
      <c r="E238" s="557"/>
      <c r="F238" s="424"/>
    </row>
    <row r="239" spans="1:6" ht="18.75" x14ac:dyDescent="0.25">
      <c r="A239" s="403"/>
      <c r="B239" s="402"/>
      <c r="C239" s="402"/>
      <c r="D239" s="403"/>
      <c r="E239" s="557"/>
      <c r="F239" s="424"/>
    </row>
    <row r="240" spans="1:6" ht="33" x14ac:dyDescent="0.25">
      <c r="A240" s="403"/>
      <c r="B240" s="420" t="s">
        <v>583</v>
      </c>
      <c r="C240" s="402"/>
      <c r="D240" s="403"/>
      <c r="E240" s="557"/>
      <c r="F240" s="424"/>
    </row>
    <row r="241" spans="1:6" ht="18.75" x14ac:dyDescent="0.25">
      <c r="A241" s="403"/>
      <c r="B241" s="420"/>
      <c r="C241" s="402"/>
      <c r="D241" s="403"/>
      <c r="E241" s="557"/>
      <c r="F241" s="424"/>
    </row>
    <row r="242" spans="1:6" ht="18.75" x14ac:dyDescent="0.25">
      <c r="A242" s="403" t="s">
        <v>11</v>
      </c>
      <c r="B242" s="423" t="s">
        <v>1095</v>
      </c>
      <c r="C242" s="402">
        <f>C236*2</f>
        <v>78</v>
      </c>
      <c r="D242" s="403" t="s">
        <v>933</v>
      </c>
      <c r="E242" s="557">
        <v>3500</v>
      </c>
      <c r="F242" s="405">
        <f>C242*E242</f>
        <v>273000</v>
      </c>
    </row>
    <row r="243" spans="1:6" ht="18.75" x14ac:dyDescent="0.25">
      <c r="A243" s="403"/>
      <c r="B243" s="423"/>
      <c r="C243" s="402"/>
      <c r="D243" s="403"/>
      <c r="E243" s="557"/>
      <c r="F243" s="405"/>
    </row>
    <row r="244" spans="1:6" ht="18.75" x14ac:dyDescent="0.25">
      <c r="A244" s="403" t="s">
        <v>12</v>
      </c>
      <c r="B244" s="402" t="s">
        <v>1096</v>
      </c>
      <c r="C244" s="414">
        <v>22</v>
      </c>
      <c r="D244" s="403" t="s">
        <v>933</v>
      </c>
      <c r="E244" s="557">
        <f>E242</f>
        <v>3500</v>
      </c>
      <c r="F244" s="405">
        <f>C244*E244</f>
        <v>77000</v>
      </c>
    </row>
    <row r="245" spans="1:6" ht="18.75" x14ac:dyDescent="0.25">
      <c r="A245" s="403"/>
      <c r="B245" s="402"/>
      <c r="C245" s="402"/>
      <c r="D245" s="403"/>
      <c r="E245" s="557"/>
      <c r="F245" s="405"/>
    </row>
    <row r="246" spans="1:6" ht="18.75" x14ac:dyDescent="0.25">
      <c r="A246" s="403"/>
      <c r="B246" s="409" t="s">
        <v>585</v>
      </c>
      <c r="C246" s="402"/>
      <c r="D246" s="403"/>
      <c r="E246" s="557"/>
      <c r="F246" s="405"/>
    </row>
    <row r="247" spans="1:6" ht="18.75" x14ac:dyDescent="0.25">
      <c r="A247" s="403"/>
      <c r="B247" s="402"/>
      <c r="C247" s="402"/>
      <c r="D247" s="403"/>
      <c r="E247" s="557"/>
      <c r="F247" s="405"/>
    </row>
    <row r="248" spans="1:6" ht="18.75" x14ac:dyDescent="0.25">
      <c r="A248" s="403"/>
      <c r="B248" s="415" t="s">
        <v>560</v>
      </c>
      <c r="C248" s="402"/>
      <c r="D248" s="403"/>
      <c r="E248" s="557"/>
      <c r="F248" s="424"/>
    </row>
    <row r="249" spans="1:6" ht="18.75" x14ac:dyDescent="0.25">
      <c r="A249" s="403"/>
      <c r="B249" s="415"/>
      <c r="C249" s="402"/>
      <c r="D249" s="403"/>
      <c r="E249" s="557"/>
      <c r="F249" s="424"/>
    </row>
    <row r="250" spans="1:6" ht="18.75" x14ac:dyDescent="0.25">
      <c r="A250" s="403" t="s">
        <v>13</v>
      </c>
      <c r="B250" s="423" t="s">
        <v>1078</v>
      </c>
      <c r="C250" s="402">
        <v>82</v>
      </c>
      <c r="D250" s="403" t="s">
        <v>933</v>
      </c>
      <c r="E250" s="557">
        <v>3200</v>
      </c>
      <c r="F250" s="405">
        <f>C250*E250</f>
        <v>262400</v>
      </c>
    </row>
    <row r="251" spans="1:6" ht="18.75" x14ac:dyDescent="0.25">
      <c r="A251" s="403"/>
      <c r="B251" s="423"/>
      <c r="C251" s="402"/>
      <c r="D251" s="403"/>
      <c r="E251" s="557"/>
      <c r="F251" s="405"/>
    </row>
    <row r="252" spans="1:6" ht="18.75" x14ac:dyDescent="0.25">
      <c r="A252" s="403"/>
      <c r="B252" s="402"/>
      <c r="C252" s="402"/>
      <c r="D252" s="403"/>
      <c r="E252" s="557"/>
      <c r="F252" s="405"/>
    </row>
    <row r="253" spans="1:6" ht="18.75" x14ac:dyDescent="0.25">
      <c r="A253" s="403"/>
      <c r="B253" s="416"/>
      <c r="C253" s="416"/>
      <c r="D253" s="407"/>
      <c r="E253" s="566"/>
      <c r="F253" s="439"/>
    </row>
    <row r="254" spans="1:6" ht="18.75" x14ac:dyDescent="0.25">
      <c r="A254" s="403"/>
      <c r="B254" s="416"/>
      <c r="C254" s="416"/>
      <c r="D254" s="407"/>
      <c r="E254" s="566"/>
      <c r="F254" s="439"/>
    </row>
    <row r="255" spans="1:6" ht="18.75" x14ac:dyDescent="0.25">
      <c r="A255" s="403"/>
      <c r="B255" s="416"/>
      <c r="C255" s="416"/>
      <c r="D255" s="407"/>
      <c r="E255" s="566"/>
      <c r="F255" s="439"/>
    </row>
    <row r="256" spans="1:6" ht="18.75" x14ac:dyDescent="0.25">
      <c r="A256" s="403"/>
      <c r="B256" s="416"/>
      <c r="C256" s="416"/>
      <c r="D256" s="407"/>
      <c r="E256" s="566"/>
      <c r="F256" s="439"/>
    </row>
    <row r="257" spans="1:6" ht="18.75" x14ac:dyDescent="0.25">
      <c r="A257" s="403"/>
      <c r="B257" s="416"/>
      <c r="C257" s="416"/>
      <c r="D257" s="407"/>
      <c r="E257" s="566"/>
      <c r="F257" s="439"/>
    </row>
    <row r="258" spans="1:6" ht="18.75" x14ac:dyDescent="0.25">
      <c r="A258" s="403"/>
      <c r="B258" s="416"/>
      <c r="C258" s="416"/>
      <c r="D258" s="407"/>
      <c r="E258" s="566"/>
      <c r="F258" s="439"/>
    </row>
    <row r="259" spans="1:6" ht="18.75" x14ac:dyDescent="0.25">
      <c r="A259" s="403"/>
      <c r="B259" s="416" t="s">
        <v>520</v>
      </c>
      <c r="C259" s="416"/>
      <c r="D259" s="407"/>
      <c r="E259" s="566" t="s">
        <v>15</v>
      </c>
      <c r="F259" s="439">
        <f>SUM(F211:F250)</f>
        <v>1014100</v>
      </c>
    </row>
    <row r="260" spans="1:6" ht="18.75" x14ac:dyDescent="0.25">
      <c r="A260" s="403"/>
      <c r="B260" s="408" t="s">
        <v>573</v>
      </c>
      <c r="C260" s="402"/>
      <c r="D260" s="403"/>
      <c r="E260" s="557"/>
      <c r="F260" s="405"/>
    </row>
    <row r="261" spans="1:6" ht="18.75" x14ac:dyDescent="0.25">
      <c r="A261" s="403"/>
      <c r="B261" s="423"/>
      <c r="C261" s="402"/>
      <c r="D261" s="403"/>
      <c r="E261" s="557"/>
      <c r="F261" s="405"/>
    </row>
    <row r="262" spans="1:6" ht="18.75" x14ac:dyDescent="0.25">
      <c r="A262" s="403"/>
      <c r="B262" s="409" t="s">
        <v>592</v>
      </c>
      <c r="C262" s="402"/>
      <c r="D262" s="403"/>
      <c r="E262" s="557"/>
      <c r="F262" s="405"/>
    </row>
    <row r="263" spans="1:6" ht="18.75" x14ac:dyDescent="0.25">
      <c r="A263" s="403"/>
      <c r="B263" s="402"/>
      <c r="C263" s="402"/>
      <c r="D263" s="403"/>
      <c r="E263" s="557"/>
      <c r="F263" s="405"/>
    </row>
    <row r="264" spans="1:6" ht="33" x14ac:dyDescent="0.25">
      <c r="A264" s="403"/>
      <c r="B264" s="420" t="s">
        <v>970</v>
      </c>
      <c r="C264" s="402"/>
      <c r="D264" s="403"/>
      <c r="E264" s="557"/>
      <c r="F264" s="405"/>
    </row>
    <row r="265" spans="1:6" ht="18.75" x14ac:dyDescent="0.25">
      <c r="A265" s="403"/>
      <c r="B265" s="402"/>
      <c r="C265" s="402"/>
      <c r="D265" s="403"/>
      <c r="E265" s="557"/>
      <c r="F265" s="405"/>
    </row>
    <row r="266" spans="1:6" ht="18.75" x14ac:dyDescent="0.25">
      <c r="A266" s="403" t="s">
        <v>2</v>
      </c>
      <c r="B266" s="423" t="s">
        <v>24</v>
      </c>
      <c r="C266" s="402">
        <f>C236</f>
        <v>39</v>
      </c>
      <c r="D266" s="403" t="s">
        <v>35</v>
      </c>
      <c r="E266" s="557">
        <v>2200</v>
      </c>
      <c r="F266" s="501">
        <f>C266*E266</f>
        <v>85800</v>
      </c>
    </row>
    <row r="267" spans="1:6" ht="18.75" x14ac:dyDescent="0.25">
      <c r="A267" s="403"/>
      <c r="B267" s="423"/>
      <c r="C267" s="402"/>
      <c r="D267" s="403"/>
      <c r="E267" s="557"/>
      <c r="F267" s="501"/>
    </row>
    <row r="268" spans="1:6" ht="18.75" x14ac:dyDescent="0.25">
      <c r="A268" s="403" t="s">
        <v>4</v>
      </c>
      <c r="B268" s="402" t="s">
        <v>1077</v>
      </c>
      <c r="C268" s="414">
        <f>C244</f>
        <v>22</v>
      </c>
      <c r="D268" s="403" t="s">
        <v>35</v>
      </c>
      <c r="E268" s="557">
        <f>E266</f>
        <v>2200</v>
      </c>
      <c r="F268" s="501">
        <f>C268*E268</f>
        <v>48400</v>
      </c>
    </row>
    <row r="269" spans="1:6" ht="18.75" x14ac:dyDescent="0.25">
      <c r="A269" s="403"/>
      <c r="B269" s="402"/>
      <c r="C269" s="402"/>
      <c r="D269" s="403"/>
      <c r="E269" s="557"/>
      <c r="F269" s="501"/>
    </row>
    <row r="270" spans="1:6" ht="18.75" x14ac:dyDescent="0.25">
      <c r="A270" s="403"/>
      <c r="B270" s="402"/>
      <c r="C270" s="402"/>
      <c r="D270" s="403"/>
      <c r="E270" s="557"/>
      <c r="F270" s="501"/>
    </row>
    <row r="271" spans="1:6" ht="18.75" x14ac:dyDescent="0.25">
      <c r="A271" s="403"/>
      <c r="B271" s="416" t="s">
        <v>520</v>
      </c>
      <c r="C271" s="416"/>
      <c r="D271" s="407"/>
      <c r="E271" s="566" t="s">
        <v>15</v>
      </c>
      <c r="F271" s="418">
        <f>SUM(F261:F269)</f>
        <v>134200</v>
      </c>
    </row>
    <row r="272" spans="1:6" ht="18.75" x14ac:dyDescent="0.25">
      <c r="A272" s="403"/>
      <c r="B272" s="416"/>
      <c r="C272" s="416"/>
      <c r="D272" s="407"/>
      <c r="E272" s="566"/>
      <c r="F272" s="418"/>
    </row>
    <row r="273" spans="1:6" ht="18.75" x14ac:dyDescent="0.25">
      <c r="A273" s="403"/>
      <c r="B273" s="416"/>
      <c r="C273" s="416"/>
      <c r="D273" s="407"/>
      <c r="E273" s="566"/>
      <c r="F273" s="418"/>
    </row>
    <row r="274" spans="1:6" ht="18.75" x14ac:dyDescent="0.25">
      <c r="A274" s="403"/>
      <c r="B274" s="408" t="s">
        <v>531</v>
      </c>
      <c r="C274" s="402"/>
      <c r="D274" s="403"/>
      <c r="E274" s="557"/>
      <c r="F274" s="424"/>
    </row>
    <row r="275" spans="1:6" ht="18.75" x14ac:dyDescent="0.25">
      <c r="A275" s="403"/>
      <c r="B275" s="415"/>
      <c r="C275" s="402"/>
      <c r="D275" s="403"/>
      <c r="E275" s="557"/>
      <c r="F275" s="424"/>
    </row>
    <row r="276" spans="1:6" ht="18.75" x14ac:dyDescent="0.25">
      <c r="A276" s="403"/>
      <c r="B276" s="499" t="s">
        <v>1079</v>
      </c>
      <c r="C276" s="402"/>
      <c r="D276" s="403"/>
      <c r="E276" s="557">
        <f>F207</f>
        <v>4749750</v>
      </c>
      <c r="F276" s="424"/>
    </row>
    <row r="277" spans="1:6" ht="18.75" x14ac:dyDescent="0.25">
      <c r="A277" s="403"/>
      <c r="B277" s="499"/>
      <c r="C277" s="402"/>
      <c r="D277" s="403"/>
      <c r="E277" s="557"/>
      <c r="F277" s="424"/>
    </row>
    <row r="278" spans="1:6" ht="18.75" x14ac:dyDescent="0.25">
      <c r="A278" s="403"/>
      <c r="B278" s="499" t="s">
        <v>566</v>
      </c>
      <c r="C278" s="402"/>
      <c r="D278" s="403"/>
      <c r="E278" s="557">
        <f>F259</f>
        <v>1014100</v>
      </c>
      <c r="F278" s="424"/>
    </row>
    <row r="279" spans="1:6" ht="18.75" x14ac:dyDescent="0.25">
      <c r="A279" s="403"/>
      <c r="B279" s="499"/>
      <c r="C279" s="402"/>
      <c r="D279" s="403"/>
      <c r="E279" s="557"/>
      <c r="F279" s="405"/>
    </row>
    <row r="280" spans="1:6" ht="18.75" x14ac:dyDescent="0.25">
      <c r="A280" s="403"/>
      <c r="B280" s="499" t="s">
        <v>567</v>
      </c>
      <c r="C280" s="402"/>
      <c r="D280" s="403"/>
      <c r="E280" s="557">
        <f>F271</f>
        <v>134200</v>
      </c>
      <c r="F280" s="424"/>
    </row>
    <row r="281" spans="1:6" ht="18.75" x14ac:dyDescent="0.25">
      <c r="A281" s="403"/>
      <c r="B281" s="423"/>
      <c r="C281" s="402"/>
      <c r="D281" s="403"/>
      <c r="E281" s="557"/>
      <c r="F281" s="405"/>
    </row>
    <row r="282" spans="1:6" ht="18.75" x14ac:dyDescent="0.25">
      <c r="A282" s="403"/>
      <c r="B282" s="423"/>
      <c r="C282" s="402"/>
      <c r="D282" s="403"/>
      <c r="E282" s="557"/>
      <c r="F282" s="405"/>
    </row>
    <row r="283" spans="1:6" ht="18.75" x14ac:dyDescent="0.25">
      <c r="A283" s="403"/>
      <c r="B283" s="423"/>
      <c r="C283" s="402"/>
      <c r="D283" s="403"/>
      <c r="E283" s="557"/>
      <c r="F283" s="405"/>
    </row>
    <row r="284" spans="1:6" ht="18.75" x14ac:dyDescent="0.25">
      <c r="A284" s="403"/>
      <c r="B284" s="423"/>
      <c r="C284" s="402"/>
      <c r="D284" s="403"/>
      <c r="E284" s="557"/>
      <c r="F284" s="405"/>
    </row>
    <row r="285" spans="1:6" ht="18.75" x14ac:dyDescent="0.25">
      <c r="A285" s="403"/>
      <c r="B285" s="423"/>
      <c r="C285" s="402"/>
      <c r="D285" s="403"/>
      <c r="E285" s="557"/>
      <c r="F285" s="405"/>
    </row>
    <row r="286" spans="1:6" ht="18.75" x14ac:dyDescent="0.25">
      <c r="A286" s="403"/>
      <c r="B286" s="408" t="s">
        <v>163</v>
      </c>
      <c r="C286" s="402"/>
      <c r="D286" s="403"/>
      <c r="E286" s="557"/>
      <c r="F286" s="424"/>
    </row>
    <row r="287" spans="1:6" ht="18.75" x14ac:dyDescent="0.25">
      <c r="A287" s="403"/>
      <c r="B287" s="416" t="s">
        <v>534</v>
      </c>
      <c r="C287" s="416"/>
      <c r="D287" s="407"/>
      <c r="E287" s="566" t="s">
        <v>15</v>
      </c>
      <c r="F287" s="418">
        <f>SUM(E274:E281)</f>
        <v>5898050</v>
      </c>
    </row>
    <row r="288" spans="1:6" ht="18.75" x14ac:dyDescent="0.25">
      <c r="A288" s="403"/>
      <c r="B288" s="408" t="s">
        <v>593</v>
      </c>
      <c r="C288" s="402"/>
      <c r="D288" s="403"/>
      <c r="E288" s="557"/>
      <c r="F288" s="405"/>
    </row>
    <row r="289" spans="1:6" ht="18.75" x14ac:dyDescent="0.25">
      <c r="A289" s="403"/>
      <c r="B289" s="408"/>
      <c r="C289" s="402"/>
      <c r="D289" s="403"/>
      <c r="E289" s="557"/>
      <c r="F289" s="405"/>
    </row>
    <row r="290" spans="1:6" ht="18.75" x14ac:dyDescent="0.25">
      <c r="A290" s="403"/>
      <c r="B290" s="408" t="s">
        <v>236</v>
      </c>
      <c r="C290" s="402"/>
      <c r="D290" s="403"/>
      <c r="E290" s="557"/>
      <c r="F290" s="405"/>
    </row>
    <row r="291" spans="1:6" ht="18.75" x14ac:dyDescent="0.25">
      <c r="A291" s="403"/>
      <c r="B291" s="415" t="s">
        <v>610</v>
      </c>
      <c r="C291" s="402"/>
      <c r="D291" s="403"/>
      <c r="E291" s="557"/>
      <c r="F291" s="405"/>
    </row>
    <row r="292" spans="1:6" ht="18.75" x14ac:dyDescent="0.25">
      <c r="A292" s="403"/>
      <c r="B292" s="402"/>
      <c r="C292" s="402"/>
      <c r="D292" s="403"/>
      <c r="E292" s="557"/>
      <c r="F292" s="405"/>
    </row>
    <row r="293" spans="1:6" ht="18.75" x14ac:dyDescent="0.25">
      <c r="A293" s="403"/>
      <c r="B293" s="409" t="s">
        <v>283</v>
      </c>
      <c r="C293" s="402"/>
      <c r="D293" s="403"/>
      <c r="E293" s="557"/>
      <c r="F293" s="405"/>
    </row>
    <row r="294" spans="1:6" ht="33" x14ac:dyDescent="0.25">
      <c r="A294" s="403"/>
      <c r="B294" s="420" t="s">
        <v>611</v>
      </c>
      <c r="C294" s="402"/>
      <c r="D294" s="403"/>
      <c r="E294" s="557"/>
      <c r="F294" s="405"/>
    </row>
    <row r="295" spans="1:6" ht="18.75" x14ac:dyDescent="0.25">
      <c r="A295" s="403" t="s">
        <v>2</v>
      </c>
      <c r="B295" s="402" t="s">
        <v>612</v>
      </c>
      <c r="C295" s="412">
        <v>25</v>
      </c>
      <c r="D295" s="403" t="s">
        <v>35</v>
      </c>
      <c r="E295" s="557">
        <v>3500</v>
      </c>
      <c r="F295" s="405">
        <f>E295*C295</f>
        <v>87500</v>
      </c>
    </row>
    <row r="296" spans="1:6" ht="33" x14ac:dyDescent="0.25">
      <c r="A296" s="403" t="s">
        <v>4</v>
      </c>
      <c r="B296" s="421" t="s">
        <v>613</v>
      </c>
      <c r="C296" s="402">
        <v>16</v>
      </c>
      <c r="D296" s="403" t="s">
        <v>22</v>
      </c>
      <c r="E296" s="557">
        <f>E295*0.3</f>
        <v>1050</v>
      </c>
      <c r="F296" s="405">
        <f>E296*C296</f>
        <v>16800</v>
      </c>
    </row>
    <row r="297" spans="1:6" ht="18.75" x14ac:dyDescent="0.25">
      <c r="A297" s="403"/>
      <c r="B297" s="421"/>
      <c r="C297" s="402"/>
      <c r="D297" s="403"/>
      <c r="E297" s="557"/>
      <c r="F297" s="405"/>
    </row>
    <row r="298" spans="1:6" s="564" customFormat="1" ht="16.5" x14ac:dyDescent="0.25">
      <c r="A298" s="559"/>
      <c r="B298" s="579" t="s">
        <v>614</v>
      </c>
      <c r="C298" s="594"/>
      <c r="D298" s="559"/>
      <c r="E298" s="595"/>
      <c r="F298" s="562"/>
    </row>
    <row r="299" spans="1:6" s="564" customFormat="1" ht="16.5" x14ac:dyDescent="0.25">
      <c r="A299" s="559"/>
      <c r="B299" s="560" t="s">
        <v>615</v>
      </c>
      <c r="C299" s="596"/>
      <c r="D299" s="559"/>
      <c r="E299" s="595"/>
      <c r="F299" s="562"/>
    </row>
    <row r="300" spans="1:6" s="564" customFormat="1" ht="30" x14ac:dyDescent="0.25">
      <c r="A300" s="559"/>
      <c r="B300" s="582" t="s">
        <v>616</v>
      </c>
      <c r="C300" s="594"/>
      <c r="D300" s="559"/>
      <c r="E300" s="595"/>
      <c r="F300" s="562"/>
    </row>
    <row r="301" spans="1:6" s="564" customFormat="1" ht="16.5" x14ac:dyDescent="0.25">
      <c r="A301" s="559" t="s">
        <v>5</v>
      </c>
      <c r="B301" s="565" t="s">
        <v>617</v>
      </c>
      <c r="C301" s="594">
        <f>C295-C313</f>
        <v>25</v>
      </c>
      <c r="D301" s="559" t="s">
        <v>35</v>
      </c>
      <c r="E301" s="595">
        <v>1400</v>
      </c>
      <c r="F301" s="562">
        <f>E301*C301</f>
        <v>35000</v>
      </c>
    </row>
    <row r="302" spans="1:6" s="564" customFormat="1" ht="25.5" customHeight="1" x14ac:dyDescent="0.25">
      <c r="A302" s="559" t="s">
        <v>6</v>
      </c>
      <c r="B302" s="583" t="s">
        <v>618</v>
      </c>
      <c r="C302" s="594">
        <f>C296</f>
        <v>16</v>
      </c>
      <c r="D302" s="559" t="s">
        <v>22</v>
      </c>
      <c r="E302" s="595">
        <f>E301*0.3</f>
        <v>420</v>
      </c>
      <c r="F302" s="562">
        <f>E302*C302</f>
        <v>6720</v>
      </c>
    </row>
    <row r="303" spans="1:6" ht="18.75" x14ac:dyDescent="0.25">
      <c r="A303" s="403"/>
      <c r="B303" s="416" t="s">
        <v>152</v>
      </c>
      <c r="C303" s="403"/>
      <c r="D303" s="403"/>
      <c r="E303" s="557"/>
      <c r="F303" s="405"/>
    </row>
    <row r="304" spans="1:6" ht="33" x14ac:dyDescent="0.25">
      <c r="A304" s="403"/>
      <c r="B304" s="421" t="s">
        <v>619</v>
      </c>
      <c r="C304" s="402"/>
      <c r="D304" s="591"/>
      <c r="E304" s="557"/>
      <c r="F304" s="405"/>
    </row>
    <row r="305" spans="1:6" ht="18.75" x14ac:dyDescent="0.25">
      <c r="A305" s="403" t="s">
        <v>5</v>
      </c>
      <c r="B305" s="402" t="s">
        <v>612</v>
      </c>
      <c r="C305" s="432">
        <v>25</v>
      </c>
      <c r="D305" s="403" t="s">
        <v>35</v>
      </c>
      <c r="E305" s="557">
        <v>2200</v>
      </c>
      <c r="F305" s="405">
        <f>C305*E305</f>
        <v>55000</v>
      </c>
    </row>
    <row r="306" spans="1:6" ht="18.75" x14ac:dyDescent="0.25">
      <c r="A306" s="403" t="s">
        <v>6</v>
      </c>
      <c r="B306" s="402" t="s">
        <v>620</v>
      </c>
      <c r="C306" s="402">
        <f>C296</f>
        <v>16</v>
      </c>
      <c r="D306" s="403" t="s">
        <v>22</v>
      </c>
      <c r="E306" s="597">
        <f>E305*0.3</f>
        <v>660</v>
      </c>
      <c r="F306" s="405">
        <f>C306*E306</f>
        <v>10560</v>
      </c>
    </row>
    <row r="307" spans="1:6" ht="36" x14ac:dyDescent="0.25">
      <c r="A307" s="403"/>
      <c r="B307" s="434" t="s">
        <v>621</v>
      </c>
      <c r="C307" s="402"/>
      <c r="D307" s="403"/>
      <c r="E307" s="557"/>
      <c r="F307" s="405"/>
    </row>
    <row r="308" spans="1:6" ht="66" x14ac:dyDescent="0.25">
      <c r="A308" s="403"/>
      <c r="B308" s="421" t="s">
        <v>943</v>
      </c>
      <c r="C308" s="402"/>
      <c r="D308" s="403"/>
      <c r="E308" s="557"/>
      <c r="F308" s="405"/>
    </row>
    <row r="309" spans="1:6" ht="18.75" x14ac:dyDescent="0.25">
      <c r="A309" s="403" t="s">
        <v>7</v>
      </c>
      <c r="B309" s="402" t="s">
        <v>624</v>
      </c>
      <c r="C309" s="435">
        <v>16</v>
      </c>
      <c r="D309" s="403" t="s">
        <v>35</v>
      </c>
      <c r="E309" s="557">
        <v>7500</v>
      </c>
      <c r="F309" s="405">
        <f>E309*C309</f>
        <v>120000</v>
      </c>
    </row>
    <row r="310" spans="1:6" ht="18.75" x14ac:dyDescent="0.25">
      <c r="A310" s="403" t="s">
        <v>8</v>
      </c>
      <c r="B310" s="402" t="s">
        <v>623</v>
      </c>
      <c r="C310" s="435"/>
      <c r="D310" s="403" t="s">
        <v>35</v>
      </c>
      <c r="E310" s="557">
        <v>6500</v>
      </c>
      <c r="F310" s="405">
        <f>E310*C310</f>
        <v>0</v>
      </c>
    </row>
    <row r="311" spans="1:6" ht="18.75" x14ac:dyDescent="0.25">
      <c r="A311" s="403"/>
      <c r="B311" s="402"/>
      <c r="C311" s="584"/>
      <c r="D311" s="403"/>
      <c r="E311" s="557"/>
      <c r="F311" s="405"/>
    </row>
    <row r="312" spans="1:6" ht="54" x14ac:dyDescent="0.25">
      <c r="A312" s="403"/>
      <c r="B312" s="434" t="s">
        <v>625</v>
      </c>
      <c r="C312" s="402"/>
      <c r="D312" s="403"/>
      <c r="E312" s="557"/>
      <c r="F312" s="405"/>
    </row>
    <row r="313" spans="1:6" ht="18.75" x14ac:dyDescent="0.25">
      <c r="A313" s="403"/>
      <c r="B313" s="402" t="s">
        <v>626</v>
      </c>
      <c r="C313" s="402"/>
      <c r="D313" s="403"/>
      <c r="E313" s="557"/>
      <c r="F313" s="405"/>
    </row>
    <row r="314" spans="1:6" ht="18.75" x14ac:dyDescent="0.25">
      <c r="A314" s="403" t="s">
        <v>9</v>
      </c>
      <c r="B314" s="402" t="s">
        <v>627</v>
      </c>
      <c r="C314" s="412">
        <f>C309+C310</f>
        <v>16</v>
      </c>
      <c r="D314" s="403" t="s">
        <v>35</v>
      </c>
      <c r="E314" s="557">
        <v>2100</v>
      </c>
      <c r="F314" s="405">
        <f>E314*C314</f>
        <v>33600</v>
      </c>
    </row>
    <row r="315" spans="1:6" ht="18.75" x14ac:dyDescent="0.25">
      <c r="A315" s="403"/>
      <c r="B315" s="408" t="s">
        <v>628</v>
      </c>
      <c r="C315" s="414"/>
      <c r="D315" s="403"/>
      <c r="E315" s="557"/>
      <c r="F315" s="424"/>
    </row>
    <row r="316" spans="1:6" ht="18.75" x14ac:dyDescent="0.25">
      <c r="A316" s="403"/>
      <c r="B316" s="402" t="s">
        <v>629</v>
      </c>
      <c r="C316" s="414"/>
      <c r="D316" s="403"/>
      <c r="E316" s="557"/>
      <c r="F316" s="424"/>
    </row>
    <row r="317" spans="1:6" ht="33" x14ac:dyDescent="0.25">
      <c r="A317" s="403"/>
      <c r="B317" s="420" t="s">
        <v>630</v>
      </c>
      <c r="C317" s="414"/>
      <c r="D317" s="403"/>
      <c r="E317" s="557"/>
      <c r="F317" s="424"/>
    </row>
    <row r="318" spans="1:6" ht="18.75" x14ac:dyDescent="0.25">
      <c r="A318" s="403" t="s">
        <v>10</v>
      </c>
      <c r="B318" s="402" t="s">
        <v>612</v>
      </c>
      <c r="C318" s="414">
        <v>58</v>
      </c>
      <c r="D318" s="403" t="s">
        <v>35</v>
      </c>
      <c r="E318" s="557">
        <f>E295</f>
        <v>3500</v>
      </c>
      <c r="F318" s="405">
        <f>C318*E318</f>
        <v>203000</v>
      </c>
    </row>
    <row r="319" spans="1:6" ht="33" x14ac:dyDescent="0.25">
      <c r="A319" s="403" t="s">
        <v>11</v>
      </c>
      <c r="B319" s="429" t="s">
        <v>1080</v>
      </c>
      <c r="C319" s="414">
        <v>16</v>
      </c>
      <c r="D319" s="403" t="s">
        <v>22</v>
      </c>
      <c r="E319" s="557">
        <f>E296</f>
        <v>1050</v>
      </c>
      <c r="F319" s="405">
        <f>E319*C319</f>
        <v>16800</v>
      </c>
    </row>
    <row r="320" spans="1:6" ht="18.75" x14ac:dyDescent="0.25">
      <c r="A320" s="403"/>
      <c r="B320" s="423"/>
      <c r="C320" s="414"/>
      <c r="D320" s="403"/>
      <c r="E320" s="557"/>
      <c r="F320" s="405"/>
    </row>
    <row r="321" spans="1:6" s="564" customFormat="1" ht="16.5" x14ac:dyDescent="0.25">
      <c r="A321" s="559"/>
      <c r="B321" s="579" t="s">
        <v>614</v>
      </c>
      <c r="C321" s="594"/>
      <c r="D321" s="559"/>
      <c r="E321" s="595"/>
      <c r="F321" s="562"/>
    </row>
    <row r="322" spans="1:6" s="564" customFormat="1" ht="16.5" x14ac:dyDescent="0.25">
      <c r="A322" s="559"/>
      <c r="B322" s="560" t="s">
        <v>615</v>
      </c>
      <c r="C322" s="596"/>
      <c r="D322" s="559"/>
      <c r="E322" s="595"/>
      <c r="F322" s="562"/>
    </row>
    <row r="323" spans="1:6" s="564" customFormat="1" ht="30" x14ac:dyDescent="0.25">
      <c r="A323" s="559"/>
      <c r="B323" s="582" t="s">
        <v>616</v>
      </c>
      <c r="C323" s="594"/>
      <c r="D323" s="559"/>
      <c r="E323" s="595"/>
      <c r="F323" s="562"/>
    </row>
    <row r="324" spans="1:6" s="564" customFormat="1" ht="16.5" x14ac:dyDescent="0.25">
      <c r="A324" s="559" t="s">
        <v>5</v>
      </c>
      <c r="B324" s="565" t="s">
        <v>617</v>
      </c>
      <c r="C324" s="594">
        <f>C318</f>
        <v>58</v>
      </c>
      <c r="D324" s="559" t="s">
        <v>35</v>
      </c>
      <c r="E324" s="595">
        <v>1400</v>
      </c>
      <c r="F324" s="562">
        <f>E324*C324</f>
        <v>81200</v>
      </c>
    </row>
    <row r="325" spans="1:6" s="564" customFormat="1" ht="25.5" customHeight="1" x14ac:dyDescent="0.25">
      <c r="A325" s="559" t="s">
        <v>6</v>
      </c>
      <c r="B325" s="583" t="s">
        <v>618</v>
      </c>
      <c r="C325" s="594">
        <v>16</v>
      </c>
      <c r="D325" s="559" t="s">
        <v>22</v>
      </c>
      <c r="E325" s="595">
        <f>E324*0.3</f>
        <v>420</v>
      </c>
      <c r="F325" s="562">
        <f>E325*C325</f>
        <v>6720</v>
      </c>
    </row>
    <row r="326" spans="1:6" ht="18.75" x14ac:dyDescent="0.25">
      <c r="A326" s="403"/>
      <c r="B326" s="416" t="s">
        <v>152</v>
      </c>
      <c r="C326" s="403"/>
      <c r="D326" s="403"/>
      <c r="E326" s="557"/>
      <c r="F326" s="405"/>
    </row>
    <row r="327" spans="1:6" ht="33" x14ac:dyDescent="0.25">
      <c r="A327" s="403"/>
      <c r="B327" s="421" t="s">
        <v>619</v>
      </c>
      <c r="C327" s="402"/>
      <c r="D327" s="591"/>
      <c r="E327" s="557"/>
      <c r="F327" s="405"/>
    </row>
    <row r="328" spans="1:6" ht="18.75" x14ac:dyDescent="0.25">
      <c r="A328" s="403" t="s">
        <v>12</v>
      </c>
      <c r="B328" s="402" t="s">
        <v>612</v>
      </c>
      <c r="C328" s="432">
        <f>C318</f>
        <v>58</v>
      </c>
      <c r="D328" s="403" t="s">
        <v>35</v>
      </c>
      <c r="E328" s="557">
        <v>2200</v>
      </c>
      <c r="F328" s="405">
        <f>C328*E328</f>
        <v>127600</v>
      </c>
    </row>
    <row r="329" spans="1:6" ht="18.75" x14ac:dyDescent="0.25">
      <c r="A329" s="403" t="s">
        <v>13</v>
      </c>
      <c r="B329" s="402" t="s">
        <v>620</v>
      </c>
      <c r="C329" s="414">
        <f>C319</f>
        <v>16</v>
      </c>
      <c r="D329" s="403" t="s">
        <v>22</v>
      </c>
      <c r="E329" s="595">
        <f>E328*0.3</f>
        <v>660</v>
      </c>
      <c r="F329" s="405">
        <f>C329*E329</f>
        <v>10560</v>
      </c>
    </row>
    <row r="330" spans="1:6" ht="18.75" x14ac:dyDescent="0.25">
      <c r="A330" s="403"/>
      <c r="B330" s="423"/>
      <c r="C330" s="414"/>
      <c r="D330" s="403"/>
      <c r="E330" s="557"/>
      <c r="F330" s="405"/>
    </row>
    <row r="331" spans="1:6" ht="18.75" x14ac:dyDescent="0.25">
      <c r="A331" s="403"/>
      <c r="B331" s="423"/>
      <c r="C331" s="414"/>
      <c r="D331" s="403"/>
      <c r="E331" s="557"/>
      <c r="F331" s="405"/>
    </row>
    <row r="332" spans="1:6" ht="18.75" x14ac:dyDescent="0.25">
      <c r="A332" s="403"/>
      <c r="B332" s="423"/>
      <c r="C332" s="414"/>
      <c r="D332" s="403"/>
      <c r="E332" s="557"/>
      <c r="F332" s="405"/>
    </row>
    <row r="333" spans="1:6" ht="18.75" x14ac:dyDescent="0.25">
      <c r="A333" s="403"/>
      <c r="B333" s="423"/>
      <c r="C333" s="414"/>
      <c r="D333" s="403"/>
      <c r="E333" s="557"/>
      <c r="F333" s="405"/>
    </row>
    <row r="334" spans="1:6" ht="18.75" x14ac:dyDescent="0.25">
      <c r="A334" s="403"/>
      <c r="B334" s="416"/>
      <c r="C334" s="416"/>
      <c r="D334" s="407"/>
      <c r="E334" s="566"/>
      <c r="F334" s="296"/>
    </row>
    <row r="335" spans="1:6" ht="18.75" x14ac:dyDescent="0.25">
      <c r="A335" s="403"/>
      <c r="B335" s="416"/>
      <c r="C335" s="416"/>
      <c r="D335" s="407"/>
      <c r="E335" s="566"/>
      <c r="F335" s="296"/>
    </row>
    <row r="336" spans="1:6" ht="18.75" x14ac:dyDescent="0.25">
      <c r="A336" s="403"/>
      <c r="B336" s="416"/>
      <c r="C336" s="416"/>
      <c r="D336" s="407"/>
      <c r="E336" s="566"/>
      <c r="F336" s="296"/>
    </row>
    <row r="337" spans="1:6" ht="18.75" x14ac:dyDescent="0.25">
      <c r="A337" s="403"/>
      <c r="B337" s="408" t="s">
        <v>236</v>
      </c>
      <c r="C337" s="416"/>
      <c r="D337" s="407"/>
      <c r="E337" s="566"/>
      <c r="F337" s="296"/>
    </row>
    <row r="338" spans="1:6" ht="18.75" x14ac:dyDescent="0.25">
      <c r="A338" s="403"/>
      <c r="B338" s="416" t="s">
        <v>638</v>
      </c>
      <c r="C338" s="416"/>
      <c r="D338" s="407"/>
      <c r="E338" s="566" t="s">
        <v>15</v>
      </c>
      <c r="F338" s="296">
        <f>F295+F296+F305+F306+F309+F309+F314+F318+F318+F319+F328+F329</f>
        <v>1004420</v>
      </c>
    </row>
    <row r="339" spans="1:6" ht="18.75" x14ac:dyDescent="0.25">
      <c r="A339" s="403"/>
      <c r="B339" s="408" t="s">
        <v>604</v>
      </c>
      <c r="C339" s="402"/>
      <c r="D339" s="403"/>
      <c r="E339" s="557"/>
      <c r="F339" s="405"/>
    </row>
    <row r="340" spans="1:6" ht="18.75" x14ac:dyDescent="0.25">
      <c r="A340" s="403"/>
      <c r="B340" s="402"/>
      <c r="C340" s="402"/>
      <c r="D340" s="403"/>
      <c r="E340" s="557"/>
      <c r="F340" s="405"/>
    </row>
    <row r="341" spans="1:6" ht="18.75" x14ac:dyDescent="0.25">
      <c r="A341" s="403"/>
      <c r="B341" s="408" t="s">
        <v>265</v>
      </c>
      <c r="C341" s="402"/>
      <c r="D341" s="403"/>
      <c r="E341" s="557"/>
      <c r="F341" s="405"/>
    </row>
    <row r="342" spans="1:6" ht="18.75" x14ac:dyDescent="0.25">
      <c r="A342" s="403"/>
      <c r="B342" s="415" t="s">
        <v>610</v>
      </c>
      <c r="C342" s="402"/>
      <c r="D342" s="403"/>
      <c r="E342" s="557"/>
      <c r="F342" s="405"/>
    </row>
    <row r="343" spans="1:6" ht="36" x14ac:dyDescent="0.25">
      <c r="A343" s="403"/>
      <c r="B343" s="505" t="s">
        <v>640</v>
      </c>
      <c r="C343" s="402"/>
      <c r="D343" s="403"/>
      <c r="E343" s="557"/>
      <c r="F343" s="405"/>
    </row>
    <row r="344" spans="1:6" ht="18.75" x14ac:dyDescent="0.25">
      <c r="A344" s="403"/>
      <c r="B344" s="415"/>
      <c r="C344" s="402"/>
      <c r="D344" s="403"/>
      <c r="E344" s="557"/>
      <c r="F344" s="405"/>
    </row>
    <row r="345" spans="1:6" ht="82.5" x14ac:dyDescent="0.25">
      <c r="A345" s="403"/>
      <c r="B345" s="419" t="s">
        <v>971</v>
      </c>
      <c r="C345" s="402"/>
      <c r="D345" s="403"/>
      <c r="E345" s="557"/>
      <c r="F345" s="405"/>
    </row>
    <row r="346" spans="1:6" ht="18.75" x14ac:dyDescent="0.25">
      <c r="A346" s="403"/>
      <c r="B346" s="419"/>
      <c r="C346" s="402"/>
      <c r="D346" s="403"/>
      <c r="E346" s="557"/>
      <c r="F346" s="405"/>
    </row>
    <row r="347" spans="1:6" ht="18.75" x14ac:dyDescent="0.25">
      <c r="A347" s="403" t="s">
        <v>2</v>
      </c>
      <c r="B347" s="402" t="s">
        <v>972</v>
      </c>
      <c r="C347" s="402">
        <v>3</v>
      </c>
      <c r="D347" s="403" t="s">
        <v>35</v>
      </c>
      <c r="E347" s="557">
        <v>8500</v>
      </c>
      <c r="F347" s="405">
        <f>E347*C347</f>
        <v>25500</v>
      </c>
    </row>
    <row r="348" spans="1:6" ht="18.75" x14ac:dyDescent="0.25">
      <c r="A348" s="403"/>
      <c r="B348" s="402"/>
      <c r="C348" s="402"/>
      <c r="D348" s="403"/>
      <c r="E348" s="557"/>
      <c r="F348" s="405"/>
    </row>
    <row r="349" spans="1:6" ht="82.5" x14ac:dyDescent="0.25">
      <c r="A349" s="403"/>
      <c r="B349" s="419" t="s">
        <v>973</v>
      </c>
      <c r="C349" s="402"/>
      <c r="D349" s="403"/>
      <c r="E349" s="557"/>
      <c r="F349" s="506"/>
    </row>
    <row r="350" spans="1:6" ht="18.75" x14ac:dyDescent="0.25">
      <c r="A350" s="403" t="s">
        <v>4</v>
      </c>
      <c r="B350" s="421" t="s">
        <v>1097</v>
      </c>
      <c r="C350" s="402">
        <v>11</v>
      </c>
      <c r="D350" s="403" t="s">
        <v>35</v>
      </c>
      <c r="E350" s="557">
        <v>12350</v>
      </c>
      <c r="F350" s="405">
        <f>E350*C350</f>
        <v>135850</v>
      </c>
    </row>
    <row r="351" spans="1:6" ht="18.75" x14ac:dyDescent="0.25">
      <c r="A351" s="403" t="s">
        <v>5</v>
      </c>
      <c r="B351" s="402" t="s">
        <v>642</v>
      </c>
      <c r="C351" s="414">
        <v>5</v>
      </c>
      <c r="D351" s="403" t="s">
        <v>22</v>
      </c>
      <c r="E351" s="597">
        <v>1852.5</v>
      </c>
      <c r="F351" s="405">
        <f>E351*C351</f>
        <v>9262.5</v>
      </c>
    </row>
    <row r="352" spans="1:6" ht="18.75" x14ac:dyDescent="0.25">
      <c r="A352" s="403" t="s">
        <v>6</v>
      </c>
      <c r="B352" s="421" t="s">
        <v>1098</v>
      </c>
      <c r="C352" s="402"/>
      <c r="D352" s="403" t="s">
        <v>35</v>
      </c>
      <c r="E352" s="557">
        <f>E350</f>
        <v>12350</v>
      </c>
      <c r="F352" s="405">
        <f>E352*C352</f>
        <v>0</v>
      </c>
    </row>
    <row r="353" spans="1:6" ht="18.75" x14ac:dyDescent="0.25">
      <c r="A353" s="403" t="s">
        <v>7</v>
      </c>
      <c r="B353" s="402" t="s">
        <v>642</v>
      </c>
      <c r="C353" s="414">
        <f>C352*1.1</f>
        <v>0</v>
      </c>
      <c r="D353" s="403" t="s">
        <v>22</v>
      </c>
      <c r="E353" s="597">
        <v>1852.5</v>
      </c>
      <c r="F353" s="405">
        <f>E353*C353</f>
        <v>0</v>
      </c>
    </row>
    <row r="354" spans="1:6" ht="18.75" x14ac:dyDescent="0.25">
      <c r="A354" s="403"/>
      <c r="B354" s="402"/>
      <c r="C354" s="414"/>
      <c r="D354" s="403"/>
      <c r="E354" s="557"/>
      <c r="F354" s="405"/>
    </row>
    <row r="355" spans="1:6" ht="49.5" x14ac:dyDescent="0.25">
      <c r="A355" s="403"/>
      <c r="B355" s="421" t="s">
        <v>625</v>
      </c>
      <c r="C355" s="402"/>
      <c r="D355" s="403"/>
      <c r="E355" s="557"/>
      <c r="F355" s="506"/>
    </row>
    <row r="356" spans="1:6" ht="18.75" x14ac:dyDescent="0.25">
      <c r="A356" s="403"/>
      <c r="B356" s="402" t="s">
        <v>645</v>
      </c>
      <c r="C356" s="402"/>
      <c r="D356" s="403"/>
      <c r="E356" s="557"/>
      <c r="F356" s="506"/>
    </row>
    <row r="357" spans="1:6" ht="18.75" x14ac:dyDescent="0.25">
      <c r="A357" s="403" t="s">
        <v>8</v>
      </c>
      <c r="B357" s="402" t="s">
        <v>646</v>
      </c>
      <c r="C357" s="414">
        <f>C347+C350</f>
        <v>14</v>
      </c>
      <c r="D357" s="403" t="s">
        <v>35</v>
      </c>
      <c r="E357" s="557">
        <v>4200</v>
      </c>
      <c r="F357" s="405">
        <f>E357*C357</f>
        <v>58800</v>
      </c>
    </row>
    <row r="358" spans="1:6" ht="18.75" x14ac:dyDescent="0.25">
      <c r="A358" s="403" t="s">
        <v>9</v>
      </c>
      <c r="B358" s="402" t="s">
        <v>627</v>
      </c>
      <c r="C358" s="414">
        <f>C351+C353</f>
        <v>5</v>
      </c>
      <c r="D358" s="403" t="s">
        <v>22</v>
      </c>
      <c r="E358" s="557">
        <f>E357*0.3</f>
        <v>1260</v>
      </c>
      <c r="F358" s="405">
        <f>E358*C358</f>
        <v>6300</v>
      </c>
    </row>
    <row r="359" spans="1:6" ht="18.75" x14ac:dyDescent="0.25">
      <c r="A359" s="403"/>
      <c r="B359" s="402"/>
      <c r="C359" s="402"/>
      <c r="D359" s="403"/>
      <c r="E359" s="557"/>
      <c r="F359" s="405"/>
    </row>
    <row r="360" spans="1:6" ht="18.75" x14ac:dyDescent="0.25">
      <c r="A360" s="403"/>
      <c r="B360" s="505" t="s">
        <v>628</v>
      </c>
      <c r="C360" s="402"/>
      <c r="D360" s="403"/>
      <c r="E360" s="557"/>
      <c r="F360" s="422"/>
    </row>
    <row r="361" spans="1:6" ht="33" x14ac:dyDescent="0.25">
      <c r="A361" s="403"/>
      <c r="B361" s="420" t="s">
        <v>647</v>
      </c>
      <c r="C361" s="402"/>
      <c r="D361" s="403"/>
      <c r="E361" s="557"/>
      <c r="F361" s="506"/>
    </row>
    <row r="362" spans="1:6" ht="82.5" x14ac:dyDescent="0.25">
      <c r="A362" s="403"/>
      <c r="B362" s="419" t="s">
        <v>971</v>
      </c>
      <c r="C362" s="402"/>
      <c r="D362" s="403"/>
      <c r="E362" s="557"/>
      <c r="F362" s="422"/>
    </row>
    <row r="363" spans="1:6" ht="18.75" x14ac:dyDescent="0.25">
      <c r="A363" s="403" t="s">
        <v>11</v>
      </c>
      <c r="B363" s="402" t="s">
        <v>1082</v>
      </c>
      <c r="C363" s="402">
        <v>3</v>
      </c>
      <c r="D363" s="403" t="s">
        <v>35</v>
      </c>
      <c r="E363" s="557">
        <f>E352</f>
        <v>12350</v>
      </c>
      <c r="F363" s="405">
        <f>E363*C363</f>
        <v>37050</v>
      </c>
    </row>
    <row r="364" spans="1:6" ht="18.75" x14ac:dyDescent="0.25">
      <c r="A364" s="403" t="s">
        <v>12</v>
      </c>
      <c r="B364" s="402" t="s">
        <v>642</v>
      </c>
      <c r="C364" s="402">
        <v>5</v>
      </c>
      <c r="D364" s="403" t="s">
        <v>22</v>
      </c>
      <c r="E364" s="557">
        <f>E363*0.1</f>
        <v>1235</v>
      </c>
      <c r="F364" s="405">
        <f>E364*C364</f>
        <v>6175</v>
      </c>
    </row>
    <row r="365" spans="1:6" ht="49.5" x14ac:dyDescent="0.25">
      <c r="A365" s="403"/>
      <c r="B365" s="420" t="s">
        <v>625</v>
      </c>
      <c r="C365" s="402"/>
      <c r="D365" s="403"/>
      <c r="E365" s="557"/>
      <c r="F365" s="422"/>
    </row>
    <row r="366" spans="1:6" ht="18.75" x14ac:dyDescent="0.25">
      <c r="A366" s="403"/>
      <c r="B366" s="425" t="s">
        <v>645</v>
      </c>
      <c r="C366" s="402"/>
      <c r="D366" s="403"/>
      <c r="E366" s="557"/>
      <c r="F366" s="422"/>
    </row>
    <row r="367" spans="1:6" ht="18.75" x14ac:dyDescent="0.25">
      <c r="A367" s="403" t="s">
        <v>13</v>
      </c>
      <c r="B367" s="402" t="s">
        <v>649</v>
      </c>
      <c r="C367" s="402">
        <f>C363</f>
        <v>3</v>
      </c>
      <c r="D367" s="403" t="s">
        <v>35</v>
      </c>
      <c r="E367" s="557">
        <f>E357</f>
        <v>4200</v>
      </c>
      <c r="F367" s="405">
        <f>E367*C367</f>
        <v>12600</v>
      </c>
    </row>
    <row r="368" spans="1:6" ht="18.75" x14ac:dyDescent="0.25">
      <c r="A368" s="403" t="s">
        <v>14</v>
      </c>
      <c r="B368" s="402" t="s">
        <v>627</v>
      </c>
      <c r="C368" s="402">
        <f>C364</f>
        <v>5</v>
      </c>
      <c r="D368" s="403" t="s">
        <v>22</v>
      </c>
      <c r="E368" s="557">
        <v>180</v>
      </c>
      <c r="F368" s="405">
        <f>E368*C368</f>
        <v>900</v>
      </c>
    </row>
    <row r="369" spans="1:6" ht="18.75" x14ac:dyDescent="0.25">
      <c r="A369" s="403"/>
      <c r="B369" s="402"/>
      <c r="C369" s="402"/>
      <c r="D369" s="403"/>
      <c r="E369" s="557"/>
      <c r="F369" s="405"/>
    </row>
    <row r="370" spans="1:6" ht="18.75" x14ac:dyDescent="0.25">
      <c r="A370" s="403"/>
      <c r="B370" s="402"/>
      <c r="C370" s="402"/>
      <c r="D370" s="403"/>
      <c r="E370" s="557"/>
      <c r="F370" s="405"/>
    </row>
    <row r="371" spans="1:6" ht="18.75" x14ac:dyDescent="0.25">
      <c r="A371" s="403"/>
      <c r="B371" s="402"/>
      <c r="C371" s="402"/>
      <c r="D371" s="403"/>
      <c r="E371" s="557"/>
      <c r="F371" s="405"/>
    </row>
    <row r="372" spans="1:6" ht="18.75" x14ac:dyDescent="0.25">
      <c r="A372" s="403"/>
      <c r="B372" s="402"/>
      <c r="C372" s="402"/>
      <c r="D372" s="403"/>
      <c r="E372" s="557"/>
      <c r="F372" s="405"/>
    </row>
    <row r="373" spans="1:6" ht="18.75" x14ac:dyDescent="0.25">
      <c r="A373" s="403"/>
      <c r="B373" s="402"/>
      <c r="C373" s="402"/>
      <c r="D373" s="403"/>
      <c r="E373" s="557"/>
      <c r="F373" s="405"/>
    </row>
    <row r="374" spans="1:6" ht="18.75" x14ac:dyDescent="0.25">
      <c r="A374" s="403"/>
      <c r="B374" s="402"/>
      <c r="C374" s="402"/>
      <c r="D374" s="403"/>
      <c r="E374" s="557"/>
      <c r="F374" s="405"/>
    </row>
    <row r="375" spans="1:6" ht="18.75" x14ac:dyDescent="0.25">
      <c r="A375" s="403"/>
      <c r="B375" s="402"/>
      <c r="C375" s="402"/>
      <c r="D375" s="403"/>
      <c r="E375" s="557"/>
      <c r="F375" s="405"/>
    </row>
    <row r="376" spans="1:6" ht="18.75" x14ac:dyDescent="0.25">
      <c r="A376" s="403"/>
      <c r="B376" s="402"/>
      <c r="C376" s="402"/>
      <c r="D376" s="403"/>
      <c r="E376" s="557"/>
      <c r="F376" s="405"/>
    </row>
    <row r="377" spans="1:6" ht="18.75" x14ac:dyDescent="0.25">
      <c r="A377" s="403"/>
      <c r="B377" s="402"/>
      <c r="C377" s="402"/>
      <c r="D377" s="403"/>
      <c r="E377" s="557"/>
      <c r="F377" s="405"/>
    </row>
    <row r="378" spans="1:6" ht="18.75" x14ac:dyDescent="0.25">
      <c r="A378" s="403"/>
      <c r="B378" s="402"/>
      <c r="C378" s="402"/>
      <c r="D378" s="403"/>
      <c r="E378" s="557"/>
      <c r="F378" s="405"/>
    </row>
    <row r="379" spans="1:6" ht="18.75" x14ac:dyDescent="0.25">
      <c r="A379" s="403"/>
      <c r="B379" s="402"/>
      <c r="C379" s="402"/>
      <c r="D379" s="403"/>
      <c r="E379" s="557"/>
      <c r="F379" s="405"/>
    </row>
    <row r="380" spans="1:6" ht="18.75" x14ac:dyDescent="0.25">
      <c r="A380" s="403"/>
      <c r="B380" s="402"/>
      <c r="C380" s="402"/>
      <c r="D380" s="403"/>
      <c r="E380" s="557"/>
      <c r="F380" s="405"/>
    </row>
    <row r="381" spans="1:6" ht="18.75" x14ac:dyDescent="0.25">
      <c r="A381" s="403"/>
      <c r="B381" s="402"/>
      <c r="C381" s="402"/>
      <c r="D381" s="403"/>
      <c r="E381" s="557"/>
      <c r="F381" s="405"/>
    </row>
    <row r="382" spans="1:6" ht="18.75" x14ac:dyDescent="0.25">
      <c r="A382" s="403"/>
      <c r="B382" s="402"/>
      <c r="C382" s="402"/>
      <c r="D382" s="403"/>
      <c r="E382" s="557"/>
      <c r="F382" s="405"/>
    </row>
    <row r="383" spans="1:6" ht="18.75" x14ac:dyDescent="0.25">
      <c r="A383" s="403"/>
      <c r="B383" s="408" t="s">
        <v>265</v>
      </c>
      <c r="C383" s="402"/>
      <c r="D383" s="403"/>
      <c r="E383" s="557"/>
      <c r="F383" s="405"/>
    </row>
    <row r="384" spans="1:6" ht="18.75" x14ac:dyDescent="0.25">
      <c r="A384" s="403"/>
      <c r="B384" s="416" t="s">
        <v>534</v>
      </c>
      <c r="C384" s="416"/>
      <c r="D384" s="407"/>
      <c r="E384" s="566" t="s">
        <v>15</v>
      </c>
      <c r="F384" s="296">
        <f>SUM(F345:F383)</f>
        <v>292437.5</v>
      </c>
    </row>
    <row r="385" spans="1:6" ht="18.75" x14ac:dyDescent="0.25">
      <c r="A385" s="403"/>
      <c r="B385" s="408" t="s">
        <v>605</v>
      </c>
      <c r="C385" s="402"/>
      <c r="D385" s="403"/>
      <c r="E385" s="557"/>
      <c r="F385" s="405"/>
    </row>
    <row r="386" spans="1:6" ht="18.75" x14ac:dyDescent="0.25">
      <c r="A386" s="403"/>
      <c r="B386" s="402"/>
      <c r="C386" s="402"/>
      <c r="D386" s="403"/>
      <c r="E386" s="557"/>
      <c r="F386" s="405"/>
    </row>
    <row r="387" spans="1:6" ht="18.75" x14ac:dyDescent="0.25">
      <c r="A387" s="403"/>
      <c r="B387" s="408" t="s">
        <v>281</v>
      </c>
      <c r="C387" s="402"/>
      <c r="D387" s="403"/>
      <c r="E387" s="557"/>
      <c r="F387" s="405"/>
    </row>
    <row r="388" spans="1:6" ht="18.75" x14ac:dyDescent="0.25">
      <c r="A388" s="403"/>
      <c r="B388" s="408"/>
      <c r="C388" s="402"/>
      <c r="D388" s="403"/>
      <c r="E388" s="557"/>
      <c r="F388" s="405"/>
    </row>
    <row r="389" spans="1:6" ht="18.75" x14ac:dyDescent="0.25">
      <c r="A389" s="403"/>
      <c r="B389" s="408" t="s">
        <v>282</v>
      </c>
      <c r="C389" s="402"/>
      <c r="D389" s="403"/>
      <c r="E389" s="557"/>
      <c r="F389" s="405"/>
    </row>
    <row r="390" spans="1:6" ht="18.75" x14ac:dyDescent="0.25">
      <c r="A390" s="403"/>
      <c r="B390" s="408"/>
      <c r="C390" s="402"/>
      <c r="D390" s="403"/>
      <c r="E390" s="557"/>
      <c r="F390" s="405"/>
    </row>
    <row r="391" spans="1:6" s="564" customFormat="1" ht="12" customHeight="1" x14ac:dyDescent="0.25">
      <c r="A391" s="559"/>
      <c r="B391" s="598" t="s">
        <v>629</v>
      </c>
      <c r="C391" s="580"/>
      <c r="D391" s="559"/>
      <c r="E391" s="558"/>
      <c r="F391" s="289"/>
    </row>
    <row r="392" spans="1:6" s="564" customFormat="1" ht="30" x14ac:dyDescent="0.25">
      <c r="A392" s="559"/>
      <c r="B392" s="570" t="s">
        <v>651</v>
      </c>
      <c r="C392" s="580"/>
      <c r="D392" s="559"/>
      <c r="E392" s="558"/>
      <c r="F392" s="289"/>
    </row>
    <row r="393" spans="1:6" s="564" customFormat="1" ht="16.5" x14ac:dyDescent="0.25">
      <c r="A393" s="559" t="s">
        <v>2</v>
      </c>
      <c r="B393" s="565" t="s">
        <v>652</v>
      </c>
      <c r="C393" s="580">
        <v>72</v>
      </c>
      <c r="D393" s="559" t="s">
        <v>35</v>
      </c>
      <c r="E393" s="558">
        <v>3500</v>
      </c>
      <c r="F393" s="562">
        <f>E393*C393</f>
        <v>252000</v>
      </c>
    </row>
    <row r="394" spans="1:6" ht="18.75" x14ac:dyDescent="0.25">
      <c r="A394" s="403"/>
      <c r="B394" s="408"/>
      <c r="C394" s="402"/>
      <c r="D394" s="403"/>
      <c r="E394" s="557"/>
      <c r="F394" s="405"/>
    </row>
    <row r="395" spans="1:6" ht="18.75" x14ac:dyDescent="0.25">
      <c r="A395" s="403"/>
      <c r="B395" s="416" t="s">
        <v>974</v>
      </c>
      <c r="C395" s="412"/>
      <c r="D395" s="403"/>
      <c r="E395" s="557"/>
      <c r="F395" s="501"/>
    </row>
    <row r="396" spans="1:6" ht="18.75" x14ac:dyDescent="0.25">
      <c r="A396" s="403"/>
      <c r="B396" s="402" t="s">
        <v>975</v>
      </c>
      <c r="C396" s="402"/>
      <c r="D396" s="403"/>
      <c r="E396" s="557"/>
      <c r="F396" s="501"/>
    </row>
    <row r="397" spans="1:6" ht="18.75" x14ac:dyDescent="0.25">
      <c r="A397" s="403" t="s">
        <v>4</v>
      </c>
      <c r="B397" s="402" t="s">
        <v>976</v>
      </c>
      <c r="C397" s="412">
        <v>38</v>
      </c>
      <c r="D397" s="403" t="s">
        <v>35</v>
      </c>
      <c r="E397" s="557">
        <v>13200</v>
      </c>
      <c r="F397" s="405">
        <f>C397*E397</f>
        <v>501600</v>
      </c>
    </row>
    <row r="398" spans="1:6" ht="36" x14ac:dyDescent="0.25">
      <c r="A398" s="403"/>
      <c r="B398" s="434" t="s">
        <v>653</v>
      </c>
      <c r="C398" s="402"/>
      <c r="D398" s="403"/>
      <c r="E398" s="557"/>
      <c r="F398" s="501"/>
    </row>
    <row r="399" spans="1:6" ht="18.75" x14ac:dyDescent="0.25">
      <c r="A399" s="403"/>
      <c r="B399" s="507" t="s">
        <v>654</v>
      </c>
      <c r="C399" s="402"/>
      <c r="D399" s="403"/>
      <c r="E399" s="557"/>
      <c r="F399" s="405"/>
    </row>
    <row r="400" spans="1:6" ht="18.75" x14ac:dyDescent="0.25">
      <c r="A400" s="403" t="s">
        <v>5</v>
      </c>
      <c r="B400" s="402" t="s">
        <v>287</v>
      </c>
      <c r="C400" s="508"/>
      <c r="D400" s="403" t="s">
        <v>22</v>
      </c>
      <c r="E400" s="557">
        <v>400</v>
      </c>
      <c r="F400" s="405">
        <f>E400*C400</f>
        <v>0</v>
      </c>
    </row>
    <row r="401" spans="1:19" ht="18.75" x14ac:dyDescent="0.25">
      <c r="A401" s="403"/>
      <c r="B401" s="416" t="s">
        <v>152</v>
      </c>
      <c r="C401" s="412"/>
      <c r="D401" s="403"/>
      <c r="E401" s="557"/>
      <c r="F401" s="501"/>
      <c r="G401" s="591"/>
      <c r="H401" s="591"/>
      <c r="I401" s="591"/>
      <c r="J401" s="591"/>
      <c r="K401" s="591"/>
      <c r="L401" s="591"/>
      <c r="M401" s="591"/>
      <c r="N401" s="591"/>
      <c r="O401" s="591"/>
      <c r="P401" s="591"/>
      <c r="Q401" s="591"/>
      <c r="R401" s="591"/>
      <c r="S401" s="591"/>
    </row>
    <row r="402" spans="1:19" ht="33" x14ac:dyDescent="0.25">
      <c r="A402" s="403"/>
      <c r="B402" s="421" t="s">
        <v>655</v>
      </c>
      <c r="C402" s="412"/>
      <c r="D402" s="403"/>
      <c r="E402" s="557"/>
      <c r="F402" s="501"/>
      <c r="G402" s="591"/>
      <c r="H402" s="591"/>
      <c r="I402" s="591"/>
      <c r="J402" s="591"/>
      <c r="K402" s="591"/>
      <c r="L402" s="591"/>
      <c r="M402" s="591"/>
      <c r="N402" s="591"/>
      <c r="O402" s="591"/>
      <c r="P402" s="591"/>
      <c r="Q402" s="591"/>
      <c r="R402" s="591"/>
      <c r="S402" s="591"/>
    </row>
    <row r="403" spans="1:19" ht="18.75" x14ac:dyDescent="0.25">
      <c r="A403" s="403" t="s">
        <v>6</v>
      </c>
      <c r="B403" s="402" t="s">
        <v>977</v>
      </c>
      <c r="C403" s="412">
        <f>C397+C393</f>
        <v>110</v>
      </c>
      <c r="D403" s="403" t="s">
        <v>35</v>
      </c>
      <c r="E403" s="557">
        <v>2200</v>
      </c>
      <c r="F403" s="405">
        <f>C403*E403</f>
        <v>242000</v>
      </c>
      <c r="G403" s="591"/>
      <c r="H403" s="591"/>
      <c r="I403" s="591"/>
      <c r="J403" s="591"/>
      <c r="K403" s="591"/>
      <c r="L403" s="591"/>
      <c r="M403" s="591"/>
      <c r="N403" s="591"/>
      <c r="O403" s="591"/>
      <c r="P403" s="591"/>
      <c r="Q403" s="591"/>
      <c r="R403" s="591"/>
      <c r="S403" s="591"/>
    </row>
    <row r="404" spans="1:19" ht="18.75" x14ac:dyDescent="0.25">
      <c r="A404" s="403"/>
      <c r="B404" s="402"/>
      <c r="C404" s="402"/>
      <c r="D404" s="403"/>
      <c r="E404" s="557"/>
      <c r="F404" s="501"/>
      <c r="G404" s="591"/>
      <c r="H404" s="591"/>
      <c r="I404" s="591"/>
      <c r="J404" s="591"/>
      <c r="K404" s="591"/>
      <c r="L404" s="591"/>
      <c r="M404" s="591"/>
      <c r="N404" s="591"/>
      <c r="O404" s="591"/>
      <c r="P404" s="591"/>
      <c r="Q404" s="591"/>
      <c r="R404" s="591"/>
      <c r="S404" s="591"/>
    </row>
    <row r="405" spans="1:19" s="604" customFormat="1" ht="17.25" customHeight="1" x14ac:dyDescent="0.35">
      <c r="A405" s="599"/>
      <c r="B405" s="600" t="s">
        <v>785</v>
      </c>
      <c r="C405" s="599"/>
      <c r="D405" s="599"/>
      <c r="E405" s="601"/>
      <c r="F405" s="602"/>
      <c r="G405" s="603"/>
      <c r="H405" s="603"/>
      <c r="I405" s="603"/>
      <c r="J405" s="603"/>
      <c r="K405" s="603"/>
      <c r="L405" s="603"/>
      <c r="M405" s="603"/>
      <c r="N405" s="603"/>
      <c r="O405" s="603"/>
      <c r="P405" s="603"/>
      <c r="Q405" s="603"/>
      <c r="R405" s="603"/>
      <c r="S405" s="603"/>
    </row>
    <row r="406" spans="1:19" s="604" customFormat="1" ht="33" customHeight="1" x14ac:dyDescent="0.3">
      <c r="A406" s="599"/>
      <c r="B406" s="605" t="s">
        <v>786</v>
      </c>
      <c r="C406" s="599"/>
      <c r="D406" s="599"/>
      <c r="E406" s="601"/>
      <c r="F406" s="602"/>
      <c r="G406" s="603"/>
      <c r="H406" s="603"/>
      <c r="I406" s="603"/>
      <c r="J406" s="603"/>
      <c r="K406" s="603"/>
      <c r="L406" s="603"/>
      <c r="M406" s="603"/>
      <c r="N406" s="603"/>
      <c r="O406" s="603"/>
      <c r="P406" s="603"/>
      <c r="Q406" s="603"/>
      <c r="R406" s="603"/>
      <c r="S406" s="603"/>
    </row>
    <row r="407" spans="1:19" s="604" customFormat="1" ht="16.5" x14ac:dyDescent="0.3">
      <c r="A407" s="599" t="s">
        <v>8</v>
      </c>
      <c r="B407" s="605" t="s">
        <v>787</v>
      </c>
      <c r="C407" s="606">
        <v>7</v>
      </c>
      <c r="D407" s="599" t="s">
        <v>22</v>
      </c>
      <c r="E407" s="601">
        <v>58000</v>
      </c>
      <c r="F407" s="602">
        <f>E407*C407</f>
        <v>406000</v>
      </c>
      <c r="G407" s="603"/>
      <c r="H407" s="603"/>
      <c r="I407" s="603"/>
      <c r="J407" s="603"/>
      <c r="K407" s="603"/>
      <c r="L407" s="603"/>
      <c r="M407" s="603"/>
      <c r="N407" s="603"/>
      <c r="O407" s="603"/>
      <c r="P407" s="603"/>
      <c r="Q407" s="603"/>
      <c r="R407" s="603"/>
      <c r="S407" s="603"/>
    </row>
    <row r="408" spans="1:19" ht="18.75" x14ac:dyDescent="0.25">
      <c r="A408" s="403"/>
      <c r="B408" s="402"/>
      <c r="C408" s="402"/>
      <c r="D408" s="403"/>
      <c r="E408" s="557"/>
      <c r="F408" s="501"/>
      <c r="G408" s="591"/>
      <c r="H408" s="591"/>
      <c r="I408" s="591"/>
      <c r="J408" s="591"/>
      <c r="K408" s="591"/>
      <c r="L408" s="591"/>
      <c r="M408" s="591"/>
      <c r="N408" s="591"/>
      <c r="O408" s="591"/>
      <c r="P408" s="591"/>
      <c r="Q408" s="591"/>
      <c r="R408" s="591"/>
      <c r="S408" s="591"/>
    </row>
    <row r="409" spans="1:19" ht="18.75" x14ac:dyDescent="0.25">
      <c r="A409" s="403"/>
      <c r="B409" s="402"/>
      <c r="C409" s="402"/>
      <c r="D409" s="403"/>
      <c r="E409" s="557"/>
      <c r="F409" s="501"/>
      <c r="G409" s="591"/>
      <c r="H409" s="591"/>
      <c r="I409" s="591"/>
      <c r="J409" s="591"/>
      <c r="K409" s="591"/>
      <c r="L409" s="591"/>
      <c r="M409" s="591"/>
      <c r="N409" s="591"/>
      <c r="O409" s="591"/>
      <c r="P409" s="591"/>
      <c r="Q409" s="591"/>
      <c r="R409" s="591"/>
      <c r="S409" s="591"/>
    </row>
    <row r="410" spans="1:19" ht="18.75" x14ac:dyDescent="0.25">
      <c r="A410" s="403"/>
      <c r="B410" s="402"/>
      <c r="C410" s="402"/>
      <c r="D410" s="403"/>
      <c r="E410" s="557"/>
      <c r="F410" s="501"/>
      <c r="G410" s="591"/>
      <c r="H410" s="591"/>
      <c r="I410" s="591"/>
      <c r="J410" s="591"/>
      <c r="K410" s="591"/>
      <c r="L410" s="591"/>
      <c r="M410" s="591"/>
      <c r="N410" s="591"/>
      <c r="O410" s="591"/>
      <c r="P410" s="591"/>
      <c r="Q410" s="591"/>
      <c r="R410" s="591"/>
      <c r="S410" s="591"/>
    </row>
    <row r="411" spans="1:19" ht="18.75" x14ac:dyDescent="0.25">
      <c r="A411" s="403"/>
      <c r="B411" s="402"/>
      <c r="C411" s="402"/>
      <c r="D411" s="403"/>
      <c r="E411" s="557"/>
      <c r="F411" s="501"/>
      <c r="G411" s="591"/>
      <c r="H411" s="591"/>
      <c r="I411" s="591"/>
      <c r="J411" s="591"/>
      <c r="K411" s="591"/>
      <c r="L411" s="591"/>
      <c r="M411" s="591"/>
      <c r="N411" s="591"/>
      <c r="O411" s="591"/>
      <c r="P411" s="591"/>
      <c r="Q411" s="591"/>
      <c r="R411" s="591"/>
      <c r="S411" s="591"/>
    </row>
    <row r="412" spans="1:19" ht="16.5" x14ac:dyDescent="0.25">
      <c r="A412" s="403"/>
      <c r="B412" s="415"/>
      <c r="C412" s="402"/>
      <c r="D412" s="403"/>
      <c r="E412" s="557"/>
      <c r="F412" s="509"/>
      <c r="G412" s="591"/>
      <c r="H412" s="591"/>
      <c r="I412" s="591"/>
      <c r="J412" s="591"/>
      <c r="K412" s="591"/>
      <c r="L412" s="591"/>
      <c r="M412" s="591"/>
      <c r="N412" s="591"/>
      <c r="O412" s="591"/>
      <c r="P412" s="591"/>
      <c r="Q412" s="591"/>
      <c r="R412" s="591"/>
      <c r="S412" s="591"/>
    </row>
    <row r="413" spans="1:19" ht="16.5" x14ac:dyDescent="0.25">
      <c r="A413" s="403"/>
      <c r="B413" s="402"/>
      <c r="C413" s="402"/>
      <c r="D413" s="403"/>
      <c r="E413" s="557"/>
      <c r="F413" s="509"/>
      <c r="G413" s="591"/>
      <c r="H413" s="591"/>
      <c r="I413" s="591"/>
      <c r="J413" s="591"/>
      <c r="K413" s="591"/>
      <c r="L413" s="591"/>
      <c r="M413" s="591"/>
      <c r="N413" s="591"/>
      <c r="O413" s="591"/>
      <c r="P413" s="591"/>
      <c r="Q413" s="591"/>
      <c r="R413" s="591"/>
      <c r="S413" s="591"/>
    </row>
    <row r="414" spans="1:19" ht="18.75" x14ac:dyDescent="0.25">
      <c r="A414" s="403"/>
      <c r="B414" s="411"/>
      <c r="C414" s="402"/>
      <c r="D414" s="403"/>
      <c r="E414" s="557"/>
      <c r="F414" s="501"/>
      <c r="G414" s="591"/>
      <c r="H414" s="591"/>
      <c r="I414" s="591"/>
      <c r="J414" s="591"/>
      <c r="K414" s="591"/>
      <c r="L414" s="591"/>
      <c r="M414" s="591"/>
      <c r="N414" s="591"/>
      <c r="O414" s="591"/>
      <c r="P414" s="591"/>
      <c r="Q414" s="591"/>
      <c r="R414" s="591"/>
      <c r="S414" s="591"/>
    </row>
    <row r="415" spans="1:19" ht="18.75" x14ac:dyDescent="0.25">
      <c r="A415" s="403"/>
      <c r="B415" s="411"/>
      <c r="C415" s="402"/>
      <c r="D415" s="403"/>
      <c r="E415" s="557"/>
      <c r="F415" s="501"/>
      <c r="G415" s="591"/>
      <c r="H415" s="591"/>
      <c r="I415" s="591"/>
      <c r="J415" s="591"/>
      <c r="K415" s="591"/>
      <c r="L415" s="591"/>
      <c r="M415" s="591"/>
      <c r="N415" s="591"/>
      <c r="O415" s="591"/>
      <c r="P415" s="591"/>
      <c r="Q415" s="591"/>
      <c r="R415" s="591"/>
      <c r="S415" s="591"/>
    </row>
    <row r="416" spans="1:19" ht="18.75" x14ac:dyDescent="0.25">
      <c r="A416" s="403"/>
      <c r="B416" s="411"/>
      <c r="C416" s="402"/>
      <c r="D416" s="403"/>
      <c r="E416" s="557"/>
      <c r="F416" s="501"/>
      <c r="G416" s="591"/>
      <c r="H416" s="591"/>
      <c r="I416" s="591"/>
      <c r="J416" s="591"/>
      <c r="K416" s="591"/>
      <c r="L416" s="591"/>
      <c r="M416" s="591"/>
      <c r="N416" s="591"/>
      <c r="O416" s="591"/>
      <c r="P416" s="591"/>
      <c r="Q416" s="591"/>
      <c r="R416" s="591"/>
      <c r="S416" s="591"/>
    </row>
    <row r="417" spans="1:6" ht="18.75" x14ac:dyDescent="0.25">
      <c r="A417" s="403"/>
      <c r="B417" s="411"/>
      <c r="C417" s="402"/>
      <c r="D417" s="403"/>
      <c r="E417" s="557"/>
      <c r="F417" s="501"/>
    </row>
    <row r="418" spans="1:6" ht="18.75" x14ac:dyDescent="0.25">
      <c r="A418" s="403"/>
      <c r="B418" s="411"/>
      <c r="C418" s="402"/>
      <c r="D418" s="403"/>
      <c r="E418" s="557"/>
      <c r="F418" s="501"/>
    </row>
    <row r="419" spans="1:6" ht="18.75" x14ac:dyDescent="0.25">
      <c r="A419" s="403"/>
      <c r="B419" s="411"/>
      <c r="C419" s="402"/>
      <c r="D419" s="403"/>
      <c r="E419" s="557"/>
      <c r="F419" s="501"/>
    </row>
    <row r="420" spans="1:6" ht="18.75" x14ac:dyDescent="0.25">
      <c r="A420" s="403"/>
      <c r="B420" s="408" t="s">
        <v>281</v>
      </c>
      <c r="C420" s="416"/>
      <c r="D420" s="407"/>
      <c r="E420" s="566"/>
      <c r="F420" s="439"/>
    </row>
    <row r="421" spans="1:6" ht="18.75" x14ac:dyDescent="0.25">
      <c r="A421" s="403"/>
      <c r="B421" s="416" t="s">
        <v>534</v>
      </c>
      <c r="C421" s="416"/>
      <c r="D421" s="407"/>
      <c r="E421" s="566" t="s">
        <v>15</v>
      </c>
      <c r="F421" s="296">
        <f>SUM(F395:F420)</f>
        <v>1149600</v>
      </c>
    </row>
    <row r="422" spans="1:6" ht="18.75" x14ac:dyDescent="0.25">
      <c r="A422" s="403"/>
      <c r="B422" s="402"/>
      <c r="C422" s="402"/>
      <c r="D422" s="403"/>
      <c r="E422" s="557"/>
      <c r="F422" s="405"/>
    </row>
    <row r="423" spans="1:6" ht="18.75" x14ac:dyDescent="0.25">
      <c r="A423" s="403"/>
      <c r="B423" s="408" t="s">
        <v>608</v>
      </c>
      <c r="C423" s="416"/>
      <c r="D423" s="407"/>
      <c r="E423" s="566"/>
      <c r="F423" s="296"/>
    </row>
    <row r="424" spans="1:6" ht="18.75" x14ac:dyDescent="0.25">
      <c r="A424" s="403"/>
      <c r="B424" s="408" t="s">
        <v>657</v>
      </c>
      <c r="C424" s="416"/>
      <c r="D424" s="407"/>
      <c r="E424" s="566"/>
      <c r="F424" s="296"/>
    </row>
    <row r="425" spans="1:6" ht="16.5" x14ac:dyDescent="0.3">
      <c r="A425" s="607"/>
      <c r="B425" s="604" t="s">
        <v>960</v>
      </c>
      <c r="C425" s="608"/>
      <c r="D425" s="607"/>
      <c r="E425" s="609"/>
      <c r="F425" s="604"/>
    </row>
    <row r="426" spans="1:6" ht="16.5" x14ac:dyDescent="0.3">
      <c r="A426" s="607"/>
      <c r="B426" s="604"/>
      <c r="C426" s="608"/>
      <c r="D426" s="607"/>
      <c r="E426" s="609"/>
      <c r="F426" s="604"/>
    </row>
    <row r="427" spans="1:6" ht="33" x14ac:dyDescent="0.3">
      <c r="A427" s="607" t="s">
        <v>2</v>
      </c>
      <c r="B427" s="610" t="s">
        <v>1083</v>
      </c>
      <c r="C427" s="608"/>
      <c r="D427" s="607" t="s">
        <v>401</v>
      </c>
      <c r="E427" s="609"/>
      <c r="F427" s="405">
        <v>457500</v>
      </c>
    </row>
    <row r="428" spans="1:6" ht="16.5" x14ac:dyDescent="0.3">
      <c r="A428" s="607"/>
      <c r="B428" s="604"/>
      <c r="C428" s="608"/>
      <c r="D428" s="607"/>
      <c r="E428" s="609"/>
      <c r="F428" s="604"/>
    </row>
    <row r="429" spans="1:6" ht="16.5" x14ac:dyDescent="0.3">
      <c r="A429" s="607"/>
      <c r="B429" s="604"/>
      <c r="C429" s="608"/>
      <c r="D429" s="607"/>
      <c r="E429" s="609"/>
      <c r="F429" s="604"/>
    </row>
    <row r="430" spans="1:6" ht="16.5" x14ac:dyDescent="0.3">
      <c r="A430" s="607"/>
      <c r="B430" s="604"/>
      <c r="C430" s="608"/>
      <c r="D430" s="607"/>
      <c r="E430" s="609"/>
      <c r="F430" s="604"/>
    </row>
    <row r="431" spans="1:6" ht="16.5" x14ac:dyDescent="0.3">
      <c r="A431" s="607"/>
      <c r="B431" s="604"/>
      <c r="C431" s="608"/>
      <c r="D431" s="607"/>
      <c r="E431" s="609"/>
      <c r="F431" s="604"/>
    </row>
    <row r="432" spans="1:6" ht="16.5" x14ac:dyDescent="0.3">
      <c r="A432" s="607"/>
      <c r="B432" s="604"/>
      <c r="C432" s="608"/>
      <c r="D432" s="607"/>
      <c r="E432" s="609"/>
      <c r="F432" s="604"/>
    </row>
    <row r="433" spans="1:6" ht="18.75" x14ac:dyDescent="0.3">
      <c r="A433" s="607"/>
      <c r="B433" s="604"/>
      <c r="C433" s="608"/>
      <c r="D433" s="607"/>
      <c r="E433" s="609"/>
      <c r="F433" s="405"/>
    </row>
    <row r="434" spans="1:6" ht="18.75" x14ac:dyDescent="0.3">
      <c r="A434" s="607"/>
      <c r="B434" s="604"/>
      <c r="C434" s="608"/>
      <c r="D434" s="607"/>
      <c r="E434" s="609"/>
      <c r="F434" s="405"/>
    </row>
    <row r="435" spans="1:6" ht="18.75" x14ac:dyDescent="0.3">
      <c r="A435" s="607"/>
      <c r="B435" s="604"/>
      <c r="C435" s="608"/>
      <c r="D435" s="607"/>
      <c r="E435" s="609"/>
      <c r="F435" s="405"/>
    </row>
    <row r="436" spans="1:6" ht="18.75" x14ac:dyDescent="0.3">
      <c r="A436" s="607"/>
      <c r="B436" s="604"/>
      <c r="C436" s="608"/>
      <c r="D436" s="607"/>
      <c r="E436" s="609"/>
      <c r="F436" s="405"/>
    </row>
    <row r="437" spans="1:6" ht="18.75" x14ac:dyDescent="0.3">
      <c r="A437" s="607"/>
      <c r="B437" s="604"/>
      <c r="C437" s="608"/>
      <c r="D437" s="607"/>
      <c r="E437" s="609"/>
      <c r="F437" s="405"/>
    </row>
    <row r="438" spans="1:6" ht="18.75" x14ac:dyDescent="0.3">
      <c r="A438" s="607"/>
      <c r="B438" s="604"/>
      <c r="C438" s="608"/>
      <c r="D438" s="607"/>
      <c r="E438" s="609"/>
      <c r="F438" s="405"/>
    </row>
    <row r="439" spans="1:6" ht="18.75" x14ac:dyDescent="0.3">
      <c r="A439" s="607"/>
      <c r="B439" s="604"/>
      <c r="C439" s="608"/>
      <c r="D439" s="607"/>
      <c r="E439" s="609"/>
      <c r="F439" s="405"/>
    </row>
    <row r="440" spans="1:6" ht="18.75" x14ac:dyDescent="0.3">
      <c r="A440" s="607"/>
      <c r="B440" s="604"/>
      <c r="C440" s="611"/>
      <c r="D440" s="607"/>
      <c r="E440" s="609"/>
      <c r="F440" s="405"/>
    </row>
    <row r="441" spans="1:6" ht="18.75" x14ac:dyDescent="0.3">
      <c r="A441" s="607"/>
      <c r="B441" s="604"/>
      <c r="C441" s="612"/>
      <c r="D441" s="607"/>
      <c r="E441" s="609"/>
      <c r="F441" s="405"/>
    </row>
    <row r="442" spans="1:6" ht="18.75" x14ac:dyDescent="0.3">
      <c r="A442" s="607"/>
      <c r="B442" s="604"/>
      <c r="C442" s="612"/>
      <c r="D442" s="607"/>
      <c r="E442" s="609"/>
      <c r="F442" s="405"/>
    </row>
    <row r="443" spans="1:6" ht="18.75" x14ac:dyDescent="0.3">
      <c r="A443" s="607"/>
      <c r="B443" s="408" t="s">
        <v>657</v>
      </c>
      <c r="C443" s="611"/>
      <c r="D443" s="607"/>
      <c r="E443" s="609"/>
      <c r="F443" s="405"/>
    </row>
    <row r="444" spans="1:6" ht="18" x14ac:dyDescent="0.35">
      <c r="A444" s="607"/>
      <c r="B444" s="416" t="s">
        <v>520</v>
      </c>
      <c r="C444" s="608"/>
      <c r="D444" s="607"/>
      <c r="E444" s="613" t="s">
        <v>15</v>
      </c>
      <c r="F444" s="614">
        <f>F427</f>
        <v>457500</v>
      </c>
    </row>
    <row r="445" spans="1:6" ht="18.75" x14ac:dyDescent="0.25">
      <c r="A445" s="403"/>
      <c r="B445" s="408" t="s">
        <v>609</v>
      </c>
      <c r="C445" s="402"/>
      <c r="D445" s="403"/>
      <c r="E445" s="557"/>
      <c r="F445" s="405"/>
    </row>
    <row r="446" spans="1:6" ht="18.75" x14ac:dyDescent="0.25">
      <c r="A446" s="403"/>
      <c r="B446" s="402"/>
      <c r="C446" s="402"/>
      <c r="D446" s="403"/>
      <c r="E446" s="557"/>
      <c r="F446" s="405"/>
    </row>
    <row r="447" spans="1:6" ht="18.75" x14ac:dyDescent="0.25">
      <c r="A447" s="403"/>
      <c r="B447" s="615" t="s">
        <v>659</v>
      </c>
      <c r="C447" s="402"/>
      <c r="D447" s="403"/>
      <c r="E447" s="557"/>
      <c r="F447" s="405"/>
    </row>
    <row r="448" spans="1:6" ht="18.75" x14ac:dyDescent="0.25">
      <c r="A448" s="403"/>
      <c r="B448" s="402"/>
      <c r="C448" s="402"/>
      <c r="D448" s="403"/>
      <c r="E448" s="557"/>
      <c r="F448" s="405"/>
    </row>
    <row r="449" spans="1:6" ht="33" x14ac:dyDescent="0.3">
      <c r="A449" s="403" t="s">
        <v>2</v>
      </c>
      <c r="B449" s="610" t="s">
        <v>978</v>
      </c>
      <c r="C449" s="402"/>
      <c r="D449" s="607" t="s">
        <v>401</v>
      </c>
      <c r="E449" s="557"/>
      <c r="F449" s="405">
        <v>640500</v>
      </c>
    </row>
    <row r="450" spans="1:6" ht="18.75" x14ac:dyDescent="0.25">
      <c r="A450" s="403"/>
      <c r="B450" s="402"/>
      <c r="C450" s="402"/>
      <c r="D450" s="403"/>
      <c r="E450" s="557"/>
      <c r="F450" s="405"/>
    </row>
    <row r="451" spans="1:6" ht="18.75" x14ac:dyDescent="0.25">
      <c r="A451" s="403"/>
      <c r="B451" s="402"/>
      <c r="C451" s="402"/>
      <c r="D451" s="403"/>
      <c r="E451" s="557"/>
      <c r="F451" s="405"/>
    </row>
    <row r="452" spans="1:6" ht="18.75" x14ac:dyDescent="0.25">
      <c r="A452" s="403"/>
      <c r="B452" s="402"/>
      <c r="C452" s="402"/>
      <c r="D452" s="403"/>
      <c r="E452" s="557"/>
      <c r="F452" s="405"/>
    </row>
    <row r="453" spans="1:6" ht="18.75" x14ac:dyDescent="0.25">
      <c r="A453" s="403"/>
      <c r="B453" s="402"/>
      <c r="C453" s="402"/>
      <c r="D453" s="403"/>
      <c r="E453" s="557"/>
      <c r="F453" s="405"/>
    </row>
    <row r="454" spans="1:6" ht="18.75" x14ac:dyDescent="0.25">
      <c r="A454" s="403"/>
      <c r="B454" s="402"/>
      <c r="C454" s="402"/>
      <c r="D454" s="403"/>
      <c r="E454" s="557"/>
      <c r="F454" s="405"/>
    </row>
    <row r="455" spans="1:6" ht="18.75" x14ac:dyDescent="0.25">
      <c r="A455" s="403"/>
      <c r="B455" s="402"/>
      <c r="C455" s="402"/>
      <c r="D455" s="403"/>
      <c r="E455" s="557"/>
      <c r="F455" s="405"/>
    </row>
    <row r="456" spans="1:6" ht="18.75" x14ac:dyDescent="0.25">
      <c r="A456" s="403"/>
      <c r="B456" s="402"/>
      <c r="C456" s="402"/>
      <c r="D456" s="403"/>
      <c r="E456" s="557"/>
      <c r="F456" s="405"/>
    </row>
    <row r="457" spans="1:6" ht="18.75" x14ac:dyDescent="0.25">
      <c r="A457" s="403"/>
      <c r="B457" s="402"/>
      <c r="C457" s="402"/>
      <c r="D457" s="403"/>
      <c r="E457" s="557"/>
      <c r="F457" s="405"/>
    </row>
    <row r="458" spans="1:6" ht="18.75" x14ac:dyDescent="0.25">
      <c r="A458" s="403"/>
      <c r="B458" s="402"/>
      <c r="C458" s="402"/>
      <c r="D458" s="403"/>
      <c r="E458" s="557"/>
      <c r="F458" s="405"/>
    </row>
    <row r="459" spans="1:6" ht="18.75" x14ac:dyDescent="0.25">
      <c r="A459" s="403"/>
      <c r="B459" s="402"/>
      <c r="C459" s="402"/>
      <c r="D459" s="403"/>
      <c r="E459" s="557"/>
      <c r="F459" s="405"/>
    </row>
    <row r="460" spans="1:6" ht="18.75" x14ac:dyDescent="0.25">
      <c r="A460" s="403"/>
      <c r="B460" s="402"/>
      <c r="C460" s="402"/>
      <c r="D460" s="403"/>
      <c r="E460" s="557"/>
      <c r="F460" s="405"/>
    </row>
    <row r="461" spans="1:6" ht="18.75" x14ac:dyDescent="0.25">
      <c r="A461" s="403"/>
      <c r="B461" s="402"/>
      <c r="C461" s="402"/>
      <c r="D461" s="403"/>
      <c r="E461" s="557"/>
      <c r="F461" s="405"/>
    </row>
    <row r="462" spans="1:6" ht="18.75" x14ac:dyDescent="0.25">
      <c r="A462" s="403"/>
      <c r="B462" s="402"/>
      <c r="C462" s="402"/>
      <c r="D462" s="403"/>
      <c r="E462" s="557"/>
      <c r="F462" s="405"/>
    </row>
    <row r="463" spans="1:6" ht="18.75" x14ac:dyDescent="0.25">
      <c r="A463" s="403"/>
      <c r="B463" s="402"/>
      <c r="C463" s="402"/>
      <c r="D463" s="403"/>
      <c r="E463" s="557"/>
      <c r="F463" s="405"/>
    </row>
    <row r="464" spans="1:6" ht="18.75" x14ac:dyDescent="0.25">
      <c r="A464" s="403"/>
      <c r="B464" s="402"/>
      <c r="C464" s="402"/>
      <c r="D464" s="403"/>
      <c r="E464" s="557"/>
      <c r="F464" s="405"/>
    </row>
    <row r="465" spans="1:6" ht="18.75" x14ac:dyDescent="0.25">
      <c r="A465" s="403"/>
      <c r="B465" s="402"/>
      <c r="C465" s="402"/>
      <c r="D465" s="403"/>
      <c r="E465" s="557"/>
      <c r="F465" s="405"/>
    </row>
    <row r="466" spans="1:6" ht="18.75" x14ac:dyDescent="0.25">
      <c r="A466" s="403"/>
      <c r="B466" s="402"/>
      <c r="C466" s="402"/>
      <c r="D466" s="403"/>
      <c r="E466" s="557"/>
      <c r="F466" s="405"/>
    </row>
    <row r="467" spans="1:6" ht="18.75" x14ac:dyDescent="0.25">
      <c r="A467" s="403"/>
      <c r="B467" s="402"/>
      <c r="C467" s="402"/>
      <c r="D467" s="403"/>
      <c r="E467" s="557"/>
      <c r="F467" s="405"/>
    </row>
    <row r="468" spans="1:6" ht="18.75" x14ac:dyDescent="0.25">
      <c r="A468" s="403"/>
      <c r="B468" s="402"/>
      <c r="C468" s="402"/>
      <c r="D468" s="403"/>
      <c r="E468" s="557"/>
      <c r="F468" s="405"/>
    </row>
    <row r="469" spans="1:6" ht="18.75" x14ac:dyDescent="0.25">
      <c r="A469" s="403"/>
      <c r="B469" s="615" t="s">
        <v>659</v>
      </c>
      <c r="C469" s="402"/>
      <c r="D469" s="403"/>
      <c r="E469" s="557"/>
      <c r="F469" s="405"/>
    </row>
    <row r="470" spans="1:6" ht="18" x14ac:dyDescent="0.35">
      <c r="A470" s="607"/>
      <c r="B470" s="416" t="s">
        <v>520</v>
      </c>
      <c r="C470" s="608"/>
      <c r="D470" s="607"/>
      <c r="E470" s="613" t="s">
        <v>15</v>
      </c>
      <c r="F470" s="616">
        <f>F449</f>
        <v>640500</v>
      </c>
    </row>
    <row r="471" spans="1:6" ht="18.75" x14ac:dyDescent="0.25">
      <c r="A471" s="403"/>
      <c r="B471" s="416"/>
      <c r="C471" s="416"/>
      <c r="D471" s="407"/>
      <c r="E471" s="566"/>
      <c r="F471" s="426"/>
    </row>
    <row r="472" spans="1:6" ht="18.75" x14ac:dyDescent="0.25">
      <c r="A472" s="403"/>
      <c r="B472" s="408"/>
      <c r="C472" s="402"/>
      <c r="D472" s="403"/>
      <c r="E472" s="557"/>
      <c r="F472" s="424"/>
    </row>
    <row r="473" spans="1:6" ht="18.75" x14ac:dyDescent="0.25">
      <c r="A473" s="403"/>
      <c r="B473" s="409" t="s">
        <v>450</v>
      </c>
      <c r="C473" s="402"/>
      <c r="D473" s="403"/>
      <c r="E473" s="557"/>
      <c r="F473" s="405"/>
    </row>
    <row r="474" spans="1:6" ht="18.75" x14ac:dyDescent="0.25">
      <c r="A474" s="403"/>
      <c r="B474" s="402"/>
      <c r="C474" s="402"/>
      <c r="D474" s="403"/>
      <c r="E474" s="557"/>
      <c r="F474" s="437"/>
    </row>
    <row r="475" spans="1:6" ht="18.75" x14ac:dyDescent="0.25">
      <c r="A475" s="403"/>
      <c r="B475" s="421" t="s">
        <v>533</v>
      </c>
      <c r="C475" s="402"/>
      <c r="D475" s="403"/>
      <c r="E475" s="557">
        <f>F72</f>
        <v>3149675</v>
      </c>
      <c r="F475" s="438"/>
    </row>
    <row r="476" spans="1:6" ht="18.75" x14ac:dyDescent="0.25">
      <c r="A476" s="403"/>
      <c r="B476" s="402"/>
      <c r="C476" s="402"/>
      <c r="D476" s="403"/>
      <c r="E476" s="557"/>
      <c r="F476" s="438"/>
    </row>
    <row r="477" spans="1:6" ht="18.75" x14ac:dyDescent="0.25">
      <c r="A477" s="403"/>
      <c r="B477" s="402" t="s">
        <v>195</v>
      </c>
      <c r="C477" s="402"/>
      <c r="D477" s="403"/>
      <c r="E477" s="557">
        <f>F120</f>
        <v>4351600</v>
      </c>
      <c r="F477" s="438"/>
    </row>
    <row r="478" spans="1:6" ht="18.75" x14ac:dyDescent="0.25">
      <c r="A478" s="403"/>
      <c r="B478" s="402"/>
      <c r="C478" s="402"/>
      <c r="D478" s="403"/>
      <c r="E478" s="557"/>
      <c r="F478" s="405"/>
    </row>
    <row r="479" spans="1:6" ht="18.75" x14ac:dyDescent="0.25">
      <c r="A479" s="403"/>
      <c r="B479" s="402" t="s">
        <v>602</v>
      </c>
      <c r="C479" s="402"/>
      <c r="D479" s="403"/>
      <c r="E479" s="557">
        <f>F148</f>
        <v>950700</v>
      </c>
      <c r="F479" s="438"/>
    </row>
    <row r="480" spans="1:6" ht="18.75" x14ac:dyDescent="0.25">
      <c r="A480" s="403"/>
      <c r="B480" s="402"/>
      <c r="C480" s="402"/>
      <c r="D480" s="403"/>
      <c r="E480" s="557"/>
      <c r="F480" s="405"/>
    </row>
    <row r="481" spans="1:6" ht="18.75" x14ac:dyDescent="0.25">
      <c r="A481" s="403"/>
      <c r="B481" s="402" t="s">
        <v>607</v>
      </c>
      <c r="C481" s="402"/>
      <c r="D481" s="403"/>
      <c r="E481" s="557">
        <f>F172</f>
        <v>141750</v>
      </c>
      <c r="F481" s="438"/>
    </row>
    <row r="482" spans="1:6" ht="18.75" x14ac:dyDescent="0.25">
      <c r="A482" s="403"/>
      <c r="B482" s="402"/>
      <c r="C482" s="402"/>
      <c r="D482" s="403"/>
      <c r="E482" s="557"/>
      <c r="F482" s="405"/>
    </row>
    <row r="483" spans="1:6" ht="18.75" x14ac:dyDescent="0.25">
      <c r="A483" s="403"/>
      <c r="B483" s="402" t="s">
        <v>163</v>
      </c>
      <c r="C483" s="402"/>
      <c r="D483" s="403"/>
      <c r="E483" s="557">
        <f>F287</f>
        <v>5898050</v>
      </c>
      <c r="F483" s="438"/>
    </row>
    <row r="484" spans="1:6" ht="18.75" x14ac:dyDescent="0.25">
      <c r="A484" s="403"/>
      <c r="B484" s="402"/>
      <c r="C484" s="402"/>
      <c r="D484" s="403"/>
      <c r="E484" s="557"/>
      <c r="F484" s="405"/>
    </row>
    <row r="485" spans="1:6" ht="18.75" x14ac:dyDescent="0.25">
      <c r="A485" s="403"/>
      <c r="B485" s="402" t="s">
        <v>236</v>
      </c>
      <c r="C485" s="402"/>
      <c r="D485" s="403"/>
      <c r="E485" s="557">
        <f>F338</f>
        <v>1004420</v>
      </c>
      <c r="F485" s="438"/>
    </row>
    <row r="486" spans="1:6" ht="18.75" x14ac:dyDescent="0.25">
      <c r="A486" s="403"/>
      <c r="B486" s="402"/>
      <c r="C486" s="402"/>
      <c r="D486" s="403"/>
      <c r="E486" s="557"/>
      <c r="F486" s="405"/>
    </row>
    <row r="487" spans="1:6" ht="18.75" x14ac:dyDescent="0.25">
      <c r="A487" s="403"/>
      <c r="B487" s="402" t="s">
        <v>265</v>
      </c>
      <c r="C487" s="402"/>
      <c r="D487" s="403"/>
      <c r="E487" s="557">
        <f>F384</f>
        <v>292437.5</v>
      </c>
      <c r="F487" s="438"/>
    </row>
    <row r="488" spans="1:6" ht="18.75" x14ac:dyDescent="0.25">
      <c r="A488" s="403"/>
      <c r="B488" s="402"/>
      <c r="C488" s="402"/>
      <c r="D488" s="403"/>
      <c r="E488" s="557"/>
      <c r="F488" s="405"/>
    </row>
    <row r="489" spans="1:6" ht="18.75" x14ac:dyDescent="0.25">
      <c r="A489" s="403"/>
      <c r="B489" s="402" t="s">
        <v>281</v>
      </c>
      <c r="C489" s="402"/>
      <c r="D489" s="403"/>
      <c r="E489" s="557">
        <f>F421</f>
        <v>1149600</v>
      </c>
      <c r="F489" s="438"/>
    </row>
    <row r="490" spans="1:6" ht="18.75" x14ac:dyDescent="0.25">
      <c r="A490" s="403"/>
      <c r="B490" s="402"/>
      <c r="C490" s="402"/>
      <c r="D490" s="403"/>
      <c r="E490" s="557"/>
      <c r="F490" s="405"/>
    </row>
    <row r="491" spans="1:6" ht="18.75" x14ac:dyDescent="0.25">
      <c r="A491" s="403"/>
      <c r="B491" s="402" t="s">
        <v>658</v>
      </c>
      <c r="C491" s="402"/>
      <c r="D491" s="403"/>
      <c r="E491" s="557">
        <f>F444</f>
        <v>457500</v>
      </c>
      <c r="F491" s="438"/>
    </row>
    <row r="492" spans="1:6" ht="18.75" x14ac:dyDescent="0.25">
      <c r="A492" s="403"/>
      <c r="B492" s="402"/>
      <c r="C492" s="402"/>
      <c r="D492" s="403"/>
      <c r="E492" s="557"/>
      <c r="F492" s="405"/>
    </row>
    <row r="493" spans="1:6" ht="18.75" x14ac:dyDescent="0.25">
      <c r="A493" s="403"/>
      <c r="B493" s="402" t="s">
        <v>659</v>
      </c>
      <c r="C493" s="402"/>
      <c r="D493" s="403"/>
      <c r="E493" s="557">
        <f>F470</f>
        <v>640500</v>
      </c>
      <c r="F493" s="438"/>
    </row>
    <row r="494" spans="1:6" ht="18.75" x14ac:dyDescent="0.25">
      <c r="A494" s="403"/>
      <c r="B494" s="402"/>
      <c r="C494" s="402"/>
      <c r="D494" s="403"/>
      <c r="E494" s="557"/>
      <c r="F494" s="405"/>
    </row>
    <row r="495" spans="1:6" ht="18.75" x14ac:dyDescent="0.25">
      <c r="A495" s="403"/>
      <c r="B495" s="402"/>
      <c r="C495" s="402"/>
      <c r="D495" s="403"/>
      <c r="E495" s="557"/>
      <c r="F495" s="405"/>
    </row>
    <row r="496" spans="1:6" ht="18.75" x14ac:dyDescent="0.25">
      <c r="A496" s="403"/>
      <c r="B496" s="402"/>
      <c r="C496" s="402"/>
      <c r="D496" s="403"/>
      <c r="E496" s="557"/>
      <c r="F496" s="405"/>
    </row>
    <row r="497" spans="1:6" ht="18.75" x14ac:dyDescent="0.25">
      <c r="A497" s="403"/>
      <c r="B497" s="402"/>
      <c r="C497" s="402"/>
      <c r="D497" s="403"/>
      <c r="E497" s="557"/>
      <c r="F497" s="405"/>
    </row>
    <row r="498" spans="1:6" ht="18.75" x14ac:dyDescent="0.25">
      <c r="A498" s="403"/>
      <c r="B498" s="402"/>
      <c r="C498" s="402"/>
      <c r="D498" s="403"/>
      <c r="E498" s="557"/>
      <c r="F498" s="405"/>
    </row>
    <row r="499" spans="1:6" ht="18.75" x14ac:dyDescent="0.25">
      <c r="A499" s="403"/>
      <c r="B499" s="402"/>
      <c r="C499" s="402"/>
      <c r="D499" s="403"/>
      <c r="E499" s="557"/>
      <c r="F499" s="405"/>
    </row>
    <row r="500" spans="1:6" ht="18.75" x14ac:dyDescent="0.25">
      <c r="A500" s="403"/>
      <c r="B500" s="402"/>
      <c r="C500" s="402"/>
      <c r="D500" s="403"/>
      <c r="E500" s="557"/>
      <c r="F500" s="405"/>
    </row>
    <row r="501" spans="1:6" ht="18.75" x14ac:dyDescent="0.25">
      <c r="A501" s="403"/>
      <c r="B501" s="402"/>
      <c r="C501" s="402"/>
      <c r="D501" s="403"/>
      <c r="E501" s="557"/>
      <c r="F501" s="405"/>
    </row>
    <row r="502" spans="1:6" ht="18.75" x14ac:dyDescent="0.25">
      <c r="A502" s="403"/>
      <c r="B502" s="402"/>
      <c r="C502" s="402"/>
      <c r="D502" s="403"/>
      <c r="E502" s="557"/>
      <c r="F502" s="405"/>
    </row>
    <row r="503" spans="1:6" ht="18.75" x14ac:dyDescent="0.25">
      <c r="A503" s="403"/>
      <c r="B503" s="402"/>
      <c r="C503" s="402"/>
      <c r="D503" s="403"/>
      <c r="E503" s="557"/>
      <c r="F503" s="405"/>
    </row>
    <row r="504" spans="1:6" ht="18.75" x14ac:dyDescent="0.25">
      <c r="A504" s="403"/>
      <c r="B504" s="402"/>
      <c r="C504" s="402"/>
      <c r="D504" s="403"/>
      <c r="E504" s="557"/>
      <c r="F504" s="405"/>
    </row>
    <row r="505" spans="1:6" ht="18.75" x14ac:dyDescent="0.25">
      <c r="A505" s="403"/>
      <c r="B505" s="402"/>
      <c r="C505" s="402"/>
      <c r="D505" s="403"/>
      <c r="E505" s="557"/>
      <c r="F505" s="405"/>
    </row>
    <row r="506" spans="1:6" ht="18.75" x14ac:dyDescent="0.25">
      <c r="A506" s="403"/>
      <c r="B506" s="402"/>
      <c r="C506" s="402"/>
      <c r="D506" s="403"/>
      <c r="E506" s="557"/>
      <c r="F506" s="405"/>
    </row>
    <row r="507" spans="1:6" ht="18.75" x14ac:dyDescent="0.25">
      <c r="A507" s="403"/>
      <c r="B507" s="402"/>
      <c r="C507" s="402"/>
      <c r="D507" s="403"/>
      <c r="E507" s="557"/>
      <c r="F507" s="405"/>
    </row>
    <row r="508" spans="1:6" ht="18.75" x14ac:dyDescent="0.25">
      <c r="A508" s="403"/>
      <c r="B508" s="425" t="s">
        <v>951</v>
      </c>
      <c r="C508" s="416"/>
      <c r="D508" s="407"/>
      <c r="E508" s="566"/>
      <c r="F508" s="439"/>
    </row>
    <row r="509" spans="1:6" ht="19.5" thickBot="1" x14ac:dyDescent="0.3">
      <c r="A509" s="403"/>
      <c r="B509" s="416" t="s">
        <v>695</v>
      </c>
      <c r="C509" s="416"/>
      <c r="D509" s="407"/>
      <c r="E509" s="566" t="s">
        <v>15</v>
      </c>
      <c r="F509" s="440">
        <f>SUM(E475:E493)</f>
        <v>18036232.5</v>
      </c>
    </row>
    <row r="510" spans="1:6" ht="19.5" thickTop="1" x14ac:dyDescent="0.25">
      <c r="A510" s="403"/>
      <c r="B510" s="402"/>
      <c r="C510" s="402"/>
      <c r="D510" s="403"/>
      <c r="E510" s="557"/>
      <c r="F510" s="405"/>
    </row>
    <row r="511" spans="1:6" ht="18.75" x14ac:dyDescent="0.25">
      <c r="A511" s="403"/>
      <c r="B511" s="402"/>
      <c r="C511" s="402"/>
      <c r="D511" s="403"/>
      <c r="E511" s="557"/>
      <c r="F511" s="405"/>
    </row>
    <row r="512" spans="1:6" ht="18.75" x14ac:dyDescent="0.25">
      <c r="A512" s="403"/>
      <c r="B512" s="416"/>
      <c r="C512" s="441"/>
      <c r="D512" s="407" t="s">
        <v>472</v>
      </c>
      <c r="E512" s="557"/>
      <c r="F512" s="296"/>
    </row>
    <row r="513" spans="1:6" ht="18.75" x14ac:dyDescent="0.25">
      <c r="A513" s="403"/>
      <c r="B513" s="416" t="s">
        <v>471</v>
      </c>
      <c r="C513" s="416"/>
      <c r="D513" s="407"/>
      <c r="E513" s="566"/>
      <c r="F513" s="296">
        <v>97</v>
      </c>
    </row>
    <row r="514" spans="1:6" ht="18.75" x14ac:dyDescent="0.25">
      <c r="A514" s="403"/>
      <c r="B514" s="416"/>
      <c r="C514" s="416"/>
      <c r="D514" s="407"/>
      <c r="E514" s="566"/>
      <c r="F514" s="296"/>
    </row>
    <row r="515" spans="1:6" ht="18.75" x14ac:dyDescent="0.25">
      <c r="A515" s="403"/>
      <c r="B515" s="416"/>
      <c r="C515" s="416"/>
      <c r="D515" s="407"/>
      <c r="E515" s="566"/>
      <c r="F515" s="296"/>
    </row>
    <row r="516" spans="1:6" ht="18.75" x14ac:dyDescent="0.25">
      <c r="A516" s="403"/>
      <c r="B516" s="416" t="s">
        <v>946</v>
      </c>
      <c r="C516" s="416"/>
      <c r="D516" s="407"/>
      <c r="E516" s="566"/>
      <c r="F516" s="296">
        <f>F509/F513</f>
        <v>185940.54123711342</v>
      </c>
    </row>
    <row r="517" spans="1:6" ht="18.75" x14ac:dyDescent="0.25">
      <c r="A517" s="403"/>
      <c r="B517" s="416" t="s">
        <v>875</v>
      </c>
      <c r="C517" s="416"/>
      <c r="D517" s="407"/>
      <c r="E517" s="566"/>
      <c r="F517" s="296">
        <f>F509/2</f>
        <v>9018116.25</v>
      </c>
    </row>
    <row r="518" spans="1:6" ht="18.75" x14ac:dyDescent="0.25">
      <c r="A518" s="403"/>
      <c r="B518" s="416"/>
      <c r="C518" s="416"/>
      <c r="D518" s="407"/>
      <c r="E518" s="566"/>
      <c r="F518" s="296"/>
    </row>
    <row r="519" spans="1:6" ht="18.75" x14ac:dyDescent="0.25">
      <c r="A519" s="403"/>
      <c r="B519" s="416"/>
      <c r="C519" s="416"/>
      <c r="D519" s="407"/>
      <c r="E519" s="566"/>
      <c r="F519" s="296"/>
    </row>
    <row r="520" spans="1:6" ht="18.75" x14ac:dyDescent="0.25">
      <c r="A520" s="403"/>
      <c r="B520" s="416"/>
      <c r="C520" s="416"/>
      <c r="D520" s="407"/>
      <c r="E520" s="566"/>
      <c r="F520" s="296"/>
    </row>
    <row r="521" spans="1:6" ht="18.75" x14ac:dyDescent="0.25">
      <c r="A521" s="403"/>
      <c r="B521" s="416"/>
      <c r="C521" s="416"/>
      <c r="D521" s="407"/>
      <c r="E521" s="566"/>
      <c r="F521" s="296"/>
    </row>
    <row r="522" spans="1:6" ht="18.75" x14ac:dyDescent="0.25">
      <c r="A522" s="403"/>
      <c r="B522" s="416"/>
      <c r="C522" s="416"/>
      <c r="D522" s="407"/>
      <c r="E522" s="566"/>
      <c r="F522" s="296"/>
    </row>
    <row r="523" spans="1:6" ht="18.75" x14ac:dyDescent="0.25">
      <c r="A523" s="403"/>
      <c r="B523" s="416" t="s">
        <v>473</v>
      </c>
      <c r="C523" s="442"/>
      <c r="D523" s="407"/>
      <c r="E523" s="566">
        <f>F509</f>
        <v>18036232.5</v>
      </c>
      <c r="F523" s="296"/>
    </row>
    <row r="524" spans="1:6" ht="18.75" x14ac:dyDescent="0.25">
      <c r="A524" s="403"/>
      <c r="B524" s="408" t="s">
        <v>474</v>
      </c>
      <c r="C524" s="416"/>
      <c r="D524" s="407"/>
      <c r="E524" s="566"/>
      <c r="F524" s="296"/>
    </row>
    <row r="525" spans="1:6" ht="18.75" x14ac:dyDescent="0.25">
      <c r="A525" s="403"/>
      <c r="B525" s="416" t="s">
        <v>692</v>
      </c>
      <c r="C525" s="416"/>
      <c r="D525" s="407"/>
      <c r="E525" s="566">
        <f>E523*5%</f>
        <v>901811.625</v>
      </c>
      <c r="F525" s="296"/>
    </row>
    <row r="526" spans="1:6" ht="18.75" x14ac:dyDescent="0.25">
      <c r="A526" s="403"/>
      <c r="B526" s="416"/>
      <c r="C526" s="416"/>
      <c r="D526" s="407"/>
      <c r="E526" s="566"/>
      <c r="F526" s="296"/>
    </row>
    <row r="527" spans="1:6" ht="18.75" x14ac:dyDescent="0.25">
      <c r="A527" s="403"/>
      <c r="B527" s="443" t="s">
        <v>476</v>
      </c>
      <c r="C527" s="443"/>
      <c r="D527" s="444" t="s">
        <v>15</v>
      </c>
      <c r="E527" s="588">
        <f>SUM(E523:E526)</f>
        <v>18938044.125</v>
      </c>
      <c r="F527" s="296"/>
    </row>
    <row r="528" spans="1:6" ht="18.75" x14ac:dyDescent="0.25">
      <c r="A528" s="403"/>
      <c r="B528" s="408" t="s">
        <v>474</v>
      </c>
      <c r="C528" s="443"/>
      <c r="D528" s="444"/>
      <c r="E528" s="589"/>
      <c r="F528" s="296"/>
    </row>
    <row r="529" spans="1:6" ht="18.75" x14ac:dyDescent="0.25">
      <c r="A529" s="403"/>
      <c r="B529" s="416" t="s">
        <v>477</v>
      </c>
      <c r="C529" s="416"/>
      <c r="D529" s="407"/>
      <c r="E529" s="566">
        <f>E527*7.5%</f>
        <v>1420353.309375</v>
      </c>
      <c r="F529" s="296"/>
    </row>
    <row r="530" spans="1:6" ht="19.5" thickBot="1" x14ac:dyDescent="0.3">
      <c r="A530" s="403"/>
      <c r="B530" s="416"/>
      <c r="C530" s="416"/>
      <c r="D530" s="407"/>
      <c r="E530" s="590">
        <f>SUM(E527:E529)</f>
        <v>20358397.434374999</v>
      </c>
      <c r="F530" s="296"/>
    </row>
    <row r="531" spans="1:6" ht="19.5" thickTop="1" x14ac:dyDescent="0.25">
      <c r="A531" s="403"/>
      <c r="B531" s="416"/>
      <c r="C531" s="416"/>
      <c r="D531" s="407"/>
      <c r="E531" s="566"/>
      <c r="F531" s="296"/>
    </row>
    <row r="532" spans="1:6" ht="18.75" hidden="1" x14ac:dyDescent="0.25">
      <c r="A532" s="403"/>
      <c r="B532" s="416" t="s">
        <v>478</v>
      </c>
      <c r="C532" s="416"/>
      <c r="D532" s="407"/>
      <c r="E532" s="566">
        <f>E530/2</f>
        <v>10179198.7171875</v>
      </c>
      <c r="F532" s="296"/>
    </row>
    <row r="533" spans="1:6" ht="18.75" hidden="1" x14ac:dyDescent="0.25">
      <c r="A533" s="403"/>
      <c r="B533" s="416"/>
      <c r="C533" s="416"/>
      <c r="D533" s="407"/>
      <c r="E533" s="566"/>
      <c r="F533" s="296"/>
    </row>
    <row r="534" spans="1:6" ht="18.75" hidden="1" x14ac:dyDescent="0.25">
      <c r="A534" s="403"/>
      <c r="B534" s="416" t="s">
        <v>479</v>
      </c>
      <c r="C534" s="416"/>
      <c r="D534" s="407"/>
      <c r="E534" s="566">
        <f>E530/F513</f>
        <v>209880.38592139175</v>
      </c>
      <c r="F534" s="296"/>
    </row>
    <row r="535" spans="1:6" ht="18.75" x14ac:dyDescent="0.25">
      <c r="B535" s="416"/>
      <c r="C535" s="402"/>
      <c r="D535" s="403"/>
      <c r="E535" s="557"/>
      <c r="F535" s="405"/>
    </row>
    <row r="536" spans="1:6" x14ac:dyDescent="0.25">
      <c r="A536" s="591"/>
      <c r="B536" s="591"/>
      <c r="C536" s="591"/>
      <c r="D536" s="591"/>
      <c r="E536" s="591"/>
      <c r="F536" s="591"/>
    </row>
  </sheetData>
  <pageMargins left="0.69930555555555596" right="0.69930555555555596" top="0.75" bottom="0.75" header="0.3" footer="0.3"/>
  <pageSetup paperSize="9" scale="65" orientation="portrait" r:id="rId1"/>
  <headerFooter>
    <oddFooter>Page &amp;P</oddFooter>
  </headerFooter>
  <rowBreaks count="15" manualBreakCount="15">
    <brk id="28" max="16383" man="1"/>
    <brk id="45" max="16383" man="1"/>
    <brk id="72" max="16383" man="1"/>
    <brk id="120" max="16383" man="1"/>
    <brk id="148" max="16383" man="1"/>
    <brk id="172" max="16383" man="1"/>
    <brk id="207" max="16383" man="1"/>
    <brk id="259" max="16383" man="1"/>
    <brk id="287" max="16383" man="1"/>
    <brk id="338" max="16383" man="1"/>
    <brk id="384" max="16383" man="1"/>
    <brk id="421" max="16383" man="1"/>
    <brk id="444" max="16383" man="1"/>
    <brk id="470" max="16383" man="1"/>
    <brk id="5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D2A-EF3F-43E9-9DF7-969A31E7E0E3}">
  <dimension ref="A1:J29"/>
  <sheetViews>
    <sheetView view="pageBreakPreview" zoomScaleNormal="96" zoomScaleSheetLayoutView="100" workbookViewId="0">
      <selection activeCell="A5" sqref="A5:J10"/>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981</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idden="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8C5D-BA6C-4ABC-8A7D-7BAC5E1B2F00}">
  <dimension ref="A1:F183"/>
  <sheetViews>
    <sheetView tabSelected="1" view="pageBreakPreview" topLeftCell="A79" zoomScaleNormal="100" zoomScaleSheetLayoutView="100" workbookViewId="0">
      <selection activeCell="B83" sqref="B83"/>
    </sheetView>
  </sheetViews>
  <sheetFormatPr defaultColWidth="9.5703125" defaultRowHeight="15" x14ac:dyDescent="0.25"/>
  <cols>
    <col min="1" max="1" width="2.5703125" bestFit="1" customWidth="1"/>
    <col min="2" max="2" width="43.42578125" customWidth="1"/>
    <col min="3" max="3" width="10.7109375" customWidth="1"/>
    <col min="4" max="4" width="5.140625" bestFit="1" customWidth="1"/>
    <col min="5" max="5" width="21.140625" customWidth="1"/>
    <col min="6" max="6" width="19.42578125" customWidth="1"/>
    <col min="257" max="257" width="6.5703125" customWidth="1"/>
    <col min="258" max="258" width="38.5703125" customWidth="1"/>
    <col min="260" max="260" width="12.140625" customWidth="1"/>
    <col min="261" max="261" width="19.28515625" customWidth="1"/>
    <col min="262" max="262" width="17.85546875" customWidth="1"/>
    <col min="513" max="513" width="6.5703125" customWidth="1"/>
    <col min="514" max="514" width="38.5703125" customWidth="1"/>
    <col min="516" max="516" width="12.140625" customWidth="1"/>
    <col min="517" max="517" width="19.28515625" customWidth="1"/>
    <col min="518" max="518" width="17.85546875" customWidth="1"/>
    <col min="769" max="769" width="6.5703125" customWidth="1"/>
    <col min="770" max="770" width="38.5703125" customWidth="1"/>
    <col min="772" max="772" width="12.140625" customWidth="1"/>
    <col min="773" max="773" width="19.28515625" customWidth="1"/>
    <col min="774" max="774" width="17.85546875" customWidth="1"/>
    <col min="1025" max="1025" width="6.5703125" customWidth="1"/>
    <col min="1026" max="1026" width="38.5703125" customWidth="1"/>
    <col min="1028" max="1028" width="12.140625" customWidth="1"/>
    <col min="1029" max="1029" width="19.28515625" customWidth="1"/>
    <col min="1030" max="1030" width="17.85546875" customWidth="1"/>
    <col min="1281" max="1281" width="6.5703125" customWidth="1"/>
    <col min="1282" max="1282" width="38.5703125" customWidth="1"/>
    <col min="1284" max="1284" width="12.140625" customWidth="1"/>
    <col min="1285" max="1285" width="19.28515625" customWidth="1"/>
    <col min="1286" max="1286" width="17.85546875" customWidth="1"/>
    <col min="1537" max="1537" width="6.5703125" customWidth="1"/>
    <col min="1538" max="1538" width="38.5703125" customWidth="1"/>
    <col min="1540" max="1540" width="12.140625" customWidth="1"/>
    <col min="1541" max="1541" width="19.28515625" customWidth="1"/>
    <col min="1542" max="1542" width="17.85546875" customWidth="1"/>
    <col min="1793" max="1793" width="6.5703125" customWidth="1"/>
    <col min="1794" max="1794" width="38.5703125" customWidth="1"/>
    <col min="1796" max="1796" width="12.140625" customWidth="1"/>
    <col min="1797" max="1797" width="19.28515625" customWidth="1"/>
    <col min="1798" max="1798" width="17.85546875" customWidth="1"/>
    <col min="2049" max="2049" width="6.5703125" customWidth="1"/>
    <col min="2050" max="2050" width="38.5703125" customWidth="1"/>
    <col min="2052" max="2052" width="12.140625" customWidth="1"/>
    <col min="2053" max="2053" width="19.28515625" customWidth="1"/>
    <col min="2054" max="2054" width="17.85546875" customWidth="1"/>
    <col min="2305" max="2305" width="6.5703125" customWidth="1"/>
    <col min="2306" max="2306" width="38.5703125" customWidth="1"/>
    <col min="2308" max="2308" width="12.140625" customWidth="1"/>
    <col min="2309" max="2309" width="19.28515625" customWidth="1"/>
    <col min="2310" max="2310" width="17.85546875" customWidth="1"/>
    <col min="2561" max="2561" width="6.5703125" customWidth="1"/>
    <col min="2562" max="2562" width="38.5703125" customWidth="1"/>
    <col min="2564" max="2564" width="12.140625" customWidth="1"/>
    <col min="2565" max="2565" width="19.28515625" customWidth="1"/>
    <col min="2566" max="2566" width="17.85546875" customWidth="1"/>
    <col min="2817" max="2817" width="6.5703125" customWidth="1"/>
    <col min="2818" max="2818" width="38.5703125" customWidth="1"/>
    <col min="2820" max="2820" width="12.140625" customWidth="1"/>
    <col min="2821" max="2821" width="19.28515625" customWidth="1"/>
    <col min="2822" max="2822" width="17.85546875" customWidth="1"/>
    <col min="3073" max="3073" width="6.5703125" customWidth="1"/>
    <col min="3074" max="3074" width="38.5703125" customWidth="1"/>
    <col min="3076" max="3076" width="12.140625" customWidth="1"/>
    <col min="3077" max="3077" width="19.28515625" customWidth="1"/>
    <col min="3078" max="3078" width="17.85546875" customWidth="1"/>
    <col min="3329" max="3329" width="6.5703125" customWidth="1"/>
    <col min="3330" max="3330" width="38.5703125" customWidth="1"/>
    <col min="3332" max="3332" width="12.140625" customWidth="1"/>
    <col min="3333" max="3333" width="19.28515625" customWidth="1"/>
    <col min="3334" max="3334" width="17.85546875" customWidth="1"/>
    <col min="3585" max="3585" width="6.5703125" customWidth="1"/>
    <col min="3586" max="3586" width="38.5703125" customWidth="1"/>
    <col min="3588" max="3588" width="12.140625" customWidth="1"/>
    <col min="3589" max="3589" width="19.28515625" customWidth="1"/>
    <col min="3590" max="3590" width="17.85546875" customWidth="1"/>
    <col min="3841" max="3841" width="6.5703125" customWidth="1"/>
    <col min="3842" max="3842" width="38.5703125" customWidth="1"/>
    <col min="3844" max="3844" width="12.140625" customWidth="1"/>
    <col min="3845" max="3845" width="19.28515625" customWidth="1"/>
    <col min="3846" max="3846" width="17.85546875" customWidth="1"/>
    <col min="4097" max="4097" width="6.5703125" customWidth="1"/>
    <col min="4098" max="4098" width="38.5703125" customWidth="1"/>
    <col min="4100" max="4100" width="12.140625" customWidth="1"/>
    <col min="4101" max="4101" width="19.28515625" customWidth="1"/>
    <col min="4102" max="4102" width="17.85546875" customWidth="1"/>
    <col min="4353" max="4353" width="6.5703125" customWidth="1"/>
    <col min="4354" max="4354" width="38.5703125" customWidth="1"/>
    <col min="4356" max="4356" width="12.140625" customWidth="1"/>
    <col min="4357" max="4357" width="19.28515625" customWidth="1"/>
    <col min="4358" max="4358" width="17.85546875" customWidth="1"/>
    <col min="4609" max="4609" width="6.5703125" customWidth="1"/>
    <col min="4610" max="4610" width="38.5703125" customWidth="1"/>
    <col min="4612" max="4612" width="12.140625" customWidth="1"/>
    <col min="4613" max="4613" width="19.28515625" customWidth="1"/>
    <col min="4614" max="4614" width="17.85546875" customWidth="1"/>
    <col min="4865" max="4865" width="6.5703125" customWidth="1"/>
    <col min="4866" max="4866" width="38.5703125" customWidth="1"/>
    <col min="4868" max="4868" width="12.140625" customWidth="1"/>
    <col min="4869" max="4869" width="19.28515625" customWidth="1"/>
    <col min="4870" max="4870" width="17.85546875" customWidth="1"/>
    <col min="5121" max="5121" width="6.5703125" customWidth="1"/>
    <col min="5122" max="5122" width="38.5703125" customWidth="1"/>
    <col min="5124" max="5124" width="12.140625" customWidth="1"/>
    <col min="5125" max="5125" width="19.28515625" customWidth="1"/>
    <col min="5126" max="5126" width="17.85546875" customWidth="1"/>
    <col min="5377" max="5377" width="6.5703125" customWidth="1"/>
    <col min="5378" max="5378" width="38.5703125" customWidth="1"/>
    <col min="5380" max="5380" width="12.140625" customWidth="1"/>
    <col min="5381" max="5381" width="19.28515625" customWidth="1"/>
    <col min="5382" max="5382" width="17.85546875" customWidth="1"/>
    <col min="5633" max="5633" width="6.5703125" customWidth="1"/>
    <col min="5634" max="5634" width="38.5703125" customWidth="1"/>
    <col min="5636" max="5636" width="12.140625" customWidth="1"/>
    <col min="5637" max="5637" width="19.28515625" customWidth="1"/>
    <col min="5638" max="5638" width="17.85546875" customWidth="1"/>
    <col min="5889" max="5889" width="6.5703125" customWidth="1"/>
    <col min="5890" max="5890" width="38.5703125" customWidth="1"/>
    <col min="5892" max="5892" width="12.140625" customWidth="1"/>
    <col min="5893" max="5893" width="19.28515625" customWidth="1"/>
    <col min="5894" max="5894" width="17.85546875" customWidth="1"/>
    <col min="6145" max="6145" width="6.5703125" customWidth="1"/>
    <col min="6146" max="6146" width="38.5703125" customWidth="1"/>
    <col min="6148" max="6148" width="12.140625" customWidth="1"/>
    <col min="6149" max="6149" width="19.28515625" customWidth="1"/>
    <col min="6150" max="6150" width="17.85546875" customWidth="1"/>
    <col min="6401" max="6401" width="6.5703125" customWidth="1"/>
    <col min="6402" max="6402" width="38.5703125" customWidth="1"/>
    <col min="6404" max="6404" width="12.140625" customWidth="1"/>
    <col min="6405" max="6405" width="19.28515625" customWidth="1"/>
    <col min="6406" max="6406" width="17.85546875" customWidth="1"/>
    <col min="6657" max="6657" width="6.5703125" customWidth="1"/>
    <col min="6658" max="6658" width="38.5703125" customWidth="1"/>
    <col min="6660" max="6660" width="12.140625" customWidth="1"/>
    <col min="6661" max="6661" width="19.28515625" customWidth="1"/>
    <col min="6662" max="6662" width="17.85546875" customWidth="1"/>
    <col min="6913" max="6913" width="6.5703125" customWidth="1"/>
    <col min="6914" max="6914" width="38.5703125" customWidth="1"/>
    <col min="6916" max="6916" width="12.140625" customWidth="1"/>
    <col min="6917" max="6917" width="19.28515625" customWidth="1"/>
    <col min="6918" max="6918" width="17.85546875" customWidth="1"/>
    <col min="7169" max="7169" width="6.5703125" customWidth="1"/>
    <col min="7170" max="7170" width="38.5703125" customWidth="1"/>
    <col min="7172" max="7172" width="12.140625" customWidth="1"/>
    <col min="7173" max="7173" width="19.28515625" customWidth="1"/>
    <col min="7174" max="7174" width="17.85546875" customWidth="1"/>
    <col min="7425" max="7425" width="6.5703125" customWidth="1"/>
    <col min="7426" max="7426" width="38.5703125" customWidth="1"/>
    <col min="7428" max="7428" width="12.140625" customWidth="1"/>
    <col min="7429" max="7429" width="19.28515625" customWidth="1"/>
    <col min="7430" max="7430" width="17.85546875" customWidth="1"/>
    <col min="7681" max="7681" width="6.5703125" customWidth="1"/>
    <col min="7682" max="7682" width="38.5703125" customWidth="1"/>
    <col min="7684" max="7684" width="12.140625" customWidth="1"/>
    <col min="7685" max="7685" width="19.28515625" customWidth="1"/>
    <col min="7686" max="7686" width="17.85546875" customWidth="1"/>
    <col min="7937" max="7937" width="6.5703125" customWidth="1"/>
    <col min="7938" max="7938" width="38.5703125" customWidth="1"/>
    <col min="7940" max="7940" width="12.140625" customWidth="1"/>
    <col min="7941" max="7941" width="19.28515625" customWidth="1"/>
    <col min="7942" max="7942" width="17.85546875" customWidth="1"/>
    <col min="8193" max="8193" width="6.5703125" customWidth="1"/>
    <col min="8194" max="8194" width="38.5703125" customWidth="1"/>
    <col min="8196" max="8196" width="12.140625" customWidth="1"/>
    <col min="8197" max="8197" width="19.28515625" customWidth="1"/>
    <col min="8198" max="8198" width="17.85546875" customWidth="1"/>
    <col min="8449" max="8449" width="6.5703125" customWidth="1"/>
    <col min="8450" max="8450" width="38.5703125" customWidth="1"/>
    <col min="8452" max="8452" width="12.140625" customWidth="1"/>
    <col min="8453" max="8453" width="19.28515625" customWidth="1"/>
    <col min="8454" max="8454" width="17.85546875" customWidth="1"/>
    <col min="8705" max="8705" width="6.5703125" customWidth="1"/>
    <col min="8706" max="8706" width="38.5703125" customWidth="1"/>
    <col min="8708" max="8708" width="12.140625" customWidth="1"/>
    <col min="8709" max="8709" width="19.28515625" customWidth="1"/>
    <col min="8710" max="8710" width="17.85546875" customWidth="1"/>
    <col min="8961" max="8961" width="6.5703125" customWidth="1"/>
    <col min="8962" max="8962" width="38.5703125" customWidth="1"/>
    <col min="8964" max="8964" width="12.140625" customWidth="1"/>
    <col min="8965" max="8965" width="19.28515625" customWidth="1"/>
    <col min="8966" max="8966" width="17.85546875" customWidth="1"/>
    <col min="9217" max="9217" width="6.5703125" customWidth="1"/>
    <col min="9218" max="9218" width="38.5703125" customWidth="1"/>
    <col min="9220" max="9220" width="12.140625" customWidth="1"/>
    <col min="9221" max="9221" width="19.28515625" customWidth="1"/>
    <col min="9222" max="9222" width="17.85546875" customWidth="1"/>
    <col min="9473" max="9473" width="6.5703125" customWidth="1"/>
    <col min="9474" max="9474" width="38.5703125" customWidth="1"/>
    <col min="9476" max="9476" width="12.140625" customWidth="1"/>
    <col min="9477" max="9477" width="19.28515625" customWidth="1"/>
    <col min="9478" max="9478" width="17.85546875" customWidth="1"/>
    <col min="9729" max="9729" width="6.5703125" customWidth="1"/>
    <col min="9730" max="9730" width="38.5703125" customWidth="1"/>
    <col min="9732" max="9732" width="12.140625" customWidth="1"/>
    <col min="9733" max="9733" width="19.28515625" customWidth="1"/>
    <col min="9734" max="9734" width="17.85546875" customWidth="1"/>
    <col min="9985" max="9985" width="6.5703125" customWidth="1"/>
    <col min="9986" max="9986" width="38.5703125" customWidth="1"/>
    <col min="9988" max="9988" width="12.140625" customWidth="1"/>
    <col min="9989" max="9989" width="19.28515625" customWidth="1"/>
    <col min="9990" max="9990" width="17.85546875" customWidth="1"/>
    <col min="10241" max="10241" width="6.5703125" customWidth="1"/>
    <col min="10242" max="10242" width="38.5703125" customWidth="1"/>
    <col min="10244" max="10244" width="12.140625" customWidth="1"/>
    <col min="10245" max="10245" width="19.28515625" customWidth="1"/>
    <col min="10246" max="10246" width="17.85546875" customWidth="1"/>
    <col min="10497" max="10497" width="6.5703125" customWidth="1"/>
    <col min="10498" max="10498" width="38.5703125" customWidth="1"/>
    <col min="10500" max="10500" width="12.140625" customWidth="1"/>
    <col min="10501" max="10501" width="19.28515625" customWidth="1"/>
    <col min="10502" max="10502" width="17.85546875" customWidth="1"/>
    <col min="10753" max="10753" width="6.5703125" customWidth="1"/>
    <col min="10754" max="10754" width="38.5703125" customWidth="1"/>
    <col min="10756" max="10756" width="12.140625" customWidth="1"/>
    <col min="10757" max="10757" width="19.28515625" customWidth="1"/>
    <col min="10758" max="10758" width="17.85546875" customWidth="1"/>
    <col min="11009" max="11009" width="6.5703125" customWidth="1"/>
    <col min="11010" max="11010" width="38.5703125" customWidth="1"/>
    <col min="11012" max="11012" width="12.140625" customWidth="1"/>
    <col min="11013" max="11013" width="19.28515625" customWidth="1"/>
    <col min="11014" max="11014" width="17.85546875" customWidth="1"/>
    <col min="11265" max="11265" width="6.5703125" customWidth="1"/>
    <col min="11266" max="11266" width="38.5703125" customWidth="1"/>
    <col min="11268" max="11268" width="12.140625" customWidth="1"/>
    <col min="11269" max="11269" width="19.28515625" customWidth="1"/>
    <col min="11270" max="11270" width="17.85546875" customWidth="1"/>
    <col min="11521" max="11521" width="6.5703125" customWidth="1"/>
    <col min="11522" max="11522" width="38.5703125" customWidth="1"/>
    <col min="11524" max="11524" width="12.140625" customWidth="1"/>
    <col min="11525" max="11525" width="19.28515625" customWidth="1"/>
    <col min="11526" max="11526" width="17.85546875" customWidth="1"/>
    <col min="11777" max="11777" width="6.5703125" customWidth="1"/>
    <col min="11778" max="11778" width="38.5703125" customWidth="1"/>
    <col min="11780" max="11780" width="12.140625" customWidth="1"/>
    <col min="11781" max="11781" width="19.28515625" customWidth="1"/>
    <col min="11782" max="11782" width="17.85546875" customWidth="1"/>
    <col min="12033" max="12033" width="6.5703125" customWidth="1"/>
    <col min="12034" max="12034" width="38.5703125" customWidth="1"/>
    <col min="12036" max="12036" width="12.140625" customWidth="1"/>
    <col min="12037" max="12037" width="19.28515625" customWidth="1"/>
    <col min="12038" max="12038" width="17.85546875" customWidth="1"/>
    <col min="12289" max="12289" width="6.5703125" customWidth="1"/>
    <col min="12290" max="12290" width="38.5703125" customWidth="1"/>
    <col min="12292" max="12292" width="12.140625" customWidth="1"/>
    <col min="12293" max="12293" width="19.28515625" customWidth="1"/>
    <col min="12294" max="12294" width="17.85546875" customWidth="1"/>
    <col min="12545" max="12545" width="6.5703125" customWidth="1"/>
    <col min="12546" max="12546" width="38.5703125" customWidth="1"/>
    <col min="12548" max="12548" width="12.140625" customWidth="1"/>
    <col min="12549" max="12549" width="19.28515625" customWidth="1"/>
    <col min="12550" max="12550" width="17.85546875" customWidth="1"/>
    <col min="12801" max="12801" width="6.5703125" customWidth="1"/>
    <col min="12802" max="12802" width="38.5703125" customWidth="1"/>
    <col min="12804" max="12804" width="12.140625" customWidth="1"/>
    <col min="12805" max="12805" width="19.28515625" customWidth="1"/>
    <col min="12806" max="12806" width="17.85546875" customWidth="1"/>
    <col min="13057" max="13057" width="6.5703125" customWidth="1"/>
    <col min="13058" max="13058" width="38.5703125" customWidth="1"/>
    <col min="13060" max="13060" width="12.140625" customWidth="1"/>
    <col min="13061" max="13061" width="19.28515625" customWidth="1"/>
    <col min="13062" max="13062" width="17.85546875" customWidth="1"/>
    <col min="13313" max="13313" width="6.5703125" customWidth="1"/>
    <col min="13314" max="13314" width="38.5703125" customWidth="1"/>
    <col min="13316" max="13316" width="12.140625" customWidth="1"/>
    <col min="13317" max="13317" width="19.28515625" customWidth="1"/>
    <col min="13318" max="13318" width="17.85546875" customWidth="1"/>
    <col min="13569" max="13569" width="6.5703125" customWidth="1"/>
    <col min="13570" max="13570" width="38.5703125" customWidth="1"/>
    <col min="13572" max="13572" width="12.140625" customWidth="1"/>
    <col min="13573" max="13573" width="19.28515625" customWidth="1"/>
    <col min="13574" max="13574" width="17.85546875" customWidth="1"/>
    <col min="13825" max="13825" width="6.5703125" customWidth="1"/>
    <col min="13826" max="13826" width="38.5703125" customWidth="1"/>
    <col min="13828" max="13828" width="12.140625" customWidth="1"/>
    <col min="13829" max="13829" width="19.28515625" customWidth="1"/>
    <col min="13830" max="13830" width="17.85546875" customWidth="1"/>
    <col min="14081" max="14081" width="6.5703125" customWidth="1"/>
    <col min="14082" max="14082" width="38.5703125" customWidth="1"/>
    <col min="14084" max="14084" width="12.140625" customWidth="1"/>
    <col min="14085" max="14085" width="19.28515625" customWidth="1"/>
    <col min="14086" max="14086" width="17.85546875" customWidth="1"/>
    <col min="14337" max="14337" width="6.5703125" customWidth="1"/>
    <col min="14338" max="14338" width="38.5703125" customWidth="1"/>
    <col min="14340" max="14340" width="12.140625" customWidth="1"/>
    <col min="14341" max="14341" width="19.28515625" customWidth="1"/>
    <col min="14342" max="14342" width="17.85546875" customWidth="1"/>
    <col min="14593" max="14593" width="6.5703125" customWidth="1"/>
    <col min="14594" max="14594" width="38.5703125" customWidth="1"/>
    <col min="14596" max="14596" width="12.140625" customWidth="1"/>
    <col min="14597" max="14597" width="19.28515625" customWidth="1"/>
    <col min="14598" max="14598" width="17.85546875" customWidth="1"/>
    <col min="14849" max="14849" width="6.5703125" customWidth="1"/>
    <col min="14850" max="14850" width="38.5703125" customWidth="1"/>
    <col min="14852" max="14852" width="12.140625" customWidth="1"/>
    <col min="14853" max="14853" width="19.28515625" customWidth="1"/>
    <col min="14854" max="14854" width="17.85546875" customWidth="1"/>
    <col min="15105" max="15105" width="6.5703125" customWidth="1"/>
    <col min="15106" max="15106" width="38.5703125" customWidth="1"/>
    <col min="15108" max="15108" width="12.140625" customWidth="1"/>
    <col min="15109" max="15109" width="19.28515625" customWidth="1"/>
    <col min="15110" max="15110" width="17.85546875" customWidth="1"/>
    <col min="15361" max="15361" width="6.5703125" customWidth="1"/>
    <col min="15362" max="15362" width="38.5703125" customWidth="1"/>
    <col min="15364" max="15364" width="12.140625" customWidth="1"/>
    <col min="15365" max="15365" width="19.28515625" customWidth="1"/>
    <col min="15366" max="15366" width="17.85546875" customWidth="1"/>
    <col min="15617" max="15617" width="6.5703125" customWidth="1"/>
    <col min="15618" max="15618" width="38.5703125" customWidth="1"/>
    <col min="15620" max="15620" width="12.140625" customWidth="1"/>
    <col min="15621" max="15621" width="19.28515625" customWidth="1"/>
    <col min="15622" max="15622" width="17.85546875" customWidth="1"/>
    <col min="15873" max="15873" width="6.5703125" customWidth="1"/>
    <col min="15874" max="15874" width="38.5703125" customWidth="1"/>
    <col min="15876" max="15876" width="12.140625" customWidth="1"/>
    <col min="15877" max="15877" width="19.28515625" customWidth="1"/>
    <col min="15878" max="15878" width="17.85546875" customWidth="1"/>
    <col min="16129" max="16129" width="6.5703125" customWidth="1"/>
    <col min="16130" max="16130" width="38.5703125" customWidth="1"/>
    <col min="16132" max="16132" width="12.140625" customWidth="1"/>
    <col min="16133" max="16133" width="19.28515625" customWidth="1"/>
    <col min="16134" max="16134" width="17.85546875" customWidth="1"/>
  </cols>
  <sheetData>
    <row r="1" spans="1:6" ht="18.75" x14ac:dyDescent="0.25">
      <c r="A1" s="400"/>
      <c r="B1" s="401" t="s">
        <v>508</v>
      </c>
      <c r="C1" s="402"/>
      <c r="D1" s="403"/>
      <c r="E1" s="404"/>
      <c r="F1" s="405"/>
    </row>
    <row r="2" spans="1:6" ht="18.75" x14ac:dyDescent="0.25">
      <c r="A2" s="403"/>
      <c r="B2" s="407"/>
      <c r="C2" s="402"/>
      <c r="D2" s="403"/>
      <c r="E2" s="404"/>
      <c r="F2" s="405"/>
    </row>
    <row r="3" spans="1:6" ht="18.75" x14ac:dyDescent="0.25">
      <c r="A3" s="403"/>
      <c r="B3" s="408" t="s">
        <v>932</v>
      </c>
      <c r="C3" s="402"/>
      <c r="D3" s="403"/>
      <c r="E3" s="404"/>
      <c r="F3" s="405"/>
    </row>
    <row r="4" spans="1:6" ht="18.75" x14ac:dyDescent="0.25">
      <c r="A4" s="403"/>
      <c r="B4" s="408"/>
      <c r="C4" s="402"/>
      <c r="D4" s="403"/>
      <c r="E4" s="404"/>
      <c r="F4" s="405"/>
    </row>
    <row r="5" spans="1:6" ht="18" x14ac:dyDescent="0.25">
      <c r="A5" s="403"/>
      <c r="B5" s="409" t="s">
        <v>44</v>
      </c>
      <c r="C5" s="402"/>
      <c r="D5" s="403"/>
      <c r="E5" s="404"/>
      <c r="F5" s="410"/>
    </row>
    <row r="6" spans="1:6" ht="18" x14ac:dyDescent="0.25">
      <c r="A6" s="403"/>
      <c r="B6" s="409"/>
      <c r="C6" s="402"/>
      <c r="D6" s="403"/>
      <c r="E6" s="404"/>
      <c r="F6" s="410"/>
    </row>
    <row r="7" spans="1:6" ht="18" x14ac:dyDescent="0.25">
      <c r="A7" s="403"/>
      <c r="B7" s="409" t="s">
        <v>510</v>
      </c>
      <c r="C7" s="402"/>
      <c r="D7" s="403"/>
      <c r="E7" s="404"/>
      <c r="F7" s="410"/>
    </row>
    <row r="8" spans="1:6" ht="18.75" x14ac:dyDescent="0.25">
      <c r="A8" s="403"/>
      <c r="B8" s="402"/>
      <c r="C8" s="402"/>
      <c r="D8" s="403"/>
      <c r="E8" s="404"/>
      <c r="F8" s="405"/>
    </row>
    <row r="9" spans="1:6" ht="33" x14ac:dyDescent="0.25">
      <c r="A9" s="403" t="s">
        <v>2</v>
      </c>
      <c r="B9" s="411" t="s">
        <v>45</v>
      </c>
      <c r="C9" s="412">
        <v>2021</v>
      </c>
      <c r="D9" s="403" t="s">
        <v>933</v>
      </c>
      <c r="E9" s="404">
        <v>200</v>
      </c>
      <c r="F9" s="405">
        <f>C9*E9</f>
        <v>404200</v>
      </c>
    </row>
    <row r="10" spans="1:6" ht="49.5" x14ac:dyDescent="0.25">
      <c r="A10" s="403" t="s">
        <v>4</v>
      </c>
      <c r="B10" s="411" t="s">
        <v>934</v>
      </c>
      <c r="C10" s="413">
        <v>1638</v>
      </c>
      <c r="D10" s="403" t="s">
        <v>935</v>
      </c>
      <c r="E10" s="404">
        <v>1900</v>
      </c>
      <c r="F10" s="405">
        <f>C10*E10</f>
        <v>3112200</v>
      </c>
    </row>
    <row r="11" spans="1:6" ht="49.5" x14ac:dyDescent="0.25">
      <c r="A11" s="403" t="s">
        <v>5</v>
      </c>
      <c r="B11" s="411" t="s">
        <v>49</v>
      </c>
      <c r="C11" s="402"/>
      <c r="D11" s="403" t="s">
        <v>935</v>
      </c>
      <c r="E11" s="404">
        <f>E10</f>
        <v>1900</v>
      </c>
      <c r="F11" s="405">
        <f>C11*E11</f>
        <v>0</v>
      </c>
    </row>
    <row r="12" spans="1:6" ht="33" x14ac:dyDescent="0.25">
      <c r="A12" s="403" t="s">
        <v>7</v>
      </c>
      <c r="B12" s="411" t="s">
        <v>19</v>
      </c>
      <c r="C12" s="617">
        <f>1337+1393</f>
        <v>2730</v>
      </c>
      <c r="D12" s="403" t="s">
        <v>933</v>
      </c>
      <c r="E12" s="404">
        <v>600</v>
      </c>
      <c r="F12" s="405">
        <f>C12*E12</f>
        <v>1638000</v>
      </c>
    </row>
    <row r="13" spans="1:6" ht="18.75" x14ac:dyDescent="0.25">
      <c r="A13" s="403"/>
      <c r="B13" s="411"/>
      <c r="C13" s="412"/>
      <c r="D13" s="403"/>
      <c r="E13" s="404"/>
      <c r="F13" s="405"/>
    </row>
    <row r="14" spans="1:6" ht="18.75" x14ac:dyDescent="0.25">
      <c r="A14" s="403"/>
      <c r="B14" s="409" t="s">
        <v>98</v>
      </c>
      <c r="C14" s="402"/>
      <c r="D14" s="403"/>
      <c r="E14" s="404"/>
      <c r="F14" s="405"/>
    </row>
    <row r="15" spans="1:6" ht="18.75" x14ac:dyDescent="0.25">
      <c r="A15" s="403"/>
      <c r="B15" s="415" t="s">
        <v>936</v>
      </c>
      <c r="C15" s="402"/>
      <c r="D15" s="403"/>
      <c r="E15" s="404"/>
      <c r="F15" s="405"/>
    </row>
    <row r="16" spans="1:6" ht="18.75" x14ac:dyDescent="0.25">
      <c r="A16" s="403" t="s">
        <v>8</v>
      </c>
      <c r="B16" s="402" t="s">
        <v>937</v>
      </c>
      <c r="C16" s="402">
        <f>201+209</f>
        <v>410</v>
      </c>
      <c r="D16" s="403" t="s">
        <v>935</v>
      </c>
      <c r="E16" s="404">
        <v>95000</v>
      </c>
      <c r="F16" s="405">
        <f>C16*E16</f>
        <v>38950000</v>
      </c>
    </row>
    <row r="17" spans="1:6" ht="18.75" x14ac:dyDescent="0.25">
      <c r="A17" s="403"/>
      <c r="B17" s="402"/>
      <c r="C17" s="402"/>
      <c r="D17" s="403"/>
      <c r="E17" s="404"/>
      <c r="F17" s="405"/>
    </row>
    <row r="18" spans="1:6" ht="18.75" x14ac:dyDescent="0.25">
      <c r="A18" s="403"/>
      <c r="B18" s="421"/>
      <c r="C18" s="402"/>
      <c r="D18" s="403"/>
      <c r="E18" s="404"/>
      <c r="F18" s="405"/>
    </row>
    <row r="19" spans="1:6" ht="18.75" x14ac:dyDescent="0.25">
      <c r="A19" s="403"/>
      <c r="B19" s="421"/>
      <c r="C19" s="402"/>
      <c r="D19" s="403"/>
      <c r="E19" s="404"/>
      <c r="F19" s="405"/>
    </row>
    <row r="20" spans="1:6" ht="18.75" x14ac:dyDescent="0.25">
      <c r="A20" s="403"/>
      <c r="B20" s="421"/>
      <c r="C20" s="402"/>
      <c r="D20" s="403"/>
      <c r="E20" s="404"/>
      <c r="F20" s="405"/>
    </row>
    <row r="21" spans="1:6" ht="18.75" x14ac:dyDescent="0.25">
      <c r="A21" s="403"/>
      <c r="B21" s="421"/>
      <c r="C21" s="402"/>
      <c r="D21" s="403"/>
      <c r="E21" s="404"/>
      <c r="F21" s="405"/>
    </row>
    <row r="22" spans="1:6" ht="18.75" x14ac:dyDescent="0.25">
      <c r="A22" s="403"/>
      <c r="B22" s="421"/>
      <c r="C22" s="402"/>
      <c r="D22" s="403"/>
      <c r="E22" s="404"/>
      <c r="F22" s="405"/>
    </row>
    <row r="23" spans="1:6" ht="18.75" x14ac:dyDescent="0.25">
      <c r="A23" s="403"/>
      <c r="B23" s="421"/>
      <c r="C23" s="402"/>
      <c r="D23" s="403"/>
      <c r="E23" s="404"/>
      <c r="F23" s="405"/>
    </row>
    <row r="24" spans="1:6" ht="18.75" x14ac:dyDescent="0.25">
      <c r="A24" s="403"/>
      <c r="B24" s="421"/>
      <c r="C24" s="402"/>
      <c r="D24" s="403"/>
      <c r="E24" s="404"/>
      <c r="F24" s="405"/>
    </row>
    <row r="25" spans="1:6" ht="18.75" x14ac:dyDescent="0.25">
      <c r="A25" s="403"/>
      <c r="B25" s="421"/>
      <c r="C25" s="402"/>
      <c r="D25" s="403"/>
      <c r="E25" s="404"/>
      <c r="F25" s="405"/>
    </row>
    <row r="26" spans="1:6" ht="18.75" x14ac:dyDescent="0.25">
      <c r="A26" s="403"/>
      <c r="B26" s="421"/>
      <c r="C26" s="402"/>
      <c r="D26" s="403"/>
      <c r="E26" s="404"/>
      <c r="F26" s="405"/>
    </row>
    <row r="27" spans="1:6" ht="18.75" x14ac:dyDescent="0.25">
      <c r="A27" s="403"/>
      <c r="B27" s="421"/>
      <c r="C27" s="402"/>
      <c r="D27" s="403"/>
      <c r="E27" s="404"/>
      <c r="F27" s="405"/>
    </row>
    <row r="28" spans="1:6" ht="18.75" x14ac:dyDescent="0.25">
      <c r="A28" s="403"/>
      <c r="B28" s="421"/>
      <c r="C28" s="402"/>
      <c r="D28" s="403"/>
      <c r="E28" s="404"/>
      <c r="F28" s="405"/>
    </row>
    <row r="29" spans="1:6" ht="18.75" x14ac:dyDescent="0.25">
      <c r="A29" s="403"/>
      <c r="B29" s="425" t="s">
        <v>533</v>
      </c>
      <c r="C29" s="416"/>
      <c r="D29" s="407"/>
      <c r="E29" s="404"/>
      <c r="F29" s="426"/>
    </row>
    <row r="30" spans="1:6" ht="18.75" x14ac:dyDescent="0.25">
      <c r="A30" s="403"/>
      <c r="B30" s="416" t="s">
        <v>534</v>
      </c>
      <c r="C30" s="416"/>
      <c r="D30" s="407"/>
      <c r="E30" s="417" t="s">
        <v>15</v>
      </c>
      <c r="F30" s="418">
        <f>SUM(F3:F28)</f>
        <v>44104400</v>
      </c>
    </row>
    <row r="31" spans="1:6" ht="18.75" x14ac:dyDescent="0.25">
      <c r="A31" s="403"/>
      <c r="B31" s="401" t="s">
        <v>535</v>
      </c>
      <c r="C31" s="402"/>
      <c r="D31" s="403"/>
      <c r="E31" s="404"/>
      <c r="F31" s="405"/>
    </row>
    <row r="32" spans="1:6" ht="18.75" x14ac:dyDescent="0.25">
      <c r="A32" s="403"/>
      <c r="B32" s="402"/>
      <c r="C32" s="402"/>
      <c r="D32" s="403"/>
      <c r="E32" s="404"/>
      <c r="F32" s="405"/>
    </row>
    <row r="33" spans="1:6" ht="18.75" x14ac:dyDescent="0.25">
      <c r="A33" s="403"/>
      <c r="B33" s="408" t="s">
        <v>1102</v>
      </c>
      <c r="C33" s="402"/>
      <c r="D33" s="403"/>
      <c r="E33" s="404"/>
      <c r="F33" s="424"/>
    </row>
    <row r="34" spans="1:6" ht="18.75" x14ac:dyDescent="0.25">
      <c r="A34" s="403"/>
      <c r="B34" s="402"/>
      <c r="C34" s="415"/>
      <c r="D34" s="403"/>
      <c r="E34" s="404"/>
      <c r="F34" s="427"/>
    </row>
    <row r="35" spans="1:6" ht="18.75" x14ac:dyDescent="0.25">
      <c r="A35" s="403"/>
      <c r="B35" s="409" t="s">
        <v>98</v>
      </c>
      <c r="C35" s="402"/>
      <c r="D35" s="403"/>
      <c r="E35" s="404"/>
      <c r="F35" s="424"/>
    </row>
    <row r="36" spans="1:6" ht="18.75" x14ac:dyDescent="0.25">
      <c r="A36" s="403"/>
      <c r="B36" s="402"/>
      <c r="C36" s="402"/>
      <c r="D36" s="403"/>
      <c r="E36" s="404"/>
      <c r="F36" s="424"/>
    </row>
    <row r="37" spans="1:6" ht="18.75" x14ac:dyDescent="0.25">
      <c r="A37" s="403"/>
      <c r="B37" s="409" t="s">
        <v>84</v>
      </c>
      <c r="C37" s="416"/>
      <c r="D37" s="407"/>
      <c r="E37" s="417"/>
      <c r="F37" s="418"/>
    </row>
    <row r="38" spans="1:6" ht="18.75" x14ac:dyDescent="0.25">
      <c r="A38" s="403"/>
      <c r="B38" s="419"/>
      <c r="C38" s="416"/>
      <c r="D38" s="407"/>
      <c r="E38" s="417"/>
      <c r="F38" s="418"/>
    </row>
    <row r="39" spans="1:6" ht="66" customHeight="1" x14ac:dyDescent="0.25">
      <c r="A39" s="403"/>
      <c r="B39" s="420" t="s">
        <v>526</v>
      </c>
      <c r="C39" s="416"/>
      <c r="D39" s="407"/>
      <c r="E39" s="417"/>
      <c r="F39" s="418"/>
    </row>
    <row r="40" spans="1:6" ht="18.75" x14ac:dyDescent="0.25">
      <c r="A40" s="403"/>
      <c r="B40" s="420"/>
      <c r="C40" s="416"/>
      <c r="D40" s="407"/>
      <c r="E40" s="417"/>
      <c r="F40" s="418"/>
    </row>
    <row r="41" spans="1:6" ht="18.75" x14ac:dyDescent="0.25">
      <c r="A41" s="403" t="s">
        <v>9</v>
      </c>
      <c r="B41" s="421" t="s">
        <v>1100</v>
      </c>
      <c r="C41" s="402">
        <v>2964</v>
      </c>
      <c r="D41" s="403" t="s">
        <v>933</v>
      </c>
      <c r="E41" s="404">
        <v>10300</v>
      </c>
      <c r="F41" s="405">
        <f>C41*E41</f>
        <v>30529200</v>
      </c>
    </row>
    <row r="43" spans="1:6" ht="18.75" x14ac:dyDescent="0.25">
      <c r="A43" s="403" t="s">
        <v>10</v>
      </c>
      <c r="B43" s="421" t="s">
        <v>1099</v>
      </c>
      <c r="C43" s="402">
        <v>3483</v>
      </c>
      <c r="D43" s="403" t="s">
        <v>933</v>
      </c>
      <c r="E43" s="404">
        <f>E41</f>
        <v>10300</v>
      </c>
      <c r="F43" s="405">
        <f>C43*E43</f>
        <v>35874900</v>
      </c>
    </row>
    <row r="44" spans="1:6" ht="18.75" x14ac:dyDescent="0.25">
      <c r="A44" s="403"/>
      <c r="B44" s="421"/>
      <c r="C44" s="402"/>
      <c r="D44" s="403"/>
      <c r="E44" s="404"/>
      <c r="F44" s="405"/>
    </row>
    <row r="45" spans="1:6" ht="18.75" x14ac:dyDescent="0.25">
      <c r="A45" s="403"/>
      <c r="B45" s="415" t="s">
        <v>938</v>
      </c>
      <c r="C45" s="402"/>
      <c r="D45" s="403"/>
      <c r="E45" s="404"/>
      <c r="F45" s="424"/>
    </row>
    <row r="46" spans="1:6" ht="33" x14ac:dyDescent="0.25">
      <c r="A46" s="403"/>
      <c r="B46" s="428" t="s">
        <v>939</v>
      </c>
      <c r="C46" s="402"/>
      <c r="D46" s="403"/>
      <c r="E46" s="404"/>
      <c r="F46" s="424"/>
    </row>
    <row r="47" spans="1:6" ht="18.75" x14ac:dyDescent="0.25">
      <c r="A47" s="403"/>
      <c r="B47" s="428"/>
      <c r="C47" s="402"/>
      <c r="D47" s="403"/>
      <c r="E47" s="404"/>
      <c r="F47" s="424"/>
    </row>
    <row r="48" spans="1:6" ht="18.75" x14ac:dyDescent="0.25">
      <c r="A48" s="403" t="s">
        <v>2</v>
      </c>
      <c r="B48" s="402" t="s">
        <v>940</v>
      </c>
      <c r="C48" s="402"/>
      <c r="D48" s="403" t="s">
        <v>935</v>
      </c>
      <c r="E48" s="404">
        <v>95000</v>
      </c>
      <c r="F48" s="424">
        <f>C48*E48</f>
        <v>0</v>
      </c>
    </row>
    <row r="49" spans="1:6" ht="18.75" x14ac:dyDescent="0.25">
      <c r="A49" s="403"/>
      <c r="B49" s="402"/>
      <c r="C49" s="402"/>
      <c r="D49" s="403"/>
      <c r="E49" s="404"/>
      <c r="F49" s="424"/>
    </row>
    <row r="50" spans="1:6" ht="18.75" x14ac:dyDescent="0.25">
      <c r="A50" s="403"/>
      <c r="B50" s="402"/>
      <c r="C50" s="402"/>
      <c r="D50" s="403"/>
      <c r="E50" s="404"/>
      <c r="F50" s="424"/>
    </row>
    <row r="51" spans="1:6" ht="18.75" x14ac:dyDescent="0.25">
      <c r="A51" s="403"/>
      <c r="B51" s="409" t="s">
        <v>102</v>
      </c>
      <c r="C51" s="402"/>
      <c r="D51" s="403"/>
      <c r="E51" s="404"/>
      <c r="F51" s="424"/>
    </row>
    <row r="52" spans="1:6" ht="18.75" x14ac:dyDescent="0.25">
      <c r="A52" s="403"/>
      <c r="B52" s="415"/>
      <c r="C52" s="402"/>
      <c r="D52" s="403"/>
      <c r="E52" s="404"/>
      <c r="F52" s="424"/>
    </row>
    <row r="53" spans="1:6" ht="33" x14ac:dyDescent="0.25">
      <c r="A53" s="403"/>
      <c r="B53" s="420" t="s">
        <v>598</v>
      </c>
      <c r="C53" s="402"/>
      <c r="D53" s="403"/>
      <c r="E53" s="404"/>
      <c r="F53" s="424"/>
    </row>
    <row r="54" spans="1:6" ht="18.75" x14ac:dyDescent="0.25">
      <c r="A54" s="403"/>
      <c r="B54" s="402"/>
      <c r="C54" s="402"/>
      <c r="D54" s="403"/>
      <c r="E54" s="404"/>
      <c r="F54" s="424"/>
    </row>
    <row r="55" spans="1:6" s="406" customFormat="1" ht="18.75" x14ac:dyDescent="0.2">
      <c r="A55" s="403" t="s">
        <v>4</v>
      </c>
      <c r="B55" s="402" t="s">
        <v>571</v>
      </c>
      <c r="C55" s="402"/>
      <c r="D55" s="403" t="s">
        <v>75</v>
      </c>
      <c r="E55" s="404">
        <v>1450</v>
      </c>
      <c r="F55" s="424">
        <f>C55*E55</f>
        <v>0</v>
      </c>
    </row>
    <row r="56" spans="1:6" s="406" customFormat="1" ht="18.75" x14ac:dyDescent="0.2">
      <c r="A56" s="403"/>
      <c r="B56" s="402"/>
      <c r="C56" s="402"/>
      <c r="D56" s="403"/>
      <c r="E56" s="404"/>
      <c r="F56" s="424"/>
    </row>
    <row r="57" spans="1:6" s="406" customFormat="1" ht="18.75" x14ac:dyDescent="0.2">
      <c r="A57" s="403" t="s">
        <v>4</v>
      </c>
      <c r="B57" s="402" t="s">
        <v>806</v>
      </c>
      <c r="C57" s="402"/>
      <c r="D57" s="403" t="s">
        <v>75</v>
      </c>
      <c r="E57" s="404">
        <f>E55</f>
        <v>1450</v>
      </c>
      <c r="F57" s="424">
        <f>C57*E57</f>
        <v>0</v>
      </c>
    </row>
    <row r="58" spans="1:6" s="406" customFormat="1" ht="18.75" x14ac:dyDescent="0.2">
      <c r="A58" s="403"/>
      <c r="B58" s="402"/>
      <c r="C58" s="402"/>
      <c r="D58" s="403"/>
      <c r="E58" s="404"/>
      <c r="F58" s="424"/>
    </row>
    <row r="59" spans="1:6" s="406" customFormat="1" ht="18.75" x14ac:dyDescent="0.2">
      <c r="A59" s="403" t="s">
        <v>5</v>
      </c>
      <c r="B59" s="402" t="s">
        <v>599</v>
      </c>
      <c r="C59" s="402"/>
      <c r="D59" s="403" t="s">
        <v>75</v>
      </c>
      <c r="E59" s="404">
        <f>E55</f>
        <v>1450</v>
      </c>
      <c r="F59" s="424">
        <f>C59*E59</f>
        <v>0</v>
      </c>
    </row>
    <row r="60" spans="1:6" s="406" customFormat="1" ht="18.75" x14ac:dyDescent="0.2">
      <c r="A60" s="403"/>
      <c r="B60" s="402"/>
      <c r="C60" s="402"/>
      <c r="D60" s="403"/>
      <c r="E60" s="404"/>
      <c r="F60" s="424"/>
    </row>
    <row r="61" spans="1:6" s="406" customFormat="1" ht="18.75" x14ac:dyDescent="0.2">
      <c r="A61" s="403"/>
      <c r="B61" s="409" t="s">
        <v>67</v>
      </c>
      <c r="C61" s="402"/>
      <c r="D61" s="403"/>
      <c r="E61" s="404"/>
      <c r="F61" s="424"/>
    </row>
    <row r="62" spans="1:6" s="406" customFormat="1" ht="18.75" x14ac:dyDescent="0.2">
      <c r="A62" s="403"/>
      <c r="B62" s="402"/>
      <c r="C62" s="402"/>
      <c r="D62" s="403"/>
      <c r="E62" s="404"/>
      <c r="F62" s="424"/>
    </row>
    <row r="63" spans="1:6" s="406" customFormat="1" ht="18.75" x14ac:dyDescent="0.2">
      <c r="A63" s="403"/>
      <c r="B63" s="415" t="s">
        <v>120</v>
      </c>
      <c r="C63" s="402"/>
      <c r="D63" s="403"/>
      <c r="E63" s="404"/>
      <c r="F63" s="424"/>
    </row>
    <row r="64" spans="1:6" s="406" customFormat="1" ht="18.75" x14ac:dyDescent="0.2">
      <c r="A64" s="403"/>
      <c r="B64" s="402"/>
      <c r="C64" s="402"/>
      <c r="D64" s="403"/>
      <c r="E64" s="404"/>
      <c r="F64" s="424"/>
    </row>
    <row r="65" spans="1:6" s="406" customFormat="1" ht="18.75" x14ac:dyDescent="0.2">
      <c r="A65" s="403" t="s">
        <v>6</v>
      </c>
      <c r="B65" s="402" t="s">
        <v>979</v>
      </c>
      <c r="C65" s="402"/>
      <c r="D65" s="403" t="s">
        <v>933</v>
      </c>
      <c r="E65" s="404">
        <v>8500</v>
      </c>
      <c r="F65" s="424">
        <f>C65*E65</f>
        <v>0</v>
      </c>
    </row>
    <row r="66" spans="1:6" s="406" customFormat="1" ht="18.75" x14ac:dyDescent="0.2">
      <c r="A66" s="403"/>
      <c r="B66" s="415"/>
      <c r="C66" s="402"/>
      <c r="D66" s="403"/>
      <c r="E66" s="404"/>
      <c r="F66" s="422"/>
    </row>
    <row r="67" spans="1:6" s="406" customFormat="1" ht="18.75" x14ac:dyDescent="0.2">
      <c r="A67" s="403"/>
      <c r="B67" s="415"/>
      <c r="C67" s="402"/>
      <c r="D67" s="403"/>
      <c r="E67" s="404"/>
      <c r="F67" s="422"/>
    </row>
    <row r="68" spans="1:6" s="406" customFormat="1" ht="18.75" x14ac:dyDescent="0.2">
      <c r="A68" s="403"/>
      <c r="B68" s="415"/>
      <c r="C68" s="402"/>
      <c r="D68" s="403"/>
      <c r="E68" s="404"/>
      <c r="F68" s="422"/>
    </row>
    <row r="69" spans="1:6" s="406" customFormat="1" ht="18.75" x14ac:dyDescent="0.2">
      <c r="A69" s="403"/>
      <c r="B69" s="415"/>
      <c r="C69" s="402"/>
      <c r="D69" s="403"/>
      <c r="E69" s="404"/>
      <c r="F69" s="422"/>
    </row>
    <row r="70" spans="1:6" s="406" customFormat="1" ht="18.75" x14ac:dyDescent="0.2">
      <c r="A70" s="403"/>
      <c r="B70" s="415"/>
      <c r="C70" s="402"/>
      <c r="D70" s="403"/>
      <c r="E70" s="404"/>
      <c r="F70" s="422"/>
    </row>
    <row r="71" spans="1:6" s="406" customFormat="1" ht="18.75" x14ac:dyDescent="0.2">
      <c r="A71" s="403"/>
      <c r="B71" s="415"/>
      <c r="C71" s="402"/>
      <c r="D71" s="403"/>
      <c r="E71" s="404"/>
      <c r="F71" s="422"/>
    </row>
    <row r="72" spans="1:6" s="406" customFormat="1" ht="18.75" x14ac:dyDescent="0.2">
      <c r="A72" s="403"/>
      <c r="B72" s="415"/>
      <c r="C72" s="402"/>
      <c r="D72" s="403"/>
      <c r="E72" s="404"/>
      <c r="F72" s="422"/>
    </row>
    <row r="73" spans="1:6" s="406" customFormat="1" ht="18.75" x14ac:dyDescent="0.2">
      <c r="A73" s="403"/>
      <c r="B73" s="408" t="s">
        <v>1102</v>
      </c>
      <c r="C73" s="402"/>
      <c r="D73" s="403"/>
      <c r="E73" s="404"/>
      <c r="F73" s="405"/>
    </row>
    <row r="74" spans="1:6" s="406" customFormat="1" ht="18.75" x14ac:dyDescent="0.2">
      <c r="A74" s="403"/>
      <c r="B74" s="416" t="s">
        <v>534</v>
      </c>
      <c r="C74" s="402"/>
      <c r="D74" s="403"/>
      <c r="E74" s="417" t="s">
        <v>15</v>
      </c>
      <c r="F74" s="296">
        <f>SUM(F39:F72)</f>
        <v>66404100</v>
      </c>
    </row>
    <row r="75" spans="1:6" ht="18.75" x14ac:dyDescent="0.25">
      <c r="A75" s="403"/>
      <c r="B75" s="416"/>
      <c r="C75" s="416"/>
      <c r="D75" s="407"/>
      <c r="E75" s="417"/>
      <c r="F75" s="418"/>
    </row>
    <row r="76" spans="1:6" ht="18.75" x14ac:dyDescent="0.25">
      <c r="A76" s="403"/>
      <c r="B76" s="401" t="s">
        <v>543</v>
      </c>
      <c r="C76" s="402"/>
      <c r="D76" s="403"/>
      <c r="E76" s="404"/>
      <c r="F76" s="424"/>
    </row>
    <row r="77" spans="1:6" ht="18.75" x14ac:dyDescent="0.25">
      <c r="A77" s="403"/>
      <c r="B77" s="402"/>
      <c r="C77" s="402"/>
      <c r="D77" s="403"/>
      <c r="E77" s="404"/>
      <c r="F77" s="424"/>
    </row>
    <row r="78" spans="1:6" ht="18.75" x14ac:dyDescent="0.25">
      <c r="A78" s="403"/>
      <c r="B78" s="408" t="s">
        <v>781</v>
      </c>
      <c r="C78" s="402"/>
      <c r="D78" s="403"/>
      <c r="E78" s="404"/>
      <c r="F78" s="405"/>
    </row>
    <row r="79" spans="1:6" ht="18.75" x14ac:dyDescent="0.25">
      <c r="A79" s="403"/>
      <c r="B79" s="408"/>
      <c r="C79" s="402"/>
      <c r="D79" s="403"/>
      <c r="E79" s="404"/>
      <c r="F79" s="405"/>
    </row>
    <row r="80" spans="1:6" ht="18.75" x14ac:dyDescent="0.25">
      <c r="A80" s="403"/>
      <c r="B80" s="409" t="s">
        <v>941</v>
      </c>
      <c r="C80" s="402"/>
      <c r="D80" s="403"/>
      <c r="E80" s="404"/>
      <c r="F80" s="424"/>
    </row>
    <row r="81" spans="1:6" ht="18.75" x14ac:dyDescent="0.25">
      <c r="A81" s="403"/>
      <c r="B81" s="429"/>
      <c r="C81" s="402"/>
      <c r="D81" s="403"/>
      <c r="E81" s="404"/>
      <c r="F81" s="424"/>
    </row>
    <row r="82" spans="1:6" ht="18.75" x14ac:dyDescent="0.25">
      <c r="A82" s="403"/>
      <c r="B82" s="429"/>
      <c r="C82" s="402"/>
      <c r="D82" s="403"/>
      <c r="E82" s="404"/>
      <c r="F82" s="405"/>
    </row>
    <row r="83" spans="1:6" ht="115.5" x14ac:dyDescent="0.25">
      <c r="A83" s="403" t="s">
        <v>4</v>
      </c>
      <c r="B83" s="430" t="s">
        <v>980</v>
      </c>
      <c r="C83" s="402">
        <v>1161</v>
      </c>
      <c r="D83" s="403" t="s">
        <v>3</v>
      </c>
      <c r="E83" s="404">
        <v>70500</v>
      </c>
      <c r="F83" s="405">
        <f>C83*E83</f>
        <v>81850500</v>
      </c>
    </row>
    <row r="84" spans="1:6" ht="18.75" x14ac:dyDescent="0.25">
      <c r="A84" s="403"/>
      <c r="B84" s="429"/>
      <c r="C84" s="402"/>
      <c r="D84" s="403"/>
      <c r="E84" s="404"/>
      <c r="F84" s="405"/>
    </row>
    <row r="85" spans="1:6" ht="18.75" x14ac:dyDescent="0.25">
      <c r="A85" s="403"/>
      <c r="B85" s="429"/>
      <c r="C85" s="402"/>
      <c r="D85" s="403"/>
      <c r="E85" s="404"/>
      <c r="F85" s="405"/>
    </row>
    <row r="86" spans="1:6" ht="49.5" x14ac:dyDescent="0.3">
      <c r="A86" s="403" t="s">
        <v>5</v>
      </c>
      <c r="B86" s="431" t="s">
        <v>942</v>
      </c>
      <c r="C86" s="402"/>
      <c r="D86" s="403" t="s">
        <v>36</v>
      </c>
      <c r="F86" s="404">
        <v>2532000</v>
      </c>
    </row>
    <row r="87" spans="1:6" ht="18.75" x14ac:dyDescent="0.25">
      <c r="A87" s="403"/>
      <c r="B87" s="429"/>
      <c r="C87" s="402"/>
      <c r="D87" s="403"/>
      <c r="E87" s="404"/>
      <c r="F87" s="405"/>
    </row>
    <row r="88" spans="1:6" ht="18.75" x14ac:dyDescent="0.25">
      <c r="A88" s="403"/>
      <c r="B88" s="429"/>
      <c r="C88" s="402"/>
      <c r="D88" s="403"/>
      <c r="E88" s="404"/>
      <c r="F88" s="405"/>
    </row>
    <row r="89" spans="1:6" ht="18.75" x14ac:dyDescent="0.25">
      <c r="A89" s="403"/>
      <c r="B89" s="429"/>
      <c r="C89" s="402"/>
      <c r="D89" s="403"/>
      <c r="E89" s="404"/>
      <c r="F89" s="405"/>
    </row>
    <row r="90" spans="1:6" ht="18.75" x14ac:dyDescent="0.25">
      <c r="A90" s="403"/>
      <c r="B90" s="429"/>
      <c r="C90" s="402"/>
      <c r="D90" s="403"/>
      <c r="E90" s="404"/>
      <c r="F90" s="405"/>
    </row>
    <row r="91" spans="1:6" ht="18.75" x14ac:dyDescent="0.25">
      <c r="A91" s="403"/>
      <c r="B91" s="429"/>
      <c r="C91" s="402"/>
      <c r="D91" s="403"/>
      <c r="E91" s="404"/>
      <c r="F91" s="405"/>
    </row>
    <row r="92" spans="1:6" ht="18.75" x14ac:dyDescent="0.25">
      <c r="A92" s="403"/>
      <c r="B92" s="429"/>
      <c r="C92" s="402"/>
      <c r="D92" s="403"/>
      <c r="E92" s="404"/>
      <c r="F92" s="405"/>
    </row>
    <row r="93" spans="1:6" ht="18.75" x14ac:dyDescent="0.25">
      <c r="A93" s="403"/>
      <c r="B93" s="429"/>
      <c r="C93" s="402"/>
      <c r="D93" s="403"/>
      <c r="E93" s="404"/>
      <c r="F93" s="405"/>
    </row>
    <row r="94" spans="1:6" ht="18.75" x14ac:dyDescent="0.25">
      <c r="A94" s="403"/>
      <c r="B94" s="429"/>
      <c r="C94" s="402"/>
      <c r="D94" s="403"/>
      <c r="E94" s="404"/>
      <c r="F94" s="405"/>
    </row>
    <row r="95" spans="1:6" ht="18.75" x14ac:dyDescent="0.25">
      <c r="A95" s="403"/>
      <c r="B95" s="429"/>
      <c r="C95" s="402"/>
      <c r="D95" s="403"/>
      <c r="E95" s="404"/>
      <c r="F95" s="405"/>
    </row>
    <row r="96" spans="1:6" ht="18.75" x14ac:dyDescent="0.25">
      <c r="A96" s="403"/>
      <c r="B96" s="429"/>
      <c r="C96" s="402"/>
      <c r="D96" s="403"/>
      <c r="E96" s="404"/>
      <c r="F96" s="405"/>
    </row>
    <row r="97" spans="1:6" ht="18.75" x14ac:dyDescent="0.25">
      <c r="A97" s="403"/>
      <c r="B97" s="429"/>
      <c r="C97" s="402"/>
      <c r="D97" s="403"/>
      <c r="E97" s="404"/>
      <c r="F97" s="405"/>
    </row>
    <row r="98" spans="1:6" ht="18.75" x14ac:dyDescent="0.25">
      <c r="A98" s="403"/>
      <c r="B98" s="429"/>
      <c r="C98" s="402"/>
      <c r="D98" s="403"/>
      <c r="E98" s="404"/>
      <c r="F98" s="405"/>
    </row>
    <row r="99" spans="1:6" ht="18.75" x14ac:dyDescent="0.25">
      <c r="A99" s="403"/>
      <c r="B99" s="429"/>
      <c r="C99" s="402"/>
      <c r="D99" s="403"/>
      <c r="E99" s="404"/>
      <c r="F99" s="405"/>
    </row>
    <row r="100" spans="1:6" ht="18.75" x14ac:dyDescent="0.25">
      <c r="A100" s="403"/>
      <c r="B100" s="429"/>
      <c r="C100" s="402"/>
      <c r="D100" s="403"/>
      <c r="E100" s="404"/>
      <c r="F100" s="405"/>
    </row>
    <row r="101" spans="1:6" ht="18.75" x14ac:dyDescent="0.25">
      <c r="A101" s="403"/>
      <c r="B101" s="429"/>
      <c r="C101" s="402"/>
      <c r="D101" s="403"/>
      <c r="E101" s="404"/>
      <c r="F101" s="405"/>
    </row>
    <row r="102" spans="1:6" ht="18.75" x14ac:dyDescent="0.25">
      <c r="A102" s="403"/>
      <c r="B102" s="429"/>
      <c r="C102" s="402"/>
      <c r="D102" s="403"/>
      <c r="E102" s="404"/>
      <c r="F102" s="405"/>
    </row>
    <row r="103" spans="1:6" ht="18.75" x14ac:dyDescent="0.25">
      <c r="A103" s="403"/>
      <c r="B103" s="429"/>
      <c r="C103" s="402"/>
      <c r="D103" s="403"/>
      <c r="E103" s="404"/>
      <c r="F103" s="405"/>
    </row>
    <row r="104" spans="1:6" ht="18.75" x14ac:dyDescent="0.25">
      <c r="A104" s="403"/>
      <c r="B104" s="429"/>
      <c r="C104" s="402"/>
      <c r="D104" s="403"/>
      <c r="E104" s="404"/>
      <c r="F104" s="405"/>
    </row>
    <row r="105" spans="1:6" ht="18.75" x14ac:dyDescent="0.25">
      <c r="A105" s="403"/>
      <c r="B105" s="408" t="s">
        <v>781</v>
      </c>
      <c r="C105" s="402"/>
      <c r="D105" s="403"/>
      <c r="E105" s="404"/>
      <c r="F105" s="405"/>
    </row>
    <row r="106" spans="1:6" ht="18.75" x14ac:dyDescent="0.25">
      <c r="A106" s="403"/>
      <c r="B106" s="416" t="s">
        <v>534</v>
      </c>
      <c r="C106" s="402"/>
      <c r="D106" s="403"/>
      <c r="E106" s="417" t="s">
        <v>15</v>
      </c>
      <c r="F106" s="296">
        <f>SUM(F80:F105)</f>
        <v>84382500</v>
      </c>
    </row>
    <row r="107" spans="1:6" s="406" customFormat="1" ht="18.75" x14ac:dyDescent="0.2">
      <c r="A107" s="403"/>
      <c r="B107" s="408" t="s">
        <v>548</v>
      </c>
      <c r="C107" s="402"/>
      <c r="D107" s="403"/>
      <c r="E107" s="404"/>
      <c r="F107" s="405"/>
    </row>
    <row r="108" spans="1:6" s="406" customFormat="1" ht="18.75" x14ac:dyDescent="0.2">
      <c r="A108" s="403"/>
      <c r="B108" s="408"/>
      <c r="C108" s="402"/>
      <c r="D108" s="403"/>
      <c r="E108" s="404"/>
      <c r="F108" s="405"/>
    </row>
    <row r="109" spans="1:6" s="406" customFormat="1" ht="18.75" x14ac:dyDescent="0.2">
      <c r="A109" s="403"/>
      <c r="B109" s="408" t="s">
        <v>236</v>
      </c>
      <c r="C109" s="402"/>
      <c r="D109" s="403"/>
      <c r="E109" s="404"/>
      <c r="F109" s="405"/>
    </row>
    <row r="110" spans="1:6" s="406" customFormat="1" ht="18.75" x14ac:dyDescent="0.2">
      <c r="A110" s="403"/>
      <c r="B110" s="415" t="s">
        <v>610</v>
      </c>
      <c r="C110" s="402"/>
      <c r="D110" s="403"/>
      <c r="E110" s="404"/>
      <c r="F110" s="405"/>
    </row>
    <row r="111" spans="1:6" s="406" customFormat="1" ht="18.75" x14ac:dyDescent="0.2">
      <c r="A111" s="403"/>
      <c r="B111" s="402"/>
      <c r="C111" s="402"/>
      <c r="D111" s="403"/>
      <c r="E111" s="404"/>
      <c r="F111" s="405"/>
    </row>
    <row r="112" spans="1:6" s="406" customFormat="1" ht="18.75" x14ac:dyDescent="0.2">
      <c r="A112" s="403"/>
      <c r="B112" s="409" t="s">
        <v>283</v>
      </c>
      <c r="C112" s="402"/>
      <c r="D112" s="403"/>
      <c r="E112" s="404"/>
      <c r="F112" s="405"/>
    </row>
    <row r="113" spans="1:6" s="406" customFormat="1" ht="33" x14ac:dyDescent="0.2">
      <c r="A113" s="403"/>
      <c r="B113" s="420" t="s">
        <v>611</v>
      </c>
      <c r="C113" s="402"/>
      <c r="D113" s="403"/>
      <c r="E113" s="404"/>
      <c r="F113" s="405"/>
    </row>
    <row r="114" spans="1:6" s="406" customFormat="1" ht="18.75" x14ac:dyDescent="0.2">
      <c r="A114" s="403" t="s">
        <v>2</v>
      </c>
      <c r="B114" s="402" t="s">
        <v>612</v>
      </c>
      <c r="C114" s="412">
        <f>C41+C43*2</f>
        <v>9930</v>
      </c>
      <c r="D114" s="403" t="s">
        <v>35</v>
      </c>
      <c r="E114" s="404">
        <v>3500</v>
      </c>
      <c r="F114" s="405">
        <f>E114*C114</f>
        <v>34755000</v>
      </c>
    </row>
    <row r="115" spans="1:6" s="406" customFormat="1" ht="18.75" x14ac:dyDescent="0.2">
      <c r="A115" s="403" t="s">
        <v>4</v>
      </c>
      <c r="B115" s="421" t="s">
        <v>983</v>
      </c>
      <c r="C115" s="402"/>
      <c r="D115" s="403" t="s">
        <v>35</v>
      </c>
      <c r="E115" s="404">
        <f>E114</f>
        <v>3500</v>
      </c>
      <c r="F115" s="405">
        <f>E115*C115</f>
        <v>0</v>
      </c>
    </row>
    <row r="116" spans="1:6" s="406" customFormat="1" ht="18.75" x14ac:dyDescent="0.2">
      <c r="A116" s="403"/>
      <c r="B116" s="421"/>
      <c r="C116" s="402"/>
      <c r="D116" s="403"/>
      <c r="E116" s="404"/>
      <c r="F116" s="405"/>
    </row>
    <row r="117" spans="1:6" s="406" customFormat="1" ht="18.75" x14ac:dyDescent="0.2">
      <c r="A117" s="403"/>
      <c r="B117" s="416" t="s">
        <v>152</v>
      </c>
      <c r="C117" s="403"/>
      <c r="D117" s="403"/>
      <c r="E117" s="404"/>
      <c r="F117" s="405"/>
    </row>
    <row r="118" spans="1:6" s="406" customFormat="1" ht="33" x14ac:dyDescent="0.2">
      <c r="A118" s="403"/>
      <c r="B118" s="421" t="s">
        <v>619</v>
      </c>
      <c r="C118" s="402"/>
      <c r="E118" s="404"/>
      <c r="F118" s="405"/>
    </row>
    <row r="119" spans="1:6" s="406" customFormat="1" ht="18.75" x14ac:dyDescent="0.2">
      <c r="A119" s="403" t="s">
        <v>5</v>
      </c>
      <c r="B119" s="402" t="s">
        <v>612</v>
      </c>
      <c r="C119" s="432">
        <f>C114-C124</f>
        <v>8754</v>
      </c>
      <c r="D119" s="403" t="s">
        <v>35</v>
      </c>
      <c r="E119" s="404">
        <v>2200</v>
      </c>
      <c r="F119" s="405">
        <f>C119*E119</f>
        <v>19258800</v>
      </c>
    </row>
    <row r="120" spans="1:6" s="406" customFormat="1" ht="18.75" x14ac:dyDescent="0.2">
      <c r="A120" s="403" t="s">
        <v>6</v>
      </c>
      <c r="B120" s="421" t="s">
        <v>983</v>
      </c>
      <c r="C120" s="402">
        <f>C115</f>
        <v>0</v>
      </c>
      <c r="D120" s="403" t="s">
        <v>22</v>
      </c>
      <c r="E120" s="404">
        <f>E119</f>
        <v>2200</v>
      </c>
      <c r="F120" s="405">
        <f>C120*E120</f>
        <v>0</v>
      </c>
    </row>
    <row r="121" spans="1:6" s="406" customFormat="1" ht="18.75" x14ac:dyDescent="0.3">
      <c r="A121" s="403"/>
      <c r="B121" s="433"/>
      <c r="C121" s="402"/>
      <c r="D121" s="403"/>
      <c r="E121" s="404"/>
      <c r="F121" s="405"/>
    </row>
    <row r="122" spans="1:6" s="406" customFormat="1" ht="54" x14ac:dyDescent="0.2">
      <c r="A122" s="403"/>
      <c r="B122" s="434" t="s">
        <v>621</v>
      </c>
      <c r="C122" s="402"/>
      <c r="D122" s="403"/>
      <c r="E122" s="404"/>
      <c r="F122" s="405"/>
    </row>
    <row r="123" spans="1:6" s="406" customFormat="1" ht="66" x14ac:dyDescent="0.2">
      <c r="A123" s="403"/>
      <c r="B123" s="421" t="s">
        <v>943</v>
      </c>
      <c r="C123" s="402"/>
      <c r="D123" s="403"/>
      <c r="E123" s="404"/>
      <c r="F123" s="405"/>
    </row>
    <row r="124" spans="1:6" s="406" customFormat="1" ht="18.75" x14ac:dyDescent="0.2">
      <c r="A124" s="403" t="s">
        <v>7</v>
      </c>
      <c r="B124" s="402" t="s">
        <v>944</v>
      </c>
      <c r="C124" s="618">
        <v>1176</v>
      </c>
      <c r="D124" s="403" t="s">
        <v>35</v>
      </c>
      <c r="E124" s="404">
        <v>8500</v>
      </c>
      <c r="F124" s="405">
        <f>E124*C124</f>
        <v>9996000</v>
      </c>
    </row>
    <row r="125" spans="1:6" s="406" customFormat="1" ht="18.75" x14ac:dyDescent="0.2">
      <c r="A125" s="403"/>
      <c r="B125" s="402"/>
      <c r="C125" s="436"/>
      <c r="D125" s="403"/>
      <c r="E125" s="404"/>
      <c r="F125" s="405"/>
    </row>
    <row r="126" spans="1:6" s="406" customFormat="1" ht="49.5" x14ac:dyDescent="0.2">
      <c r="A126" s="403"/>
      <c r="B126" s="421" t="s">
        <v>625</v>
      </c>
      <c r="C126" s="402"/>
      <c r="D126" s="403"/>
      <c r="E126" s="404"/>
      <c r="F126" s="405"/>
    </row>
    <row r="127" spans="1:6" s="406" customFormat="1" ht="18.75" x14ac:dyDescent="0.2">
      <c r="A127" s="403"/>
      <c r="B127" s="402" t="s">
        <v>626</v>
      </c>
      <c r="C127" s="402"/>
      <c r="D127" s="403"/>
      <c r="E127" s="404"/>
      <c r="F127" s="405"/>
    </row>
    <row r="128" spans="1:6" s="406" customFormat="1" ht="18.75" x14ac:dyDescent="0.2">
      <c r="A128" s="403" t="s">
        <v>8</v>
      </c>
      <c r="B128" s="402" t="s">
        <v>627</v>
      </c>
      <c r="C128" s="412">
        <f>C124</f>
        <v>1176</v>
      </c>
      <c r="D128" s="403" t="s">
        <v>35</v>
      </c>
      <c r="E128" s="404">
        <v>4200</v>
      </c>
      <c r="F128" s="405">
        <f>E128*C128</f>
        <v>4939200</v>
      </c>
    </row>
    <row r="129" spans="1:6" s="406" customFormat="1" ht="18.75" x14ac:dyDescent="0.2">
      <c r="A129" s="403" t="s">
        <v>8</v>
      </c>
      <c r="B129" s="402" t="s">
        <v>1101</v>
      </c>
      <c r="C129" s="412">
        <v>2901</v>
      </c>
      <c r="D129" s="403" t="s">
        <v>35</v>
      </c>
      <c r="E129" s="404">
        <v>1500</v>
      </c>
      <c r="F129" s="405">
        <f>E129*C129</f>
        <v>4351500</v>
      </c>
    </row>
    <row r="130" spans="1:6" s="406" customFormat="1" ht="18.75" x14ac:dyDescent="0.2">
      <c r="A130" s="403"/>
      <c r="B130" s="416"/>
      <c r="C130" s="416"/>
      <c r="D130" s="407"/>
      <c r="E130" s="417"/>
      <c r="F130" s="296"/>
    </row>
    <row r="131" spans="1:6" s="406" customFormat="1" ht="18.75" x14ac:dyDescent="0.2">
      <c r="A131" s="403"/>
      <c r="B131" s="416"/>
      <c r="C131" s="416"/>
      <c r="D131" s="407"/>
      <c r="E131" s="417"/>
      <c r="F131" s="296"/>
    </row>
    <row r="132" spans="1:6" s="406" customFormat="1" ht="18.75" x14ac:dyDescent="0.2">
      <c r="A132" s="403"/>
      <c r="B132" s="416"/>
      <c r="C132" s="416"/>
      <c r="D132" s="407"/>
      <c r="E132" s="417"/>
      <c r="F132" s="296"/>
    </row>
    <row r="133" spans="1:6" s="406" customFormat="1" ht="18.75" x14ac:dyDescent="0.2">
      <c r="A133" s="403"/>
      <c r="B133" s="416"/>
      <c r="C133" s="416"/>
      <c r="D133" s="407"/>
      <c r="E133" s="417"/>
      <c r="F133" s="296"/>
    </row>
    <row r="134" spans="1:6" s="406" customFormat="1" ht="18.75" x14ac:dyDescent="0.2">
      <c r="A134" s="403"/>
      <c r="B134" s="416"/>
      <c r="C134" s="416"/>
      <c r="D134" s="407"/>
      <c r="E134" s="417"/>
      <c r="F134" s="296"/>
    </row>
    <row r="135" spans="1:6" s="406" customFormat="1" ht="18.75" x14ac:dyDescent="0.2">
      <c r="A135" s="403"/>
      <c r="B135" s="416"/>
      <c r="C135" s="416"/>
      <c r="D135" s="407"/>
      <c r="E135" s="417"/>
      <c r="F135" s="296"/>
    </row>
    <row r="136" spans="1:6" s="406" customFormat="1" ht="18.75" x14ac:dyDescent="0.2">
      <c r="A136" s="403"/>
      <c r="B136" s="416"/>
      <c r="C136" s="416"/>
      <c r="D136" s="407"/>
      <c r="E136" s="417"/>
      <c r="F136" s="296"/>
    </row>
    <row r="137" spans="1:6" s="406" customFormat="1" ht="18.75" x14ac:dyDescent="0.2">
      <c r="A137" s="403"/>
      <c r="B137" s="416"/>
      <c r="C137" s="416"/>
      <c r="D137" s="407"/>
      <c r="E137" s="417"/>
      <c r="F137" s="296"/>
    </row>
    <row r="138" spans="1:6" s="406" customFormat="1" ht="18.75" x14ac:dyDescent="0.2">
      <c r="A138" s="403"/>
      <c r="B138" s="416"/>
      <c r="C138" s="416"/>
      <c r="D138" s="407"/>
      <c r="E138" s="417"/>
      <c r="F138" s="296"/>
    </row>
    <row r="139" spans="1:6" s="406" customFormat="1" ht="18.75" x14ac:dyDescent="0.2">
      <c r="A139" s="403"/>
      <c r="B139" s="416"/>
      <c r="C139" s="416"/>
      <c r="D139" s="407"/>
      <c r="E139" s="417"/>
      <c r="F139" s="296"/>
    </row>
    <row r="140" spans="1:6" s="406" customFormat="1" ht="18.75" x14ac:dyDescent="0.2">
      <c r="A140" s="403"/>
      <c r="B140" s="416"/>
      <c r="C140" s="416"/>
      <c r="D140" s="407"/>
      <c r="E140" s="417"/>
      <c r="F140" s="296"/>
    </row>
    <row r="141" spans="1:6" s="406" customFormat="1" ht="18.75" x14ac:dyDescent="0.2">
      <c r="A141" s="403"/>
      <c r="B141" s="416"/>
      <c r="C141" s="416"/>
      <c r="D141" s="407"/>
      <c r="E141" s="417"/>
      <c r="F141" s="296"/>
    </row>
    <row r="142" spans="1:6" s="406" customFormat="1" ht="18.75" x14ac:dyDescent="0.2">
      <c r="A142" s="403"/>
      <c r="B142" s="416"/>
      <c r="C142" s="416"/>
      <c r="D142" s="407"/>
      <c r="E142" s="417"/>
      <c r="F142" s="296"/>
    </row>
    <row r="143" spans="1:6" s="406" customFormat="1" ht="18.75" x14ac:dyDescent="0.2">
      <c r="A143" s="403"/>
      <c r="B143" s="408" t="s">
        <v>236</v>
      </c>
      <c r="C143" s="416"/>
      <c r="D143" s="407"/>
      <c r="E143" s="417"/>
      <c r="F143" s="296"/>
    </row>
    <row r="144" spans="1:6" s="406" customFormat="1" ht="18.75" x14ac:dyDescent="0.2">
      <c r="A144" s="403"/>
      <c r="B144" s="416" t="s">
        <v>638</v>
      </c>
      <c r="C144" s="416"/>
      <c r="D144" s="407"/>
      <c r="E144" s="417" t="s">
        <v>15</v>
      </c>
      <c r="F144" s="296">
        <f>SUM(F109:F141)</f>
        <v>73300500</v>
      </c>
    </row>
    <row r="145" spans="1:6" s="406" customFormat="1" ht="18.75" x14ac:dyDescent="0.2">
      <c r="A145" s="403"/>
      <c r="B145" s="416"/>
      <c r="C145" s="416"/>
      <c r="D145" s="407"/>
      <c r="E145" s="417"/>
      <c r="F145" s="426"/>
    </row>
    <row r="146" spans="1:6" s="406" customFormat="1" ht="18.75" x14ac:dyDescent="0.2">
      <c r="A146" s="403"/>
      <c r="B146" s="408"/>
      <c r="C146" s="402"/>
      <c r="D146" s="403"/>
      <c r="E146" s="404"/>
      <c r="F146" s="424"/>
    </row>
    <row r="147" spans="1:6" s="406" customFormat="1" ht="18.75" x14ac:dyDescent="0.2">
      <c r="A147" s="403"/>
      <c r="B147" s="409" t="s">
        <v>450</v>
      </c>
      <c r="C147" s="402"/>
      <c r="D147" s="403"/>
      <c r="E147" s="404"/>
      <c r="F147" s="405"/>
    </row>
    <row r="148" spans="1:6" s="406" customFormat="1" ht="18.75" x14ac:dyDescent="0.2">
      <c r="A148" s="403"/>
      <c r="B148" s="402"/>
      <c r="C148" s="402"/>
      <c r="D148" s="403"/>
      <c r="E148" s="404"/>
      <c r="F148" s="437"/>
    </row>
    <row r="149" spans="1:6" s="406" customFormat="1" ht="18.75" x14ac:dyDescent="0.2">
      <c r="A149" s="403"/>
      <c r="B149" s="421" t="s">
        <v>533</v>
      </c>
      <c r="C149" s="402"/>
      <c r="D149" s="403"/>
      <c r="E149" s="404">
        <f>F30</f>
        <v>44104400</v>
      </c>
      <c r="F149" s="438"/>
    </row>
    <row r="150" spans="1:6" s="406" customFormat="1" ht="18.75" x14ac:dyDescent="0.2">
      <c r="A150" s="403"/>
      <c r="B150" s="402"/>
      <c r="C150" s="402"/>
      <c r="D150" s="403"/>
      <c r="E150" s="404"/>
      <c r="F150" s="438"/>
    </row>
    <row r="151" spans="1:6" s="406" customFormat="1" ht="18.75" x14ac:dyDescent="0.2">
      <c r="A151" s="403"/>
      <c r="B151" s="402" t="s">
        <v>195</v>
      </c>
      <c r="C151" s="402"/>
      <c r="D151" s="403"/>
      <c r="E151" s="404">
        <f>F74</f>
        <v>66404100</v>
      </c>
      <c r="F151" s="438"/>
    </row>
    <row r="152" spans="1:6" s="406" customFormat="1" ht="18.75" x14ac:dyDescent="0.2">
      <c r="A152" s="403"/>
      <c r="B152" s="402"/>
      <c r="C152" s="402"/>
      <c r="D152" s="403"/>
      <c r="E152" s="404"/>
      <c r="F152" s="405"/>
    </row>
    <row r="153" spans="1:6" s="406" customFormat="1" ht="18.75" x14ac:dyDescent="0.2">
      <c r="A153" s="403"/>
      <c r="B153" s="402" t="s">
        <v>236</v>
      </c>
      <c r="C153" s="402"/>
      <c r="D153" s="403"/>
      <c r="E153" s="404">
        <f>F144</f>
        <v>73300500</v>
      </c>
      <c r="F153" s="438"/>
    </row>
    <row r="154" spans="1:6" s="406" customFormat="1" ht="18.75" x14ac:dyDescent="0.2">
      <c r="A154" s="403"/>
      <c r="B154" s="402"/>
      <c r="C154" s="402"/>
      <c r="D154" s="403"/>
      <c r="E154" s="404"/>
      <c r="F154" s="405"/>
    </row>
    <row r="155" spans="1:6" s="406" customFormat="1" ht="18.75" x14ac:dyDescent="0.2">
      <c r="A155" s="403"/>
      <c r="B155" s="402"/>
      <c r="C155" s="402"/>
      <c r="D155" s="403"/>
      <c r="E155" s="404"/>
      <c r="F155" s="405"/>
    </row>
    <row r="156" spans="1:6" s="406" customFormat="1" ht="18.75" x14ac:dyDescent="0.2">
      <c r="A156" s="403"/>
      <c r="B156" s="402"/>
      <c r="C156" s="402"/>
      <c r="D156" s="403"/>
      <c r="E156" s="404"/>
      <c r="F156" s="405"/>
    </row>
    <row r="157" spans="1:6" s="406" customFormat="1" ht="18.75" x14ac:dyDescent="0.2">
      <c r="A157" s="403"/>
      <c r="B157" s="402"/>
      <c r="C157" s="402"/>
      <c r="D157" s="403"/>
      <c r="E157" s="404"/>
      <c r="F157" s="405"/>
    </row>
    <row r="158" spans="1:6" s="406" customFormat="1" ht="18.75" x14ac:dyDescent="0.2">
      <c r="A158" s="403"/>
      <c r="B158" s="402"/>
      <c r="C158" s="402"/>
      <c r="D158" s="403"/>
      <c r="E158" s="404"/>
      <c r="F158" s="405"/>
    </row>
    <row r="159" spans="1:6" s="406" customFormat="1" ht="18.75" x14ac:dyDescent="0.2">
      <c r="A159" s="403"/>
      <c r="B159" s="425" t="s">
        <v>945</v>
      </c>
      <c r="C159" s="416"/>
      <c r="D159" s="407"/>
      <c r="E159" s="417"/>
      <c r="F159" s="439"/>
    </row>
    <row r="160" spans="1:6" s="406" customFormat="1" ht="19.5" thickBot="1" x14ac:dyDescent="0.25">
      <c r="A160" s="403"/>
      <c r="B160" s="416" t="s">
        <v>695</v>
      </c>
      <c r="C160" s="416"/>
      <c r="D160" s="407"/>
      <c r="E160" s="417" t="s">
        <v>15</v>
      </c>
      <c r="F160" s="440">
        <f>SUM(E149:E154)</f>
        <v>183809000</v>
      </c>
    </row>
    <row r="161" spans="1:6" s="406" customFormat="1" ht="19.5" thickTop="1" x14ac:dyDescent="0.2">
      <c r="A161" s="403"/>
      <c r="B161" s="402"/>
      <c r="C161" s="402"/>
      <c r="D161" s="403"/>
      <c r="E161" s="404"/>
      <c r="F161" s="405"/>
    </row>
    <row r="162" spans="1:6" s="406" customFormat="1" ht="18.75" hidden="1" x14ac:dyDescent="0.2">
      <c r="A162" s="403"/>
      <c r="B162" s="402"/>
      <c r="C162" s="402"/>
      <c r="D162" s="403"/>
      <c r="E162" s="404"/>
      <c r="F162" s="405"/>
    </row>
    <row r="163" spans="1:6" s="406" customFormat="1" ht="18.75" hidden="1" x14ac:dyDescent="0.2">
      <c r="A163" s="403"/>
      <c r="B163" s="416"/>
      <c r="C163" s="441"/>
      <c r="D163" s="407" t="s">
        <v>472</v>
      </c>
      <c r="E163" s="404"/>
      <c r="F163" s="296"/>
    </row>
    <row r="164" spans="1:6" s="406" customFormat="1" ht="18.75" hidden="1" x14ac:dyDescent="0.2">
      <c r="A164" s="403"/>
      <c r="B164" s="416" t="s">
        <v>471</v>
      </c>
      <c r="C164" s="416"/>
      <c r="D164" s="407">
        <v>214</v>
      </c>
      <c r="E164" s="417"/>
      <c r="F164" s="296"/>
    </row>
    <row r="165" spans="1:6" s="406" customFormat="1" ht="18" hidden="1" x14ac:dyDescent="0.2">
      <c r="A165" s="403"/>
      <c r="B165" s="416"/>
      <c r="C165" s="416"/>
      <c r="D165" s="407"/>
      <c r="E165" s="417"/>
      <c r="F165" s="515">
        <f>F168/D164</f>
        <v>858920.56074766361</v>
      </c>
    </row>
    <row r="166" spans="1:6" s="406" customFormat="1" ht="18.75" hidden="1" x14ac:dyDescent="0.2">
      <c r="A166" s="403"/>
      <c r="B166" s="416"/>
      <c r="C166" s="416"/>
      <c r="D166" s="407"/>
      <c r="E166" s="417"/>
      <c r="F166" s="296"/>
    </row>
    <row r="167" spans="1:6" s="406" customFormat="1" ht="18.75" hidden="1" x14ac:dyDescent="0.2">
      <c r="A167" s="403"/>
      <c r="B167" s="416" t="s">
        <v>946</v>
      </c>
      <c r="C167" s="416"/>
      <c r="D167" s="407"/>
      <c r="E167" s="417"/>
      <c r="F167" s="296"/>
    </row>
    <row r="168" spans="1:6" s="406" customFormat="1" ht="18.75" hidden="1" x14ac:dyDescent="0.2">
      <c r="A168" s="403"/>
      <c r="B168" s="416" t="s">
        <v>875</v>
      </c>
      <c r="C168" s="416"/>
      <c r="E168" s="417"/>
      <c r="F168" s="296">
        <f>F160</f>
        <v>183809000</v>
      </c>
    </row>
    <row r="169" spans="1:6" s="406" customFormat="1" ht="18.75" x14ac:dyDescent="0.2">
      <c r="A169" s="403"/>
      <c r="B169" s="416"/>
      <c r="C169" s="416"/>
      <c r="D169" s="407"/>
      <c r="E169" s="417"/>
      <c r="F169" s="296"/>
    </row>
    <row r="170" spans="1:6" s="406" customFormat="1" ht="18.75" x14ac:dyDescent="0.2">
      <c r="A170" s="403"/>
      <c r="B170" s="416" t="s">
        <v>473</v>
      </c>
      <c r="C170" s="442"/>
      <c r="D170" s="407"/>
      <c r="E170" s="417">
        <f>F160</f>
        <v>183809000</v>
      </c>
      <c r="F170" s="296"/>
    </row>
    <row r="171" spans="1:6" s="406" customFormat="1" ht="18.75" x14ac:dyDescent="0.2">
      <c r="A171" s="403"/>
      <c r="B171" s="408" t="s">
        <v>474</v>
      </c>
      <c r="C171" s="416"/>
      <c r="D171" s="407"/>
      <c r="E171" s="417"/>
      <c r="F171" s="296"/>
    </row>
    <row r="172" spans="1:6" s="406" customFormat="1" ht="18.75" x14ac:dyDescent="0.2">
      <c r="A172" s="403"/>
      <c r="B172" s="416" t="s">
        <v>692</v>
      </c>
      <c r="C172" s="416"/>
      <c r="D172" s="407"/>
      <c r="E172" s="417">
        <f>E170*5%</f>
        <v>9190450</v>
      </c>
      <c r="F172" s="296"/>
    </row>
    <row r="173" spans="1:6" s="406" customFormat="1" ht="18.75" x14ac:dyDescent="0.2">
      <c r="A173" s="403"/>
      <c r="B173" s="416"/>
      <c r="C173" s="416"/>
      <c r="D173" s="407"/>
      <c r="E173" s="417"/>
      <c r="F173" s="296"/>
    </row>
    <row r="174" spans="1:6" s="406" customFormat="1" ht="18.75" x14ac:dyDescent="0.2">
      <c r="A174" s="403"/>
      <c r="B174" s="443" t="s">
        <v>476</v>
      </c>
      <c r="C174" s="443"/>
      <c r="D174" s="444" t="s">
        <v>15</v>
      </c>
      <c r="E174" s="445">
        <f>SUM(E170:E173)</f>
        <v>192999450</v>
      </c>
      <c r="F174" s="296"/>
    </row>
    <row r="175" spans="1:6" s="406" customFormat="1" ht="18.75" x14ac:dyDescent="0.2">
      <c r="A175" s="403"/>
      <c r="B175" s="408" t="s">
        <v>474</v>
      </c>
      <c r="C175" s="443"/>
      <c r="D175" s="444"/>
      <c r="E175" s="446"/>
      <c r="F175" s="296"/>
    </row>
    <row r="176" spans="1:6" s="406" customFormat="1" ht="18.75" x14ac:dyDescent="0.2">
      <c r="A176" s="403"/>
      <c r="B176" s="416" t="s">
        <v>477</v>
      </c>
      <c r="C176" s="416"/>
      <c r="D176" s="407"/>
      <c r="E176" s="417">
        <f>E174*7.5%</f>
        <v>14474958.75</v>
      </c>
      <c r="F176" s="296"/>
    </row>
    <row r="177" spans="1:6" s="406" customFormat="1" ht="19.5" thickBot="1" x14ac:dyDescent="0.25">
      <c r="A177" s="403"/>
      <c r="B177" s="416"/>
      <c r="C177" s="416"/>
      <c r="D177" s="407"/>
      <c r="E177" s="447">
        <f>SUM(E174:E176)</f>
        <v>207474408.75</v>
      </c>
      <c r="F177" s="296"/>
    </row>
    <row r="178" spans="1:6" s="406" customFormat="1" ht="19.5" thickTop="1" x14ac:dyDescent="0.2">
      <c r="A178" s="403"/>
      <c r="B178" s="416"/>
      <c r="C178" s="416"/>
      <c r="D178" s="407"/>
      <c r="E178" s="417"/>
      <c r="F178" s="296"/>
    </row>
    <row r="179" spans="1:6" s="406" customFormat="1" ht="18.75" hidden="1" x14ac:dyDescent="0.2">
      <c r="A179" s="403"/>
      <c r="B179" s="416" t="s">
        <v>478</v>
      </c>
      <c r="C179" s="416"/>
      <c r="D179" s="407"/>
      <c r="E179" s="417">
        <f>E177/2</f>
        <v>103737204.375</v>
      </c>
      <c r="F179" s="296"/>
    </row>
    <row r="180" spans="1:6" s="406" customFormat="1" ht="18.75" hidden="1" x14ac:dyDescent="0.2">
      <c r="A180" s="403"/>
      <c r="B180" s="416"/>
      <c r="C180" s="416"/>
      <c r="D180" s="407"/>
      <c r="E180" s="417"/>
      <c r="F180" s="296"/>
    </row>
    <row r="181" spans="1:6" s="406" customFormat="1" ht="18.75" hidden="1" x14ac:dyDescent="0.2">
      <c r="A181" s="403"/>
      <c r="B181" s="416" t="s">
        <v>479</v>
      </c>
      <c r="C181" s="416"/>
      <c r="D181" s="407"/>
      <c r="E181" s="417" t="e">
        <f>E177/F164</f>
        <v>#DIV/0!</v>
      </c>
      <c r="F181" s="296"/>
    </row>
    <row r="182" spans="1:6" s="406" customFormat="1" ht="18.75" x14ac:dyDescent="0.2">
      <c r="A182" s="403"/>
      <c r="B182" s="416"/>
      <c r="C182" s="402"/>
      <c r="D182" s="403"/>
      <c r="E182" s="404"/>
      <c r="F182" s="405"/>
    </row>
    <row r="183" spans="1:6" s="406" customFormat="1" ht="12.75" x14ac:dyDescent="0.2"/>
  </sheetData>
  <printOptions gridLines="1"/>
  <pageMargins left="0.70866141732283505" right="0.70866141732283505" top="0.74803149606299202" bottom="0.74803149606299202" header="0.31496062992126" footer="0.31496062992126"/>
  <pageSetup paperSize="9" scale="73" orientation="portrait" r:id="rId1"/>
  <headerFooter>
    <oddHeader xml:space="preserve">&amp;L&amp;"-,Bold"&amp;18FENCE AND GATE </oddHeader>
    <oddFooter>Page &amp;P</oddFooter>
  </headerFooter>
  <rowBreaks count="5" manualBreakCount="5">
    <brk id="30" max="16383" man="1"/>
    <brk id="74" max="5" man="1"/>
    <brk id="106" max="16383" man="1"/>
    <brk id="144" max="16383" man="1"/>
    <brk id="178"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7EC3-C26B-4B31-9EBC-3F895C93E9C1}">
  <dimension ref="A1:T1180"/>
  <sheetViews>
    <sheetView view="pageBreakPreview" topLeftCell="A820" zoomScaleNormal="100" zoomScaleSheetLayoutView="100" workbookViewId="0">
      <selection activeCell="F817" sqref="F817"/>
    </sheetView>
  </sheetViews>
  <sheetFormatPr defaultColWidth="9.140625" defaultRowHeight="16.5" x14ac:dyDescent="0.25"/>
  <cols>
    <col min="1" max="1" width="3.42578125" style="206" customWidth="1"/>
    <col min="2" max="2" width="47" style="214" customWidth="1"/>
    <col min="3" max="3" width="9.28515625" style="205" customWidth="1"/>
    <col min="4" max="4" width="6.85546875" style="206" bestFit="1" customWidth="1"/>
    <col min="5" max="5" width="17.85546875" style="304" bestFit="1" customWidth="1"/>
    <col min="6" max="7" width="16.42578125" style="207" customWidth="1"/>
    <col min="8" max="8" width="18" style="208" customWidth="1"/>
    <col min="9" max="9" width="35.5703125" style="208" customWidth="1"/>
    <col min="10" max="10" width="9.140625" style="208"/>
    <col min="11" max="11" width="22.42578125" style="208" customWidth="1"/>
    <col min="12" max="12" width="5.42578125" style="208" customWidth="1"/>
    <col min="13" max="13" width="9.5703125" style="208" customWidth="1"/>
    <col min="14" max="16" width="9.140625" style="208"/>
    <col min="17" max="17" width="12.5703125" style="208" bestFit="1" customWidth="1"/>
    <col min="18" max="18" width="9.140625" style="208"/>
    <col min="19" max="19" width="12.42578125" style="208" bestFit="1" customWidth="1"/>
    <col min="20" max="16384" width="9.140625" style="208"/>
  </cols>
  <sheetData>
    <row r="1" spans="1:10" x14ac:dyDescent="0.25">
      <c r="A1" s="203"/>
      <c r="B1" s="204" t="s">
        <v>508</v>
      </c>
    </row>
    <row r="2" spans="1:10" x14ac:dyDescent="0.25">
      <c r="B2" s="209"/>
    </row>
    <row r="3" spans="1:10" x14ac:dyDescent="0.25">
      <c r="B3" s="210" t="s">
        <v>509</v>
      </c>
    </row>
    <row r="4" spans="1:10" x14ac:dyDescent="0.25">
      <c r="B4" s="210"/>
    </row>
    <row r="5" spans="1:10" s="213" customFormat="1" x14ac:dyDescent="0.25">
      <c r="A5" s="206"/>
      <c r="B5" s="211" t="s">
        <v>44</v>
      </c>
      <c r="C5" s="205"/>
      <c r="D5" s="206"/>
      <c r="E5" s="304"/>
      <c r="F5" s="212"/>
      <c r="G5" s="212"/>
      <c r="H5" s="208"/>
    </row>
    <row r="6" spans="1:10" s="213" customFormat="1" x14ac:dyDescent="0.25">
      <c r="A6" s="206"/>
      <c r="B6" s="211"/>
      <c r="C6" s="205"/>
      <c r="D6" s="206"/>
      <c r="E6" s="304"/>
      <c r="F6" s="212"/>
      <c r="G6" s="212"/>
      <c r="H6" s="208"/>
    </row>
    <row r="7" spans="1:10" s="213" customFormat="1" x14ac:dyDescent="0.25">
      <c r="A7" s="206"/>
      <c r="B7" s="211" t="s">
        <v>510</v>
      </c>
      <c r="C7" s="205"/>
      <c r="D7" s="206"/>
      <c r="E7" s="304"/>
      <c r="F7" s="212"/>
      <c r="G7" s="212"/>
      <c r="H7" s="208"/>
    </row>
    <row r="8" spans="1:10" ht="17.25" customHeight="1" x14ac:dyDescent="0.25"/>
    <row r="9" spans="1:10" ht="40.5" customHeight="1" x14ac:dyDescent="0.25">
      <c r="A9" s="206" t="s">
        <v>2</v>
      </c>
      <c r="B9" s="215" t="s">
        <v>45</v>
      </c>
      <c r="C9" s="205">
        <f>'[30]Take off'!D10</f>
        <v>121</v>
      </c>
      <c r="D9" s="206" t="s">
        <v>511</v>
      </c>
      <c r="E9" s="304">
        <v>200</v>
      </c>
      <c r="F9" s="207">
        <f t="shared" ref="F9:F18" si="0">C9*E9</f>
        <v>24200</v>
      </c>
      <c r="G9" s="216"/>
      <c r="H9" s="284"/>
    </row>
    <row r="10" spans="1:10" ht="51.75" customHeight="1" x14ac:dyDescent="0.25">
      <c r="A10" s="206" t="s">
        <v>4</v>
      </c>
      <c r="B10" s="215" t="s">
        <v>512</v>
      </c>
      <c r="C10" s="205">
        <f>'[30]Take off'!D14</f>
        <v>66</v>
      </c>
      <c r="D10" s="206" t="s">
        <v>513</v>
      </c>
      <c r="E10" s="304">
        <v>1900</v>
      </c>
      <c r="F10" s="207">
        <f t="shared" si="0"/>
        <v>125400</v>
      </c>
      <c r="G10" s="216"/>
      <c r="H10" s="284"/>
    </row>
    <row r="11" spans="1:10" ht="45" customHeight="1" x14ac:dyDescent="0.25">
      <c r="A11" s="206" t="s">
        <v>5</v>
      </c>
      <c r="B11" s="215" t="s">
        <v>878</v>
      </c>
      <c r="C11" s="205">
        <f>'[30]Take off'!D52</f>
        <v>72</v>
      </c>
      <c r="D11" s="206" t="s">
        <v>513</v>
      </c>
      <c r="E11" s="304">
        <f>E10</f>
        <v>1900</v>
      </c>
      <c r="F11" s="207">
        <f t="shared" si="0"/>
        <v>136800</v>
      </c>
      <c r="G11" s="216"/>
      <c r="H11" s="284"/>
    </row>
    <row r="12" spans="1:10" ht="55.5" customHeight="1" x14ac:dyDescent="0.25">
      <c r="A12" s="206" t="s">
        <v>6</v>
      </c>
      <c r="B12" s="215" t="s">
        <v>514</v>
      </c>
      <c r="D12" s="206" t="s">
        <v>513</v>
      </c>
      <c r="E12" s="304">
        <f>E10</f>
        <v>1900</v>
      </c>
      <c r="F12" s="207">
        <f t="shared" si="0"/>
        <v>0</v>
      </c>
      <c r="G12" s="216"/>
    </row>
    <row r="13" spans="1:10" ht="30.75" customHeight="1" x14ac:dyDescent="0.25">
      <c r="A13" s="206" t="s">
        <v>7</v>
      </c>
      <c r="B13" s="215" t="s">
        <v>19</v>
      </c>
      <c r="C13" s="205">
        <v>167</v>
      </c>
      <c r="D13" s="206" t="s">
        <v>511</v>
      </c>
      <c r="E13" s="304">
        <f>'[31]AJIWE STRIP MALL '!E49</f>
        <v>250</v>
      </c>
      <c r="F13" s="207">
        <f t="shared" si="0"/>
        <v>41750</v>
      </c>
      <c r="G13" s="216"/>
      <c r="H13" s="284"/>
      <c r="I13" s="217"/>
    </row>
    <row r="14" spans="1:10" ht="30.75" customHeight="1" x14ac:dyDescent="0.25">
      <c r="A14" s="206" t="s">
        <v>8</v>
      </c>
      <c r="B14" s="215" t="s">
        <v>515</v>
      </c>
      <c r="C14" s="205">
        <f>(C11+C10)*0.4</f>
        <v>55.2</v>
      </c>
      <c r="D14" s="206" t="s">
        <v>513</v>
      </c>
      <c r="E14" s="304">
        <v>1400</v>
      </c>
      <c r="F14" s="207">
        <f t="shared" si="0"/>
        <v>77280</v>
      </c>
      <c r="G14" s="216"/>
      <c r="H14" s="284"/>
      <c r="J14" s="217"/>
    </row>
    <row r="15" spans="1:10" ht="44.25" customHeight="1" x14ac:dyDescent="0.25">
      <c r="A15" s="206" t="s">
        <v>9</v>
      </c>
      <c r="B15" s="215" t="s">
        <v>516</v>
      </c>
      <c r="C15" s="205">
        <f>(C11+C10)*0.6</f>
        <v>82.8</v>
      </c>
      <c r="D15" s="206" t="s">
        <v>513</v>
      </c>
      <c r="E15" s="304">
        <v>900</v>
      </c>
      <c r="F15" s="207">
        <f t="shared" si="0"/>
        <v>74520</v>
      </c>
      <c r="G15" s="216"/>
      <c r="H15" s="284"/>
    </row>
    <row r="16" spans="1:10" ht="44.25" customHeight="1" x14ac:dyDescent="0.25">
      <c r="A16" s="206" t="s">
        <v>10</v>
      </c>
      <c r="B16" s="218" t="s">
        <v>807</v>
      </c>
      <c r="C16" s="205">
        <f>'[30]Take off'!D75</f>
        <v>48</v>
      </c>
      <c r="D16" s="206" t="s">
        <v>513</v>
      </c>
      <c r="E16" s="304">
        <v>6500</v>
      </c>
      <c r="F16" s="207">
        <f>C16*E16</f>
        <v>312000</v>
      </c>
      <c r="G16" s="216"/>
      <c r="H16" s="284"/>
    </row>
    <row r="17" spans="1:8" ht="36" customHeight="1" x14ac:dyDescent="0.25">
      <c r="A17" s="206" t="s">
        <v>11</v>
      </c>
      <c r="B17" s="215" t="s">
        <v>663</v>
      </c>
      <c r="C17" s="205">
        <f>'[30]Take off'!D71</f>
        <v>121</v>
      </c>
      <c r="D17" s="206" t="s">
        <v>511</v>
      </c>
      <c r="E17" s="304">
        <v>2700</v>
      </c>
      <c r="F17" s="207">
        <f t="shared" si="0"/>
        <v>326700</v>
      </c>
      <c r="G17" s="216"/>
      <c r="H17" s="284"/>
    </row>
    <row r="18" spans="1:8" ht="36" customHeight="1" x14ac:dyDescent="0.25">
      <c r="A18" s="206" t="s">
        <v>12</v>
      </c>
      <c r="B18" s="215" t="s">
        <v>517</v>
      </c>
      <c r="D18" s="206" t="s">
        <v>511</v>
      </c>
      <c r="E18" s="304">
        <f>'[31]AJIWE STRIP MALL '!E54</f>
        <v>150</v>
      </c>
      <c r="F18" s="207">
        <f t="shared" si="0"/>
        <v>0</v>
      </c>
      <c r="G18" s="216"/>
      <c r="H18" s="284"/>
    </row>
    <row r="19" spans="1:8" x14ac:dyDescent="0.25">
      <c r="B19" s="211" t="s">
        <v>98</v>
      </c>
      <c r="G19" s="216"/>
    </row>
    <row r="20" spans="1:8" ht="17.25" customHeight="1" x14ac:dyDescent="0.25">
      <c r="B20" s="219" t="s">
        <v>664</v>
      </c>
      <c r="G20" s="216"/>
    </row>
    <row r="21" spans="1:8" ht="17.25" customHeight="1" x14ac:dyDescent="0.25">
      <c r="A21" s="206" t="s">
        <v>13</v>
      </c>
      <c r="B21" s="214" t="s">
        <v>808</v>
      </c>
      <c r="C21" s="205">
        <f>'[30]Take off'!D89</f>
        <v>191</v>
      </c>
      <c r="D21" s="206" t="s">
        <v>511</v>
      </c>
      <c r="E21" s="304">
        <v>4100</v>
      </c>
      <c r="F21" s="207">
        <f>C21*E21</f>
        <v>783100</v>
      </c>
      <c r="G21" s="216"/>
      <c r="H21" s="284"/>
    </row>
    <row r="22" spans="1:8" ht="28.9" customHeight="1" x14ac:dyDescent="0.25">
      <c r="B22" s="224" t="s">
        <v>665</v>
      </c>
      <c r="G22" s="216"/>
    </row>
    <row r="23" spans="1:8" ht="17.25" customHeight="1" x14ac:dyDescent="0.25">
      <c r="A23" s="206" t="s">
        <v>14</v>
      </c>
      <c r="B23" s="214" t="s">
        <v>518</v>
      </c>
      <c r="C23" s="205">
        <v>0</v>
      </c>
      <c r="D23" s="206" t="s">
        <v>513</v>
      </c>
      <c r="E23" s="304">
        <v>90000</v>
      </c>
      <c r="F23" s="207">
        <f>C23*E23</f>
        <v>0</v>
      </c>
      <c r="G23" s="216"/>
      <c r="H23" s="284"/>
    </row>
    <row r="24" spans="1:8" ht="17.25" customHeight="1" x14ac:dyDescent="0.25">
      <c r="A24" s="206" t="s">
        <v>15</v>
      </c>
      <c r="B24" s="214" t="s">
        <v>519</v>
      </c>
      <c r="C24" s="205">
        <f>'[30]Take off'!H6</f>
        <v>18</v>
      </c>
      <c r="D24" s="206" t="s">
        <v>513</v>
      </c>
      <c r="E24" s="304">
        <f>E23</f>
        <v>90000</v>
      </c>
      <c r="F24" s="207">
        <f>C24*E24</f>
        <v>1620000</v>
      </c>
      <c r="G24" s="216"/>
      <c r="H24" s="284"/>
    </row>
    <row r="25" spans="1:8" ht="17.25" customHeight="1" x14ac:dyDescent="0.25">
      <c r="G25" s="216"/>
      <c r="H25" s="284"/>
    </row>
    <row r="26" spans="1:8" ht="17.25" customHeight="1" x14ac:dyDescent="0.25">
      <c r="G26" s="216"/>
      <c r="H26" s="284"/>
    </row>
    <row r="27" spans="1:8" ht="17.25" customHeight="1" x14ac:dyDescent="0.25">
      <c r="G27" s="216"/>
      <c r="H27" s="284"/>
    </row>
    <row r="28" spans="1:8" ht="17.25" customHeight="1" x14ac:dyDescent="0.25">
      <c r="G28" s="216"/>
      <c r="H28" s="284"/>
    </row>
    <row r="29" spans="1:8" ht="17.25" customHeight="1" x14ac:dyDescent="0.25">
      <c r="G29" s="216"/>
      <c r="H29" s="284"/>
    </row>
    <row r="30" spans="1:8" ht="17.25" customHeight="1" x14ac:dyDescent="0.25">
      <c r="B30" s="220" t="s">
        <v>520</v>
      </c>
      <c r="C30" s="221"/>
      <c r="D30" s="209"/>
      <c r="E30" s="303" t="s">
        <v>15</v>
      </c>
      <c r="F30" s="285">
        <f>SUM(F2:F29)</f>
        <v>3521750</v>
      </c>
      <c r="G30" s="216"/>
    </row>
    <row r="31" spans="1:8" s="223" customFormat="1" ht="17.25" customHeight="1" x14ac:dyDescent="0.25">
      <c r="A31" s="209"/>
      <c r="B31" s="210" t="s">
        <v>521</v>
      </c>
      <c r="C31" s="221"/>
      <c r="D31" s="209"/>
      <c r="E31" s="303"/>
      <c r="F31" s="222"/>
      <c r="G31" s="216"/>
    </row>
    <row r="32" spans="1:8" ht="30.75" customHeight="1" x14ac:dyDescent="0.25">
      <c r="B32" s="219" t="s">
        <v>522</v>
      </c>
      <c r="G32" s="216"/>
    </row>
    <row r="33" spans="1:8" ht="22.9" customHeight="1" x14ac:dyDescent="0.25">
      <c r="B33" s="219" t="s">
        <v>666</v>
      </c>
      <c r="G33" s="216"/>
    </row>
    <row r="34" spans="1:8" ht="22.5" customHeight="1" x14ac:dyDescent="0.25">
      <c r="A34" s="206" t="s">
        <v>2</v>
      </c>
      <c r="B34" s="214" t="s">
        <v>667</v>
      </c>
      <c r="C34" s="205">
        <f>'[30]Take off'!H78</f>
        <v>1</v>
      </c>
      <c r="D34" s="206" t="s">
        <v>513</v>
      </c>
      <c r="E34" s="304">
        <v>94000</v>
      </c>
      <c r="F34" s="207">
        <f>C34*E34</f>
        <v>94000</v>
      </c>
      <c r="G34" s="216"/>
      <c r="H34" s="284"/>
    </row>
    <row r="35" spans="1:8" ht="21.75" customHeight="1" x14ac:dyDescent="0.25">
      <c r="A35" s="206" t="s">
        <v>4</v>
      </c>
      <c r="B35" s="214" t="s">
        <v>879</v>
      </c>
      <c r="C35" s="205">
        <f>'[30]Take off'!H52</f>
        <v>72</v>
      </c>
      <c r="D35" s="206" t="s">
        <v>513</v>
      </c>
      <c r="E35" s="304">
        <f>E34</f>
        <v>94000</v>
      </c>
      <c r="F35" s="207">
        <f>C35*E35</f>
        <v>6768000</v>
      </c>
      <c r="G35" s="216"/>
      <c r="H35" s="284"/>
    </row>
    <row r="36" spans="1:8" ht="21.75" customHeight="1" x14ac:dyDescent="0.25">
      <c r="A36" s="206" t="s">
        <v>5</v>
      </c>
      <c r="B36" s="214" t="s">
        <v>805</v>
      </c>
      <c r="C36" s="205">
        <f>'[30]Take off'!H27</f>
        <v>12</v>
      </c>
      <c r="D36" s="206" t="s">
        <v>513</v>
      </c>
      <c r="E36" s="304">
        <f>E34</f>
        <v>94000</v>
      </c>
      <c r="F36" s="207">
        <f>C36*E36</f>
        <v>1128000</v>
      </c>
      <c r="G36" s="216"/>
      <c r="H36" s="284"/>
    </row>
    <row r="37" spans="1:8" ht="21.75" customHeight="1" x14ac:dyDescent="0.25">
      <c r="A37" s="206" t="s">
        <v>5</v>
      </c>
      <c r="B37" s="214" t="s">
        <v>668</v>
      </c>
      <c r="C37" s="205">
        <v>0</v>
      </c>
      <c r="D37" s="206" t="s">
        <v>513</v>
      </c>
      <c r="E37" s="304">
        <f>E35</f>
        <v>94000</v>
      </c>
      <c r="F37" s="207">
        <f>C37*E37</f>
        <v>0</v>
      </c>
      <c r="G37" s="216"/>
      <c r="H37" s="284"/>
    </row>
    <row r="38" spans="1:8" x14ac:dyDescent="0.25">
      <c r="G38" s="216"/>
    </row>
    <row r="39" spans="1:8" ht="21" customHeight="1" x14ac:dyDescent="0.25">
      <c r="B39" s="211" t="s">
        <v>102</v>
      </c>
      <c r="G39" s="216"/>
    </row>
    <row r="40" spans="1:8" ht="38.25" customHeight="1" x14ac:dyDescent="0.25">
      <c r="B40" s="224" t="s">
        <v>880</v>
      </c>
      <c r="G40" s="216"/>
    </row>
    <row r="41" spans="1:8" ht="19.5" customHeight="1" x14ac:dyDescent="0.25">
      <c r="A41" s="206" t="s">
        <v>6</v>
      </c>
      <c r="B41" s="214" t="s">
        <v>881</v>
      </c>
      <c r="C41" s="205">
        <f>178+111+180+809+'[30]Take off'!L86+350+242</f>
        <v>2064.6769230769232</v>
      </c>
      <c r="D41" s="206" t="s">
        <v>75</v>
      </c>
      <c r="E41" s="304">
        <v>770</v>
      </c>
      <c r="F41" s="207">
        <f>C41*E41</f>
        <v>1589801.230769231</v>
      </c>
      <c r="G41" s="216"/>
      <c r="H41" s="284"/>
    </row>
    <row r="42" spans="1:8" ht="19.5" customHeight="1" x14ac:dyDescent="0.25">
      <c r="A42" s="206" t="s">
        <v>7</v>
      </c>
      <c r="B42" s="214" t="s">
        <v>882</v>
      </c>
      <c r="C42" s="205">
        <f>906+'[30]Take off'!H89+302</f>
        <v>1223.7866666666666</v>
      </c>
      <c r="D42" s="206" t="s">
        <v>75</v>
      </c>
      <c r="E42" s="304">
        <f>E41</f>
        <v>770</v>
      </c>
      <c r="F42" s="207">
        <f>C42*E42</f>
        <v>942315.73333333328</v>
      </c>
      <c r="G42" s="216"/>
      <c r="H42" s="284"/>
    </row>
    <row r="43" spans="1:8" ht="19.5" customHeight="1" x14ac:dyDescent="0.25">
      <c r="A43" s="206" t="s">
        <v>8</v>
      </c>
      <c r="B43" s="214" t="s">
        <v>672</v>
      </c>
      <c r="C43" s="205">
        <f>52+32+41+103</f>
        <v>228</v>
      </c>
      <c r="D43" s="206" t="s">
        <v>75</v>
      </c>
      <c r="E43" s="304">
        <f>E42</f>
        <v>770</v>
      </c>
      <c r="F43" s="207">
        <f>C43*E43</f>
        <v>175560</v>
      </c>
      <c r="G43" s="216"/>
      <c r="H43" s="284"/>
    </row>
    <row r="44" spans="1:8" ht="18.75" customHeight="1" x14ac:dyDescent="0.25">
      <c r="A44" s="206" t="s">
        <v>9</v>
      </c>
      <c r="B44" s="214" t="s">
        <v>883</v>
      </c>
      <c r="C44" s="205">
        <f>402+230+'[30]Take off'!P78+1980+600</f>
        <v>3400.0833333333335</v>
      </c>
      <c r="D44" s="206" t="s">
        <v>75</v>
      </c>
      <c r="E44" s="304">
        <f>E43</f>
        <v>770</v>
      </c>
      <c r="F44" s="207">
        <f>C44*E44</f>
        <v>2618064.166666667</v>
      </c>
      <c r="G44" s="216"/>
      <c r="H44" s="284"/>
    </row>
    <row r="45" spans="1:8" ht="19.5" customHeight="1" x14ac:dyDescent="0.25">
      <c r="G45" s="216"/>
      <c r="H45" s="284"/>
    </row>
    <row r="46" spans="1:8" ht="49.5" customHeight="1" x14ac:dyDescent="0.25">
      <c r="B46" s="224" t="s">
        <v>524</v>
      </c>
      <c r="G46" s="216"/>
    </row>
    <row r="47" spans="1:8" ht="20.25" customHeight="1" x14ac:dyDescent="0.25">
      <c r="A47" s="206" t="s">
        <v>10</v>
      </c>
      <c r="B47" s="218" t="s">
        <v>39</v>
      </c>
      <c r="C47" s="205">
        <f>C73</f>
        <v>121</v>
      </c>
      <c r="D47" s="206" t="s">
        <v>511</v>
      </c>
      <c r="E47" s="304">
        <v>1800</v>
      </c>
      <c r="F47" s="207">
        <f>C47*E47</f>
        <v>217800</v>
      </c>
      <c r="G47" s="216"/>
      <c r="H47" s="284"/>
    </row>
    <row r="48" spans="1:8" x14ac:dyDescent="0.25">
      <c r="B48" s="218"/>
      <c r="G48" s="216"/>
      <c r="H48" s="284"/>
    </row>
    <row r="49" spans="1:8" ht="21" customHeight="1" x14ac:dyDescent="0.25">
      <c r="B49" s="211" t="s">
        <v>67</v>
      </c>
      <c r="G49" s="216"/>
    </row>
    <row r="50" spans="1:8" ht="24.75" customHeight="1" x14ac:dyDescent="0.25">
      <c r="B50" s="219" t="s">
        <v>120</v>
      </c>
      <c r="G50" s="216"/>
    </row>
    <row r="51" spans="1:8" ht="21.75" customHeight="1" x14ac:dyDescent="0.25">
      <c r="A51" s="206" t="s">
        <v>11</v>
      </c>
      <c r="B51" s="214" t="s">
        <v>884</v>
      </c>
      <c r="C51" s="205">
        <f>'[30]Take off'!L77</f>
        <v>8</v>
      </c>
      <c r="D51" s="206" t="s">
        <v>511</v>
      </c>
      <c r="E51" s="304">
        <v>6600</v>
      </c>
      <c r="F51" s="207">
        <f>C51*E51</f>
        <v>52800</v>
      </c>
      <c r="G51" s="216"/>
      <c r="H51" s="284"/>
    </row>
    <row r="52" spans="1:8" ht="23.25" customHeight="1" x14ac:dyDescent="0.25">
      <c r="A52" s="206" t="s">
        <v>12</v>
      </c>
      <c r="B52" s="214" t="s">
        <v>801</v>
      </c>
      <c r="C52" s="205">
        <f>'[30]Take off'!K47+'[30]Take off'!K44+'[30]Take off'!K41</f>
        <v>31.32</v>
      </c>
      <c r="D52" s="206" t="s">
        <v>511</v>
      </c>
      <c r="E52" s="304">
        <f>E51</f>
        <v>6600</v>
      </c>
      <c r="F52" s="207">
        <f>C52*E52</f>
        <v>206712</v>
      </c>
      <c r="G52" s="216"/>
    </row>
    <row r="53" spans="1:8" ht="23.25" customHeight="1" x14ac:dyDescent="0.25">
      <c r="A53" s="206" t="s">
        <v>13</v>
      </c>
      <c r="B53" s="214" t="s">
        <v>885</v>
      </c>
      <c r="C53" s="205">
        <f>'[30]Take off'!L26</f>
        <v>106</v>
      </c>
      <c r="D53" s="206" t="s">
        <v>511</v>
      </c>
      <c r="E53" s="304">
        <f>E52</f>
        <v>6600</v>
      </c>
      <c r="F53" s="207">
        <f>C53*E53</f>
        <v>699600</v>
      </c>
      <c r="G53" s="216"/>
    </row>
    <row r="54" spans="1:8" ht="23.25" customHeight="1" x14ac:dyDescent="0.25">
      <c r="G54" s="216"/>
    </row>
    <row r="55" spans="1:8" x14ac:dyDescent="0.25">
      <c r="G55" s="216"/>
    </row>
    <row r="56" spans="1:8" x14ac:dyDescent="0.25">
      <c r="G56" s="216"/>
    </row>
    <row r="57" spans="1:8" x14ac:dyDescent="0.25">
      <c r="B57" s="225" t="s">
        <v>525</v>
      </c>
      <c r="E57" s="303" t="s">
        <v>15</v>
      </c>
      <c r="F57" s="222">
        <f>SUM(F33:F56)</f>
        <v>14492653.13076923</v>
      </c>
      <c r="G57" s="216"/>
    </row>
    <row r="58" spans="1:8" x14ac:dyDescent="0.25">
      <c r="B58" s="210" t="s">
        <v>521</v>
      </c>
      <c r="G58" s="216"/>
    </row>
    <row r="59" spans="1:8" x14ac:dyDescent="0.25">
      <c r="B59" s="210"/>
      <c r="G59" s="216"/>
    </row>
    <row r="60" spans="1:8" x14ac:dyDescent="0.25">
      <c r="B60" s="219" t="s">
        <v>120</v>
      </c>
      <c r="G60" s="216"/>
    </row>
    <row r="61" spans="1:8" x14ac:dyDescent="0.25">
      <c r="B61" s="219"/>
      <c r="G61" s="216"/>
    </row>
    <row r="62" spans="1:8" x14ac:dyDescent="0.25">
      <c r="A62" s="206" t="s">
        <v>2</v>
      </c>
      <c r="B62" s="214" t="s">
        <v>1</v>
      </c>
      <c r="C62" s="205">
        <f>'[30]Take off'!L5</f>
        <v>44</v>
      </c>
      <c r="D62" s="206" t="s">
        <v>22</v>
      </c>
      <c r="E62" s="304">
        <v>1200</v>
      </c>
      <c r="F62" s="207">
        <f>C62*E62</f>
        <v>52800</v>
      </c>
      <c r="G62" s="216"/>
      <c r="H62" s="284"/>
    </row>
    <row r="63" spans="1:8" x14ac:dyDescent="0.25">
      <c r="G63" s="216"/>
      <c r="H63" s="284"/>
    </row>
    <row r="64" spans="1:8" x14ac:dyDescent="0.25">
      <c r="B64" s="211" t="s">
        <v>84</v>
      </c>
      <c r="C64" s="221"/>
      <c r="D64" s="209"/>
      <c r="E64" s="303"/>
      <c r="F64" s="286"/>
      <c r="G64" s="216"/>
    </row>
    <row r="65" spans="1:8" x14ac:dyDescent="0.25">
      <c r="B65" s="226"/>
      <c r="C65" s="221"/>
      <c r="D65" s="209"/>
      <c r="E65" s="303"/>
      <c r="F65" s="286"/>
      <c r="G65" s="216"/>
    </row>
    <row r="66" spans="1:8" ht="57.75" customHeight="1" x14ac:dyDescent="0.25">
      <c r="B66" s="224" t="s">
        <v>526</v>
      </c>
      <c r="C66" s="221"/>
      <c r="D66" s="209"/>
      <c r="E66" s="303"/>
      <c r="F66" s="286"/>
      <c r="G66" s="216"/>
    </row>
    <row r="67" spans="1:8" x14ac:dyDescent="0.25">
      <c r="B67" s="224"/>
      <c r="C67" s="221"/>
      <c r="D67" s="209"/>
      <c r="E67" s="303"/>
      <c r="F67" s="286"/>
      <c r="G67" s="216"/>
    </row>
    <row r="68" spans="1:8" x14ac:dyDescent="0.25">
      <c r="A68" s="206" t="s">
        <v>4</v>
      </c>
      <c r="B68" s="218" t="s">
        <v>527</v>
      </c>
      <c r="C68" s="205">
        <v>0</v>
      </c>
      <c r="D68" s="206" t="s">
        <v>511</v>
      </c>
      <c r="E68" s="304">
        <v>8500</v>
      </c>
      <c r="F68" s="207">
        <f>C68*E68</f>
        <v>0</v>
      </c>
      <c r="G68" s="216"/>
      <c r="H68" s="284"/>
    </row>
    <row r="69" spans="1:8" x14ac:dyDescent="0.25">
      <c r="G69" s="216"/>
    </row>
    <row r="70" spans="1:8" x14ac:dyDescent="0.25">
      <c r="B70" s="219" t="s">
        <v>528</v>
      </c>
      <c r="F70" s="227"/>
      <c r="G70" s="216"/>
    </row>
    <row r="71" spans="1:8" x14ac:dyDescent="0.25">
      <c r="B71" s="219" t="s">
        <v>529</v>
      </c>
      <c r="F71" s="227"/>
      <c r="G71" s="216"/>
    </row>
    <row r="72" spans="1:8" x14ac:dyDescent="0.25">
      <c r="F72" s="227"/>
      <c r="G72" s="216"/>
    </row>
    <row r="73" spans="1:8" ht="29.25" customHeight="1" x14ac:dyDescent="0.25">
      <c r="A73" s="206" t="s">
        <v>5</v>
      </c>
      <c r="B73" s="215" t="s">
        <v>530</v>
      </c>
      <c r="C73" s="205">
        <f>'[30]Take off'!P9</f>
        <v>121</v>
      </c>
      <c r="D73" s="206" t="s">
        <v>511</v>
      </c>
      <c r="E73" s="304">
        <f>'[31]AJIWE STRIP MALL '!E117</f>
        <v>350</v>
      </c>
      <c r="F73" s="207">
        <f>C73*E73</f>
        <v>42350</v>
      </c>
      <c r="G73" s="216"/>
    </row>
    <row r="74" spans="1:8" x14ac:dyDescent="0.25">
      <c r="B74" s="215"/>
      <c r="F74" s="227"/>
      <c r="G74" s="216"/>
    </row>
    <row r="75" spans="1:8" x14ac:dyDescent="0.25">
      <c r="B75" s="228"/>
      <c r="F75" s="227"/>
      <c r="G75" s="216"/>
    </row>
    <row r="76" spans="1:8" ht="35.25" customHeight="1" x14ac:dyDescent="0.25">
      <c r="B76" s="215"/>
      <c r="F76" s="229"/>
      <c r="G76" s="216"/>
    </row>
    <row r="77" spans="1:8" x14ac:dyDescent="0.25">
      <c r="B77" s="215"/>
      <c r="F77" s="227"/>
      <c r="G77" s="216"/>
    </row>
    <row r="78" spans="1:8" ht="18.75" customHeight="1" x14ac:dyDescent="0.25">
      <c r="B78" s="225" t="s">
        <v>525</v>
      </c>
      <c r="E78" s="303" t="s">
        <v>15</v>
      </c>
      <c r="F78" s="222">
        <f>SUM(F60:F77)</f>
        <v>95150</v>
      </c>
      <c r="G78" s="216"/>
    </row>
    <row r="79" spans="1:8" x14ac:dyDescent="0.25">
      <c r="B79" s="215"/>
      <c r="F79" s="227"/>
      <c r="G79" s="216"/>
    </row>
    <row r="80" spans="1:8" x14ac:dyDescent="0.25">
      <c r="B80" s="225"/>
      <c r="E80" s="303"/>
      <c r="F80" s="285"/>
      <c r="G80" s="216"/>
    </row>
    <row r="81" spans="2:7" x14ac:dyDescent="0.25">
      <c r="B81" s="211" t="s">
        <v>531</v>
      </c>
      <c r="E81" s="303"/>
      <c r="F81" s="285"/>
      <c r="G81" s="216"/>
    </row>
    <row r="82" spans="2:7" x14ac:dyDescent="0.25">
      <c r="F82" s="230"/>
      <c r="G82" s="216"/>
    </row>
    <row r="83" spans="2:7" x14ac:dyDescent="0.25">
      <c r="F83" s="230"/>
      <c r="G83" s="216"/>
    </row>
    <row r="84" spans="2:7" x14ac:dyDescent="0.25">
      <c r="B84" s="231" t="s">
        <v>532</v>
      </c>
      <c r="E84" s="304">
        <f>F30</f>
        <v>3521750</v>
      </c>
      <c r="F84" s="230"/>
      <c r="G84" s="216"/>
    </row>
    <row r="85" spans="2:7" x14ac:dyDescent="0.25">
      <c r="B85" s="232"/>
      <c r="F85" s="230"/>
      <c r="G85" s="216"/>
    </row>
    <row r="86" spans="2:7" x14ac:dyDescent="0.25">
      <c r="B86" s="231" t="s">
        <v>451</v>
      </c>
      <c r="E86" s="304">
        <f>F57</f>
        <v>14492653.13076923</v>
      </c>
      <c r="F86" s="230"/>
      <c r="G86" s="216"/>
    </row>
    <row r="87" spans="2:7" x14ac:dyDescent="0.25">
      <c r="B87" s="231"/>
      <c r="F87" s="230"/>
      <c r="G87" s="216"/>
    </row>
    <row r="88" spans="2:7" x14ac:dyDescent="0.25">
      <c r="B88" s="231" t="s">
        <v>452</v>
      </c>
      <c r="E88" s="304">
        <f>F78</f>
        <v>95150</v>
      </c>
      <c r="F88" s="230"/>
      <c r="G88" s="216"/>
    </row>
    <row r="89" spans="2:7" x14ac:dyDescent="0.25">
      <c r="B89" s="233"/>
      <c r="F89" s="230"/>
      <c r="G89" s="216"/>
    </row>
    <row r="90" spans="2:7" x14ac:dyDescent="0.25">
      <c r="B90" s="233"/>
      <c r="F90" s="230"/>
      <c r="G90" s="216"/>
    </row>
    <row r="91" spans="2:7" x14ac:dyDescent="0.25">
      <c r="B91" s="233"/>
      <c r="F91" s="230"/>
      <c r="G91" s="216"/>
    </row>
    <row r="92" spans="2:7" x14ac:dyDescent="0.25">
      <c r="B92" s="233"/>
      <c r="F92" s="230"/>
      <c r="G92" s="216"/>
    </row>
    <row r="93" spans="2:7" x14ac:dyDescent="0.25">
      <c r="B93" s="233"/>
      <c r="F93" s="230"/>
      <c r="G93" s="216"/>
    </row>
    <row r="94" spans="2:7" x14ac:dyDescent="0.25">
      <c r="B94" s="233"/>
      <c r="F94" s="230"/>
      <c r="G94" s="216"/>
    </row>
    <row r="95" spans="2:7" x14ac:dyDescent="0.25">
      <c r="B95" s="233"/>
      <c r="F95" s="230"/>
      <c r="G95" s="216"/>
    </row>
    <row r="96" spans="2:7" x14ac:dyDescent="0.25">
      <c r="B96" s="233"/>
      <c r="F96" s="230"/>
      <c r="G96" s="216"/>
    </row>
    <row r="97" spans="1:8" x14ac:dyDescent="0.25">
      <c r="B97" s="233"/>
      <c r="F97" s="230"/>
      <c r="G97" s="216"/>
    </row>
    <row r="98" spans="1:8" x14ac:dyDescent="0.25">
      <c r="B98" s="233"/>
      <c r="F98" s="230"/>
      <c r="G98" s="216"/>
    </row>
    <row r="99" spans="1:8" x14ac:dyDescent="0.25">
      <c r="B99" s="234" t="s">
        <v>533</v>
      </c>
      <c r="C99" s="221"/>
      <c r="D99" s="209"/>
      <c r="F99" s="235"/>
      <c r="G99" s="216"/>
    </row>
    <row r="100" spans="1:8" x14ac:dyDescent="0.25">
      <c r="B100" s="220" t="s">
        <v>534</v>
      </c>
      <c r="C100" s="221"/>
      <c r="D100" s="209"/>
      <c r="E100" s="303" t="s">
        <v>15</v>
      </c>
      <c r="F100" s="286">
        <f>SUM(E84:E89)</f>
        <v>18109553.13076923</v>
      </c>
      <c r="G100" s="216"/>
    </row>
    <row r="101" spans="1:8" x14ac:dyDescent="0.25">
      <c r="B101" s="204" t="s">
        <v>535</v>
      </c>
    </row>
    <row r="103" spans="1:8" x14ac:dyDescent="0.25">
      <c r="B103" s="210" t="s">
        <v>108</v>
      </c>
    </row>
    <row r="104" spans="1:8" x14ac:dyDescent="0.25">
      <c r="B104" s="210"/>
    </row>
    <row r="105" spans="1:8" x14ac:dyDescent="0.25">
      <c r="B105" s="211" t="s">
        <v>98</v>
      </c>
    </row>
    <row r="107" spans="1:8" x14ac:dyDescent="0.25">
      <c r="B107" s="219" t="s">
        <v>536</v>
      </c>
    </row>
    <row r="108" spans="1:8" x14ac:dyDescent="0.25">
      <c r="B108" s="219"/>
    </row>
    <row r="109" spans="1:8" x14ac:dyDescent="0.25">
      <c r="B109" s="219" t="s">
        <v>666</v>
      </c>
    </row>
    <row r="111" spans="1:8" x14ac:dyDescent="0.25">
      <c r="A111" s="206" t="s">
        <v>2</v>
      </c>
      <c r="B111" s="214" t="s">
        <v>65</v>
      </c>
      <c r="C111" s="205">
        <f>'[30]Take off'!D114</f>
        <v>8</v>
      </c>
      <c r="D111" s="206" t="s">
        <v>513</v>
      </c>
      <c r="E111" s="304">
        <f>E35</f>
        <v>94000</v>
      </c>
      <c r="F111" s="207">
        <f>C111*E111</f>
        <v>752000</v>
      </c>
      <c r="H111" s="284"/>
    </row>
    <row r="113" spans="1:8" x14ac:dyDescent="0.25">
      <c r="A113" s="206" t="s">
        <v>4</v>
      </c>
      <c r="B113" s="214" t="s">
        <v>537</v>
      </c>
      <c r="C113" s="262">
        <f>'[30]Take off'!D128</f>
        <v>23</v>
      </c>
      <c r="D113" s="206" t="s">
        <v>513</v>
      </c>
      <c r="E113" s="304">
        <f>E111</f>
        <v>94000</v>
      </c>
      <c r="F113" s="207">
        <f>C113*E113</f>
        <v>2162000</v>
      </c>
      <c r="H113" s="284"/>
    </row>
    <row r="115" spans="1:8" x14ac:dyDescent="0.25">
      <c r="A115" s="206" t="s">
        <v>5</v>
      </c>
      <c r="B115" s="214" t="s">
        <v>669</v>
      </c>
      <c r="D115" s="206" t="s">
        <v>513</v>
      </c>
      <c r="E115" s="304">
        <f>E113</f>
        <v>94000</v>
      </c>
      <c r="F115" s="207">
        <f>C115*E115</f>
        <v>0</v>
      </c>
      <c r="H115" s="284"/>
    </row>
    <row r="116" spans="1:8" x14ac:dyDescent="0.25">
      <c r="H116" s="284"/>
    </row>
    <row r="117" spans="1:8" ht="24.75" customHeight="1" x14ac:dyDescent="0.25">
      <c r="B117" s="211" t="s">
        <v>102</v>
      </c>
    </row>
    <row r="119" spans="1:8" ht="30" x14ac:dyDescent="0.25">
      <c r="B119" s="224" t="s">
        <v>670</v>
      </c>
    </row>
    <row r="120" spans="1:8" x14ac:dyDescent="0.25">
      <c r="B120" s="224"/>
    </row>
    <row r="121" spans="1:8" x14ac:dyDescent="0.25">
      <c r="A121" s="206" t="s">
        <v>6</v>
      </c>
      <c r="B121" s="214" t="s">
        <v>671</v>
      </c>
      <c r="C121" s="205">
        <f>'[30]Take off'!D136+154</f>
        <v>354.41666666666663</v>
      </c>
      <c r="D121" s="206" t="s">
        <v>75</v>
      </c>
      <c r="E121" s="304">
        <f>E41</f>
        <v>770</v>
      </c>
      <c r="F121" s="207">
        <f>C124*E121</f>
        <v>0</v>
      </c>
      <c r="H121" s="284"/>
    </row>
    <row r="122" spans="1:8" x14ac:dyDescent="0.25">
      <c r="H122" s="284"/>
    </row>
    <row r="123" spans="1:8" x14ac:dyDescent="0.25">
      <c r="A123" s="206" t="s">
        <v>7</v>
      </c>
      <c r="B123" s="214" t="s">
        <v>538</v>
      </c>
      <c r="C123" s="205">
        <f>'[30]Take off'!D142+109</f>
        <v>849</v>
      </c>
      <c r="D123" s="206" t="s">
        <v>75</v>
      </c>
      <c r="E123" s="304">
        <f>E121</f>
        <v>770</v>
      </c>
      <c r="F123" s="207">
        <f>C123*E123</f>
        <v>653730</v>
      </c>
      <c r="H123" s="284"/>
    </row>
    <row r="124" spans="1:8" x14ac:dyDescent="0.25">
      <c r="H124" s="284"/>
    </row>
    <row r="125" spans="1:8" x14ac:dyDescent="0.25">
      <c r="A125" s="206" t="s">
        <v>8</v>
      </c>
      <c r="B125" s="214" t="s">
        <v>539</v>
      </c>
      <c r="C125" s="205">
        <f>'[30]Take off'!D149+133</f>
        <v>702.89866666666671</v>
      </c>
      <c r="D125" s="206" t="s">
        <v>75</v>
      </c>
      <c r="E125" s="304">
        <f>E123</f>
        <v>770</v>
      </c>
      <c r="F125" s="207">
        <f>C125*E125</f>
        <v>541231.97333333339</v>
      </c>
      <c r="H125" s="284"/>
    </row>
    <row r="127" spans="1:8" x14ac:dyDescent="0.25">
      <c r="A127" s="206" t="s">
        <v>9</v>
      </c>
      <c r="B127" s="214" t="s">
        <v>672</v>
      </c>
      <c r="C127" s="205">
        <v>49</v>
      </c>
      <c r="D127" s="206" t="s">
        <v>75</v>
      </c>
      <c r="E127" s="304">
        <f>E121</f>
        <v>770</v>
      </c>
      <c r="F127" s="207">
        <f>C127*E127</f>
        <v>37730</v>
      </c>
      <c r="H127" s="284"/>
    </row>
    <row r="129" spans="1:8" x14ac:dyDescent="0.25">
      <c r="A129" s="206" t="s">
        <v>10</v>
      </c>
      <c r="B129" s="214" t="s">
        <v>523</v>
      </c>
      <c r="C129" s="205">
        <f>'[30]Take off'!D161+621+567</f>
        <v>1707.85</v>
      </c>
      <c r="D129" s="206" t="s">
        <v>75</v>
      </c>
      <c r="E129" s="304">
        <f>E125</f>
        <v>770</v>
      </c>
      <c r="F129" s="207">
        <f>C129*E129</f>
        <v>1315044.5</v>
      </c>
      <c r="H129" s="284"/>
    </row>
    <row r="131" spans="1:8" x14ac:dyDescent="0.25">
      <c r="B131" s="211" t="s">
        <v>67</v>
      </c>
    </row>
    <row r="133" spans="1:8" x14ac:dyDescent="0.25">
      <c r="B133" s="219" t="s">
        <v>120</v>
      </c>
    </row>
    <row r="135" spans="1:8" x14ac:dyDescent="0.25">
      <c r="A135" s="206" t="s">
        <v>11</v>
      </c>
      <c r="B135" s="214" t="s">
        <v>540</v>
      </c>
      <c r="C135" s="205">
        <f>'[30]Take off'!H113</f>
        <v>132</v>
      </c>
      <c r="D135" s="206" t="s">
        <v>511</v>
      </c>
      <c r="E135" s="304">
        <f>E51</f>
        <v>6600</v>
      </c>
      <c r="F135" s="207">
        <f>C135*E135</f>
        <v>871200</v>
      </c>
      <c r="H135" s="284"/>
    </row>
    <row r="137" spans="1:8" x14ac:dyDescent="0.25">
      <c r="A137" s="206" t="s">
        <v>12</v>
      </c>
      <c r="B137" s="214" t="s">
        <v>541</v>
      </c>
      <c r="C137" s="205">
        <f>'[30]Take off'!H127</f>
        <v>244</v>
      </c>
      <c r="D137" s="206" t="s">
        <v>511</v>
      </c>
      <c r="E137" s="304">
        <f>E135</f>
        <v>6600</v>
      </c>
      <c r="F137" s="207">
        <f>C137*E137</f>
        <v>1610400</v>
      </c>
      <c r="H137" s="284"/>
    </row>
    <row r="139" spans="1:8" x14ac:dyDescent="0.25">
      <c r="A139" s="206" t="s">
        <v>13</v>
      </c>
      <c r="B139" s="214" t="s">
        <v>673</v>
      </c>
      <c r="D139" s="206" t="s">
        <v>511</v>
      </c>
      <c r="E139" s="304">
        <f>E172</f>
        <v>6600</v>
      </c>
      <c r="F139" s="207">
        <f>C139*E139</f>
        <v>0</v>
      </c>
    </row>
    <row r="147" spans="1:9" x14ac:dyDescent="0.25">
      <c r="B147" s="210" t="s">
        <v>108</v>
      </c>
    </row>
    <row r="148" spans="1:9" x14ac:dyDescent="0.25">
      <c r="B148" s="220" t="s">
        <v>542</v>
      </c>
      <c r="E148" s="303" t="s">
        <v>15</v>
      </c>
      <c r="F148" s="285">
        <f>SUM(F103:F147)</f>
        <v>7943336.4733333336</v>
      </c>
    </row>
    <row r="149" spans="1:9" x14ac:dyDescent="0.25">
      <c r="B149" s="204" t="s">
        <v>543</v>
      </c>
    </row>
    <row r="151" spans="1:9" x14ac:dyDescent="0.25">
      <c r="B151" s="210" t="s">
        <v>544</v>
      </c>
      <c r="F151" s="227"/>
    </row>
    <row r="152" spans="1:9" s="236" customFormat="1" x14ac:dyDescent="0.25">
      <c r="A152" s="206"/>
      <c r="B152" s="214"/>
      <c r="C152" s="205"/>
      <c r="D152" s="206"/>
      <c r="E152" s="304"/>
      <c r="F152" s="227"/>
      <c r="G152" s="207"/>
    </row>
    <row r="153" spans="1:9" x14ac:dyDescent="0.25">
      <c r="B153" s="211" t="s">
        <v>98</v>
      </c>
    </row>
    <row r="154" spans="1:9" s="236" customFormat="1" x14ac:dyDescent="0.25">
      <c r="A154" s="206"/>
      <c r="B154" s="214"/>
      <c r="C154" s="205"/>
      <c r="D154" s="206"/>
      <c r="E154" s="304"/>
      <c r="F154" s="207"/>
      <c r="G154" s="207"/>
    </row>
    <row r="155" spans="1:9" s="236" customFormat="1" x14ac:dyDescent="0.25">
      <c r="A155" s="206"/>
      <c r="B155" s="219" t="s">
        <v>536</v>
      </c>
      <c r="C155" s="205"/>
      <c r="D155" s="206"/>
      <c r="E155" s="304"/>
      <c r="F155" s="207"/>
      <c r="G155" s="207"/>
    </row>
    <row r="156" spans="1:9" s="236" customFormat="1" x14ac:dyDescent="0.25">
      <c r="A156" s="206"/>
      <c r="B156" s="219"/>
      <c r="C156" s="205"/>
      <c r="D156" s="206"/>
      <c r="E156" s="304"/>
      <c r="F156" s="207"/>
      <c r="G156" s="207"/>
    </row>
    <row r="157" spans="1:9" x14ac:dyDescent="0.25">
      <c r="B157" s="219" t="s">
        <v>666</v>
      </c>
    </row>
    <row r="158" spans="1:9" x14ac:dyDescent="0.25">
      <c r="I158" s="208">
        <f>354*0.15</f>
        <v>53.1</v>
      </c>
    </row>
    <row r="159" spans="1:9" x14ac:dyDescent="0.25">
      <c r="A159" s="206" t="s">
        <v>2</v>
      </c>
      <c r="B159" s="214" t="s">
        <v>545</v>
      </c>
      <c r="C159" s="205">
        <f>'[30]Take off'!D174+'[30]Take off'!L174</f>
        <v>50</v>
      </c>
      <c r="D159" s="206" t="s">
        <v>513</v>
      </c>
      <c r="E159" s="304">
        <f>E111</f>
        <v>94000</v>
      </c>
      <c r="F159" s="207">
        <f>C159*E159</f>
        <v>4700000</v>
      </c>
      <c r="H159" s="208">
        <f>C159/0.15</f>
        <v>333.33333333333337</v>
      </c>
    </row>
    <row r="160" spans="1:9" ht="17.25" customHeight="1" x14ac:dyDescent="0.25"/>
    <row r="161" spans="1:9" x14ac:dyDescent="0.25">
      <c r="F161" s="230"/>
      <c r="H161" s="284"/>
    </row>
    <row r="162" spans="1:9" x14ac:dyDescent="0.25">
      <c r="B162" s="211" t="s">
        <v>102</v>
      </c>
      <c r="I162" s="208">
        <f>C159*88.32</f>
        <v>4416</v>
      </c>
    </row>
    <row r="164" spans="1:9" ht="30" x14ac:dyDescent="0.25">
      <c r="B164" s="224" t="s">
        <v>674</v>
      </c>
    </row>
    <row r="165" spans="1:9" x14ac:dyDescent="0.25">
      <c r="B165" s="224"/>
    </row>
    <row r="166" spans="1:9" x14ac:dyDescent="0.25">
      <c r="A166" s="206" t="s">
        <v>4</v>
      </c>
      <c r="B166" s="214" t="s">
        <v>571</v>
      </c>
      <c r="C166" s="205">
        <f>C159*115</f>
        <v>5750</v>
      </c>
      <c r="D166" s="206" t="s">
        <v>75</v>
      </c>
      <c r="E166" s="304">
        <f>E121</f>
        <v>770</v>
      </c>
      <c r="F166" s="207">
        <f>C166*E166</f>
        <v>4427500</v>
      </c>
      <c r="H166" s="284"/>
    </row>
    <row r="167" spans="1:9" x14ac:dyDescent="0.25">
      <c r="H167" s="284"/>
    </row>
    <row r="168" spans="1:9" x14ac:dyDescent="0.25">
      <c r="B168" s="211" t="s">
        <v>67</v>
      </c>
      <c r="H168" s="284"/>
    </row>
    <row r="169" spans="1:9" x14ac:dyDescent="0.25">
      <c r="H169" s="284"/>
    </row>
    <row r="170" spans="1:9" x14ac:dyDescent="0.25">
      <c r="B170" s="219" t="s">
        <v>120</v>
      </c>
      <c r="E170" s="303"/>
      <c r="F170" s="285"/>
    </row>
    <row r="171" spans="1:9" x14ac:dyDescent="0.25">
      <c r="E171" s="303"/>
      <c r="F171" s="285"/>
    </row>
    <row r="172" spans="1:9" x14ac:dyDescent="0.25">
      <c r="A172" s="206" t="s">
        <v>5</v>
      </c>
      <c r="B172" s="214" t="s">
        <v>546</v>
      </c>
      <c r="C172" s="205">
        <f>'[30]Take off'!H174+'[30]Take off'!P173</f>
        <v>263</v>
      </c>
      <c r="D172" s="206" t="s">
        <v>511</v>
      </c>
      <c r="E172" s="304">
        <f>E135</f>
        <v>6600</v>
      </c>
      <c r="F172" s="207">
        <f>C172*E172</f>
        <v>1735800</v>
      </c>
    </row>
    <row r="174" spans="1:9" x14ac:dyDescent="0.25">
      <c r="A174" s="206" t="s">
        <v>6</v>
      </c>
      <c r="B174" s="214" t="s">
        <v>547</v>
      </c>
      <c r="C174" s="205">
        <f>'[30]Take off'!H179+'[30]Take off'!P178</f>
        <v>105</v>
      </c>
      <c r="D174" s="206" t="s">
        <v>22</v>
      </c>
      <c r="E174" s="304">
        <f>E62</f>
        <v>1200</v>
      </c>
      <c r="F174" s="207">
        <f>C174*E174</f>
        <v>126000</v>
      </c>
    </row>
    <row r="175" spans="1:9" x14ac:dyDescent="0.25">
      <c r="A175" s="209"/>
      <c r="C175" s="221"/>
      <c r="D175" s="209"/>
      <c r="E175" s="303"/>
      <c r="F175" s="285"/>
    </row>
    <row r="177" spans="1:7" x14ac:dyDescent="0.25">
      <c r="A177" s="209"/>
      <c r="C177" s="221"/>
      <c r="D177" s="209"/>
      <c r="E177" s="303"/>
      <c r="F177" s="285"/>
      <c r="G177" s="285"/>
    </row>
    <row r="178" spans="1:7" x14ac:dyDescent="0.25">
      <c r="A178" s="209"/>
      <c r="D178" s="209"/>
      <c r="E178" s="303"/>
      <c r="F178" s="285"/>
      <c r="G178" s="285"/>
    </row>
    <row r="179" spans="1:7" x14ac:dyDescent="0.25">
      <c r="A179" s="209"/>
      <c r="C179" s="221"/>
      <c r="D179" s="209"/>
      <c r="E179" s="303"/>
      <c r="F179" s="285"/>
      <c r="G179" s="285"/>
    </row>
    <row r="180" spans="1:7" x14ac:dyDescent="0.25">
      <c r="A180" s="209"/>
      <c r="C180" s="221"/>
      <c r="D180" s="209"/>
      <c r="E180" s="303"/>
      <c r="F180" s="285"/>
      <c r="G180" s="285"/>
    </row>
    <row r="181" spans="1:7" x14ac:dyDescent="0.25">
      <c r="A181" s="209"/>
      <c r="C181" s="221"/>
      <c r="D181" s="209"/>
      <c r="E181" s="303"/>
      <c r="F181" s="285"/>
      <c r="G181" s="285"/>
    </row>
    <row r="182" spans="1:7" x14ac:dyDescent="0.25">
      <c r="A182" s="209"/>
      <c r="C182" s="221"/>
      <c r="D182" s="209"/>
      <c r="E182" s="303"/>
      <c r="F182" s="285"/>
      <c r="G182" s="285"/>
    </row>
    <row r="183" spans="1:7" x14ac:dyDescent="0.25">
      <c r="A183" s="209"/>
      <c r="C183" s="221"/>
      <c r="D183" s="209"/>
      <c r="E183" s="303"/>
      <c r="F183" s="285"/>
      <c r="G183" s="285"/>
    </row>
    <row r="184" spans="1:7" x14ac:dyDescent="0.25">
      <c r="A184" s="209"/>
      <c r="C184" s="221"/>
      <c r="D184" s="209"/>
      <c r="E184" s="303"/>
      <c r="F184" s="285"/>
      <c r="G184" s="285"/>
    </row>
    <row r="185" spans="1:7" x14ac:dyDescent="0.25">
      <c r="A185" s="209"/>
      <c r="C185" s="221"/>
      <c r="D185" s="209"/>
      <c r="E185" s="303"/>
      <c r="F185" s="285"/>
      <c r="G185" s="285"/>
    </row>
    <row r="186" spans="1:7" x14ac:dyDescent="0.25">
      <c r="A186" s="209"/>
      <c r="C186" s="221"/>
      <c r="D186" s="209"/>
      <c r="E186" s="303"/>
      <c r="F186" s="285"/>
      <c r="G186" s="285"/>
    </row>
    <row r="187" spans="1:7" x14ac:dyDescent="0.25">
      <c r="A187" s="209"/>
      <c r="C187" s="221"/>
      <c r="D187" s="209"/>
      <c r="E187" s="303"/>
      <c r="F187" s="285"/>
      <c r="G187" s="285"/>
    </row>
    <row r="188" spans="1:7" x14ac:dyDescent="0.25">
      <c r="A188" s="209"/>
      <c r="C188" s="221"/>
      <c r="D188" s="209"/>
      <c r="E188" s="303"/>
      <c r="F188" s="285"/>
      <c r="G188" s="285"/>
    </row>
    <row r="189" spans="1:7" x14ac:dyDescent="0.25">
      <c r="A189" s="209"/>
      <c r="C189" s="221"/>
      <c r="D189" s="209"/>
      <c r="E189" s="303"/>
      <c r="F189" s="285"/>
      <c r="G189" s="285"/>
    </row>
    <row r="190" spans="1:7" x14ac:dyDescent="0.25">
      <c r="A190" s="209"/>
      <c r="C190" s="221"/>
      <c r="D190" s="209"/>
      <c r="E190" s="303"/>
      <c r="F190" s="285"/>
      <c r="G190" s="285"/>
    </row>
    <row r="191" spans="1:7" x14ac:dyDescent="0.25">
      <c r="B191" s="210" t="s">
        <v>453</v>
      </c>
    </row>
    <row r="192" spans="1:7" x14ac:dyDescent="0.25">
      <c r="B192" s="220" t="s">
        <v>534</v>
      </c>
      <c r="E192" s="303" t="s">
        <v>15</v>
      </c>
      <c r="F192" s="285">
        <f>SUM(F151:F191)</f>
        <v>10989300</v>
      </c>
      <c r="G192" s="285"/>
    </row>
    <row r="193" spans="1:8" x14ac:dyDescent="0.25">
      <c r="B193" s="204" t="s">
        <v>548</v>
      </c>
      <c r="F193" s="230"/>
      <c r="G193" s="230"/>
    </row>
    <row r="194" spans="1:8" x14ac:dyDescent="0.25">
      <c r="B194" s="206"/>
      <c r="F194" s="230"/>
      <c r="G194" s="230"/>
    </row>
    <row r="195" spans="1:8" x14ac:dyDescent="0.25">
      <c r="B195" s="210" t="s">
        <v>549</v>
      </c>
      <c r="F195" s="230"/>
      <c r="G195" s="230"/>
    </row>
    <row r="196" spans="1:8" ht="10.5" customHeight="1" x14ac:dyDescent="0.25">
      <c r="A196" s="237"/>
      <c r="B196" s="210"/>
      <c r="F196" s="230"/>
      <c r="G196" s="230"/>
    </row>
    <row r="197" spans="1:8" x14ac:dyDescent="0.25">
      <c r="A197" s="237"/>
      <c r="B197" s="211" t="s">
        <v>98</v>
      </c>
      <c r="F197" s="230"/>
      <c r="G197" s="230"/>
    </row>
    <row r="198" spans="1:8" x14ac:dyDescent="0.25">
      <c r="A198" s="237"/>
      <c r="F198" s="230"/>
      <c r="G198" s="230"/>
    </row>
    <row r="199" spans="1:8" x14ac:dyDescent="0.25">
      <c r="B199" s="219" t="s">
        <v>536</v>
      </c>
      <c r="E199" s="304" t="s">
        <v>20</v>
      </c>
      <c r="F199" s="230"/>
      <c r="G199" s="230"/>
    </row>
    <row r="200" spans="1:8" ht="11.25" customHeight="1" x14ac:dyDescent="0.25">
      <c r="A200" s="237"/>
      <c r="B200" s="219"/>
      <c r="F200" s="230"/>
      <c r="G200" s="206"/>
    </row>
    <row r="201" spans="1:8" x14ac:dyDescent="0.25">
      <c r="A201" s="237"/>
      <c r="B201" s="219" t="s">
        <v>666</v>
      </c>
      <c r="F201" s="230"/>
      <c r="G201" s="206"/>
    </row>
    <row r="202" spans="1:8" ht="9" customHeight="1" x14ac:dyDescent="0.25">
      <c r="A202" s="237"/>
      <c r="F202" s="230"/>
      <c r="G202" s="206"/>
    </row>
    <row r="203" spans="1:8" x14ac:dyDescent="0.25">
      <c r="A203" s="206" t="s">
        <v>2</v>
      </c>
      <c r="B203" s="214" t="s">
        <v>550</v>
      </c>
      <c r="C203" s="262">
        <f>'[30]Take off'!D258</f>
        <v>9</v>
      </c>
      <c r="D203" s="206" t="s">
        <v>513</v>
      </c>
      <c r="E203" s="304">
        <f>E111</f>
        <v>94000</v>
      </c>
      <c r="F203" s="287">
        <f>C203*E203</f>
        <v>846000</v>
      </c>
      <c r="G203" s="206"/>
      <c r="H203" s="284"/>
    </row>
    <row r="204" spans="1:8" ht="10.5" customHeight="1" x14ac:dyDescent="0.25">
      <c r="F204" s="287"/>
      <c r="G204" s="206"/>
      <c r="H204" s="284"/>
    </row>
    <row r="205" spans="1:8" ht="12.75" customHeight="1" x14ac:dyDescent="0.25">
      <c r="A205" s="237"/>
      <c r="B205" s="211" t="s">
        <v>102</v>
      </c>
      <c r="F205" s="230"/>
      <c r="G205" s="206"/>
    </row>
    <row r="206" spans="1:8" ht="9.75" customHeight="1" x14ac:dyDescent="0.25">
      <c r="F206" s="230"/>
      <c r="G206" s="206"/>
    </row>
    <row r="207" spans="1:8" ht="30" x14ac:dyDescent="0.25">
      <c r="B207" s="224" t="s">
        <v>551</v>
      </c>
      <c r="G207" s="206"/>
    </row>
    <row r="208" spans="1:8" ht="15.75" customHeight="1" x14ac:dyDescent="0.25">
      <c r="B208" s="224"/>
      <c r="G208" s="206"/>
    </row>
    <row r="209" spans="1:8" ht="17.25" customHeight="1" x14ac:dyDescent="0.25">
      <c r="A209" s="206" t="s">
        <v>4</v>
      </c>
      <c r="B209" s="214" t="s">
        <v>672</v>
      </c>
      <c r="C209" s="205">
        <v>568</v>
      </c>
      <c r="D209" s="206" t="s">
        <v>75</v>
      </c>
      <c r="E209" s="304">
        <f>E166</f>
        <v>770</v>
      </c>
      <c r="F209" s="207">
        <f>C209*E209</f>
        <v>437360</v>
      </c>
      <c r="G209" s="206"/>
      <c r="H209" s="284"/>
    </row>
    <row r="210" spans="1:8" x14ac:dyDescent="0.25">
      <c r="B210" s="224"/>
      <c r="G210" s="206"/>
    </row>
    <row r="211" spans="1:8" s="236" customFormat="1" x14ac:dyDescent="0.25">
      <c r="A211" s="238"/>
      <c r="B211" s="218"/>
      <c r="C211" s="239"/>
      <c r="D211" s="240"/>
      <c r="E211" s="305"/>
      <c r="F211" s="241"/>
      <c r="G211" s="206"/>
    </row>
    <row r="212" spans="1:8" x14ac:dyDescent="0.25">
      <c r="A212" s="237"/>
      <c r="B212" s="211" t="s">
        <v>67</v>
      </c>
      <c r="F212" s="230"/>
      <c r="G212" s="206"/>
    </row>
    <row r="213" spans="1:8" x14ac:dyDescent="0.25">
      <c r="F213" s="230"/>
      <c r="G213" s="206"/>
    </row>
    <row r="214" spans="1:8" x14ac:dyDescent="0.25">
      <c r="B214" s="219" t="s">
        <v>120</v>
      </c>
      <c r="F214" s="230"/>
      <c r="G214" s="206"/>
    </row>
    <row r="215" spans="1:8" x14ac:dyDescent="0.25">
      <c r="F215" s="230"/>
      <c r="G215" s="206"/>
    </row>
    <row r="216" spans="1:8" x14ac:dyDescent="0.25">
      <c r="A216" s="206" t="s">
        <v>5</v>
      </c>
      <c r="B216" s="214" t="s">
        <v>552</v>
      </c>
      <c r="C216" s="205">
        <f>'[30]Take off'!H244</f>
        <v>30</v>
      </c>
      <c r="D216" s="206" t="s">
        <v>511</v>
      </c>
      <c r="E216" s="304">
        <f>E51</f>
        <v>6600</v>
      </c>
      <c r="F216" s="207">
        <f>C216*E216</f>
        <v>198000</v>
      </c>
      <c r="G216" s="206"/>
      <c r="H216" s="284"/>
    </row>
    <row r="217" spans="1:8" x14ac:dyDescent="0.25">
      <c r="F217" s="230"/>
      <c r="G217" s="206"/>
    </row>
    <row r="218" spans="1:8" x14ac:dyDescent="0.25">
      <c r="A218" s="206" t="s">
        <v>6</v>
      </c>
      <c r="B218" s="214" t="s">
        <v>553</v>
      </c>
      <c r="C218" s="205">
        <f>'[30]Take off'!H256</f>
        <v>9</v>
      </c>
      <c r="D218" s="206" t="s">
        <v>511</v>
      </c>
      <c r="E218" s="304">
        <f>E216</f>
        <v>6600</v>
      </c>
      <c r="F218" s="207">
        <f>C218*E218</f>
        <v>59400</v>
      </c>
      <c r="G218" s="206"/>
      <c r="H218" s="284"/>
    </row>
    <row r="219" spans="1:8" x14ac:dyDescent="0.25">
      <c r="G219" s="206"/>
      <c r="H219" s="284"/>
    </row>
    <row r="220" spans="1:8" x14ac:dyDescent="0.25">
      <c r="A220" s="206" t="s">
        <v>7</v>
      </c>
      <c r="B220" s="214" t="s">
        <v>554</v>
      </c>
      <c r="C220" s="205">
        <f>'[30]Take off'!H264</f>
        <v>5</v>
      </c>
      <c r="D220" s="206" t="s">
        <v>511</v>
      </c>
      <c r="E220" s="304">
        <f>E218</f>
        <v>6600</v>
      </c>
      <c r="F220" s="207">
        <f>C220*E220</f>
        <v>33000</v>
      </c>
      <c r="G220" s="206"/>
      <c r="H220" s="284"/>
    </row>
    <row r="221" spans="1:8" x14ac:dyDescent="0.25">
      <c r="F221" s="230"/>
      <c r="G221" s="206"/>
    </row>
    <row r="222" spans="1:8" ht="30" x14ac:dyDescent="0.25">
      <c r="A222" s="206" t="s">
        <v>8</v>
      </c>
      <c r="B222" s="215" t="s">
        <v>555</v>
      </c>
      <c r="C222" s="205">
        <f>'[30]Take off'!H248</f>
        <v>7</v>
      </c>
      <c r="D222" s="206" t="s">
        <v>511</v>
      </c>
      <c r="E222" s="304">
        <f>E218</f>
        <v>6600</v>
      </c>
      <c r="F222" s="207">
        <f>C222*E222</f>
        <v>46200</v>
      </c>
      <c r="G222" s="206"/>
      <c r="H222" s="284"/>
    </row>
    <row r="223" spans="1:8" x14ac:dyDescent="0.25">
      <c r="B223" s="215"/>
      <c r="F223" s="230"/>
      <c r="G223" s="206"/>
    </row>
    <row r="224" spans="1:8" x14ac:dyDescent="0.25">
      <c r="A224" s="206" t="s">
        <v>9</v>
      </c>
      <c r="B224" s="214" t="s">
        <v>133</v>
      </c>
      <c r="C224" s="205">
        <f>'[30]Take off'!H252</f>
        <v>106</v>
      </c>
      <c r="D224" s="206" t="s">
        <v>22</v>
      </c>
      <c r="E224" s="304">
        <f>E174</f>
        <v>1200</v>
      </c>
      <c r="F224" s="207">
        <f>C224*E224</f>
        <v>127200</v>
      </c>
      <c r="G224" s="206"/>
      <c r="H224" s="284"/>
    </row>
    <row r="225" spans="1:8" x14ac:dyDescent="0.25">
      <c r="G225" s="206"/>
    </row>
    <row r="226" spans="1:8" x14ac:dyDescent="0.25">
      <c r="A226" s="206" t="s">
        <v>10</v>
      </c>
      <c r="B226" s="214" t="s">
        <v>556</v>
      </c>
      <c r="C226" s="205">
        <f>'[30]Take off'!H260</f>
        <v>17</v>
      </c>
      <c r="D226" s="206" t="s">
        <v>22</v>
      </c>
      <c r="E226" s="304">
        <f>E224</f>
        <v>1200</v>
      </c>
      <c r="F226" s="207">
        <f>C226*E226</f>
        <v>20400</v>
      </c>
      <c r="G226" s="206"/>
      <c r="H226" s="284"/>
    </row>
    <row r="227" spans="1:8" x14ac:dyDescent="0.25">
      <c r="G227" s="206"/>
    </row>
    <row r="228" spans="1:8" x14ac:dyDescent="0.25">
      <c r="G228" s="206"/>
    </row>
    <row r="229" spans="1:8" x14ac:dyDescent="0.25">
      <c r="G229" s="206"/>
    </row>
    <row r="230" spans="1:8" x14ac:dyDescent="0.25">
      <c r="G230" s="206"/>
    </row>
    <row r="231" spans="1:8" x14ac:dyDescent="0.25">
      <c r="G231" s="206"/>
    </row>
    <row r="232" spans="1:8" x14ac:dyDescent="0.25">
      <c r="G232" s="206"/>
    </row>
    <row r="233" spans="1:8" x14ac:dyDescent="0.25">
      <c r="G233" s="206"/>
    </row>
    <row r="234" spans="1:8" x14ac:dyDescent="0.25">
      <c r="G234" s="206"/>
    </row>
    <row r="235" spans="1:8" x14ac:dyDescent="0.25">
      <c r="G235" s="206"/>
    </row>
    <row r="236" spans="1:8" x14ac:dyDescent="0.25">
      <c r="G236" s="206"/>
    </row>
    <row r="237" spans="1:8" ht="19.5" customHeight="1" x14ac:dyDescent="0.25">
      <c r="B237" s="220" t="s">
        <v>520</v>
      </c>
      <c r="C237" s="221"/>
      <c r="D237" s="209"/>
      <c r="E237" s="303" t="s">
        <v>15</v>
      </c>
      <c r="F237" s="207">
        <f>SUM(F195:F236)</f>
        <v>1767560</v>
      </c>
      <c r="G237" s="206"/>
    </row>
    <row r="238" spans="1:8" x14ac:dyDescent="0.25">
      <c r="B238" s="210" t="s">
        <v>557</v>
      </c>
      <c r="G238" s="206"/>
    </row>
    <row r="239" spans="1:8" x14ac:dyDescent="0.25">
      <c r="B239" s="210"/>
      <c r="G239" s="206"/>
    </row>
    <row r="240" spans="1:8" x14ac:dyDescent="0.25">
      <c r="B240" s="211" t="s">
        <v>137</v>
      </c>
      <c r="F240" s="288"/>
      <c r="G240" s="206"/>
    </row>
    <row r="241" spans="1:8" x14ac:dyDescent="0.25">
      <c r="F241" s="288"/>
      <c r="G241" s="206"/>
    </row>
    <row r="242" spans="1:8" x14ac:dyDescent="0.25">
      <c r="B242" s="242" t="s">
        <v>702</v>
      </c>
      <c r="F242" s="230"/>
      <c r="G242" s="206"/>
    </row>
    <row r="243" spans="1:8" x14ac:dyDescent="0.25">
      <c r="B243" s="211"/>
      <c r="F243" s="230"/>
      <c r="G243" s="206"/>
    </row>
    <row r="244" spans="1:8" x14ac:dyDescent="0.25">
      <c r="A244" s="206" t="s">
        <v>2</v>
      </c>
      <c r="B244" s="233" t="s">
        <v>558</v>
      </c>
      <c r="C244" s="205">
        <f>C218</f>
        <v>9</v>
      </c>
      <c r="D244" s="206" t="s">
        <v>511</v>
      </c>
      <c r="E244" s="306">
        <v>39800</v>
      </c>
      <c r="F244" s="207">
        <f>C244*E244</f>
        <v>358200</v>
      </c>
      <c r="G244" s="206"/>
      <c r="H244" s="284"/>
    </row>
    <row r="245" spans="1:8" x14ac:dyDescent="0.25">
      <c r="B245" s="233"/>
      <c r="F245" s="230"/>
      <c r="G245" s="206"/>
    </row>
    <row r="246" spans="1:8" x14ac:dyDescent="0.25">
      <c r="A246" s="206" t="s">
        <v>4</v>
      </c>
      <c r="B246" s="214" t="s">
        <v>139</v>
      </c>
      <c r="C246" s="205">
        <v>50</v>
      </c>
      <c r="D246" s="206" t="s">
        <v>22</v>
      </c>
      <c r="E246" s="306">
        <f>E244*0.3</f>
        <v>11940</v>
      </c>
      <c r="F246" s="207">
        <f>C246*E246</f>
        <v>597000</v>
      </c>
      <c r="G246" s="206"/>
      <c r="H246" s="284"/>
    </row>
    <row r="247" spans="1:8" x14ac:dyDescent="0.25">
      <c r="E247" s="306"/>
      <c r="G247" s="206"/>
      <c r="H247" s="284"/>
    </row>
    <row r="248" spans="1:8" x14ac:dyDescent="0.25">
      <c r="A248" s="206" t="s">
        <v>5</v>
      </c>
      <c r="B248" s="214" t="s">
        <v>140</v>
      </c>
      <c r="C248" s="205">
        <f>C224</f>
        <v>106</v>
      </c>
      <c r="D248" s="206" t="s">
        <v>22</v>
      </c>
      <c r="E248" s="306">
        <f>E244*0.15</f>
        <v>5970</v>
      </c>
      <c r="F248" s="207">
        <f>C248*E248</f>
        <v>632820</v>
      </c>
      <c r="G248" s="206"/>
      <c r="H248" s="284"/>
    </row>
    <row r="249" spans="1:8" x14ac:dyDescent="0.25">
      <c r="F249" s="230"/>
      <c r="G249" s="206"/>
      <c r="H249" s="284"/>
    </row>
    <row r="250" spans="1:8" s="223" customFormat="1" ht="15" customHeight="1" x14ac:dyDescent="0.25">
      <c r="A250" s="206" t="s">
        <v>6</v>
      </c>
      <c r="B250" s="218" t="s">
        <v>141</v>
      </c>
      <c r="C250" s="205">
        <v>20</v>
      </c>
      <c r="D250" s="206" t="s">
        <v>22</v>
      </c>
      <c r="E250" s="306">
        <f>E244*0.08</f>
        <v>3184</v>
      </c>
      <c r="F250" s="207">
        <f>C250*E250</f>
        <v>63680</v>
      </c>
      <c r="G250" s="206"/>
      <c r="H250" s="284"/>
    </row>
    <row r="251" spans="1:8" s="223" customFormat="1" ht="15" customHeight="1" x14ac:dyDescent="0.25">
      <c r="A251" s="206"/>
      <c r="B251" s="218"/>
      <c r="C251" s="205"/>
      <c r="D251" s="206"/>
      <c r="E251" s="304"/>
      <c r="F251" s="207"/>
      <c r="G251" s="206"/>
      <c r="H251" s="284"/>
    </row>
    <row r="252" spans="1:8" ht="35.25" customHeight="1" x14ac:dyDescent="0.25">
      <c r="B252" s="242" t="s">
        <v>559</v>
      </c>
      <c r="C252" s="221"/>
      <c r="D252" s="209"/>
      <c r="E252" s="303"/>
      <c r="F252" s="286"/>
      <c r="G252" s="206"/>
    </row>
    <row r="253" spans="1:8" x14ac:dyDescent="0.25">
      <c r="B253" s="220"/>
      <c r="C253" s="221"/>
      <c r="D253" s="209"/>
      <c r="E253" s="303"/>
      <c r="F253" s="286"/>
      <c r="G253" s="206"/>
    </row>
    <row r="254" spans="1:8" x14ac:dyDescent="0.25">
      <c r="B254" s="219" t="s">
        <v>560</v>
      </c>
      <c r="F254" s="230"/>
      <c r="G254" s="206"/>
    </row>
    <row r="255" spans="1:8" x14ac:dyDescent="0.25">
      <c r="B255" s="219"/>
      <c r="F255" s="230"/>
      <c r="G255" s="206"/>
    </row>
    <row r="256" spans="1:8" x14ac:dyDescent="0.25">
      <c r="A256" s="206" t="s">
        <v>7</v>
      </c>
      <c r="B256" s="233" t="s">
        <v>561</v>
      </c>
      <c r="C256" s="205">
        <f>C244</f>
        <v>9</v>
      </c>
      <c r="D256" s="206" t="s">
        <v>511</v>
      </c>
      <c r="E256" s="304">
        <v>4500</v>
      </c>
      <c r="F256" s="207">
        <f>C256*E256</f>
        <v>40500</v>
      </c>
      <c r="G256" s="206"/>
      <c r="H256" s="284"/>
    </row>
    <row r="257" spans="1:8" x14ac:dyDescent="0.25">
      <c r="B257" s="219"/>
      <c r="F257" s="230"/>
      <c r="G257" s="206"/>
    </row>
    <row r="258" spans="1:8" ht="15" x14ac:dyDescent="0.25">
      <c r="A258" s="206" t="s">
        <v>8</v>
      </c>
      <c r="B258" s="233" t="s">
        <v>145</v>
      </c>
      <c r="C258" s="205">
        <f>C248</f>
        <v>106</v>
      </c>
      <c r="D258" s="206" t="s">
        <v>22</v>
      </c>
      <c r="E258" s="304">
        <v>1500</v>
      </c>
      <c r="F258" s="212">
        <f>C258*E258</f>
        <v>159000</v>
      </c>
      <c r="G258" s="206"/>
      <c r="H258" s="284"/>
    </row>
    <row r="259" spans="1:8" x14ac:dyDescent="0.25">
      <c r="B259" s="233"/>
      <c r="G259" s="206"/>
      <c r="H259" s="284"/>
    </row>
    <row r="260" spans="1:8" ht="15" x14ac:dyDescent="0.25">
      <c r="A260" s="206" t="s">
        <v>9</v>
      </c>
      <c r="B260" s="233" t="s">
        <v>562</v>
      </c>
      <c r="C260" s="205">
        <f>C246</f>
        <v>50</v>
      </c>
      <c r="D260" s="206" t="s">
        <v>22</v>
      </c>
      <c r="E260" s="304">
        <v>2500</v>
      </c>
      <c r="F260" s="212">
        <f>C260*E260</f>
        <v>125000</v>
      </c>
      <c r="G260" s="206"/>
      <c r="H260" s="284"/>
    </row>
    <row r="261" spans="1:8" ht="15" x14ac:dyDescent="0.25">
      <c r="B261" s="233"/>
      <c r="F261" s="212"/>
      <c r="G261" s="206"/>
      <c r="H261" s="284"/>
    </row>
    <row r="262" spans="1:8" ht="15" x14ac:dyDescent="0.25">
      <c r="A262" s="206" t="s">
        <v>10</v>
      </c>
      <c r="B262" s="233" t="s">
        <v>146</v>
      </c>
      <c r="C262" s="205">
        <f>C250</f>
        <v>20</v>
      </c>
      <c r="D262" s="206" t="s">
        <v>22</v>
      </c>
      <c r="E262" s="304">
        <f>E256*0.45</f>
        <v>2025</v>
      </c>
      <c r="F262" s="212">
        <f>C262*E262</f>
        <v>40500</v>
      </c>
      <c r="G262" s="206"/>
      <c r="H262" s="284"/>
    </row>
    <row r="263" spans="1:8" x14ac:dyDescent="0.25">
      <c r="F263" s="230"/>
      <c r="G263" s="206"/>
    </row>
    <row r="264" spans="1:8" x14ac:dyDescent="0.25">
      <c r="B264" s="211" t="s">
        <v>147</v>
      </c>
      <c r="F264" s="230"/>
      <c r="G264" s="206"/>
    </row>
    <row r="265" spans="1:8" x14ac:dyDescent="0.25">
      <c r="F265" s="230"/>
      <c r="G265" s="206"/>
    </row>
    <row r="266" spans="1:8" ht="30" x14ac:dyDescent="0.25">
      <c r="B266" s="224" t="s">
        <v>563</v>
      </c>
      <c r="F266" s="230"/>
      <c r="G266" s="206"/>
    </row>
    <row r="267" spans="1:8" x14ac:dyDescent="0.25">
      <c r="B267" s="224"/>
      <c r="F267" s="230"/>
      <c r="G267" s="206"/>
    </row>
    <row r="268" spans="1:8" x14ac:dyDescent="0.25">
      <c r="A268" s="206" t="s">
        <v>11</v>
      </c>
      <c r="B268" s="233" t="s">
        <v>149</v>
      </c>
      <c r="C268" s="205">
        <f>C216</f>
        <v>30</v>
      </c>
      <c r="D268" s="206" t="s">
        <v>511</v>
      </c>
      <c r="E268" s="304">
        <v>1890</v>
      </c>
      <c r="F268" s="207">
        <f>C268*E268</f>
        <v>56700</v>
      </c>
      <c r="G268" s="206"/>
      <c r="H268" s="284"/>
    </row>
    <row r="269" spans="1:8" x14ac:dyDescent="0.25">
      <c r="B269" s="233"/>
      <c r="G269" s="206"/>
    </row>
    <row r="270" spans="1:8" x14ac:dyDescent="0.25">
      <c r="A270" s="206" t="s">
        <v>12</v>
      </c>
      <c r="B270" s="214" t="s">
        <v>38</v>
      </c>
      <c r="C270" s="205">
        <f>C218</f>
        <v>9</v>
      </c>
      <c r="D270" s="206" t="s">
        <v>511</v>
      </c>
      <c r="E270" s="304">
        <f>E268</f>
        <v>1890</v>
      </c>
      <c r="F270" s="207">
        <f>C270*E270</f>
        <v>17010</v>
      </c>
      <c r="G270" s="206"/>
      <c r="H270" s="284"/>
    </row>
    <row r="271" spans="1:8" x14ac:dyDescent="0.25">
      <c r="G271" s="206"/>
    </row>
    <row r="272" spans="1:8" x14ac:dyDescent="0.25">
      <c r="A272" s="206" t="s">
        <v>13</v>
      </c>
      <c r="B272" s="214" t="s">
        <v>37</v>
      </c>
      <c r="C272" s="205">
        <f>C222</f>
        <v>7</v>
      </c>
      <c r="D272" s="206" t="s">
        <v>511</v>
      </c>
      <c r="E272" s="304">
        <f>E270</f>
        <v>1890</v>
      </c>
      <c r="F272" s="207">
        <f>C272*E272</f>
        <v>13230</v>
      </c>
      <c r="G272" s="206"/>
      <c r="H272" s="284"/>
    </row>
    <row r="273" spans="2:7" x14ac:dyDescent="0.25">
      <c r="F273" s="230"/>
      <c r="G273" s="206"/>
    </row>
    <row r="274" spans="2:7" x14ac:dyDescent="0.25">
      <c r="F274" s="230"/>
      <c r="G274" s="206"/>
    </row>
    <row r="275" spans="2:7" x14ac:dyDescent="0.25">
      <c r="F275" s="230"/>
      <c r="G275" s="206"/>
    </row>
    <row r="276" spans="2:7" x14ac:dyDescent="0.25">
      <c r="F276" s="230"/>
      <c r="G276" s="206"/>
    </row>
    <row r="277" spans="2:7" x14ac:dyDescent="0.25">
      <c r="F277" s="230"/>
      <c r="G277" s="206"/>
    </row>
    <row r="278" spans="2:7" x14ac:dyDescent="0.25">
      <c r="F278" s="230"/>
      <c r="G278" s="206"/>
    </row>
    <row r="279" spans="2:7" x14ac:dyDescent="0.25">
      <c r="F279" s="230"/>
      <c r="G279" s="206"/>
    </row>
    <row r="280" spans="2:7" x14ac:dyDescent="0.25">
      <c r="F280" s="230"/>
      <c r="G280" s="206"/>
    </row>
    <row r="281" spans="2:7" x14ac:dyDescent="0.25">
      <c r="F281" s="230"/>
      <c r="G281" s="206"/>
    </row>
    <row r="282" spans="2:7" x14ac:dyDescent="0.25">
      <c r="F282" s="230"/>
      <c r="G282" s="206"/>
    </row>
    <row r="283" spans="2:7" x14ac:dyDescent="0.25">
      <c r="B283" s="220" t="s">
        <v>520</v>
      </c>
      <c r="C283" s="221"/>
      <c r="D283" s="209"/>
      <c r="E283" s="303" t="s">
        <v>15</v>
      </c>
      <c r="F283" s="230">
        <f>SUM(F240:F282)</f>
        <v>2103640</v>
      </c>
      <c r="G283" s="209"/>
    </row>
    <row r="284" spans="2:7" x14ac:dyDescent="0.25">
      <c r="B284" s="210" t="s">
        <v>557</v>
      </c>
      <c r="F284" s="230"/>
      <c r="G284" s="230"/>
    </row>
    <row r="285" spans="2:7" x14ac:dyDescent="0.25">
      <c r="F285" s="230"/>
      <c r="G285" s="230"/>
    </row>
    <row r="286" spans="2:7" x14ac:dyDescent="0.25">
      <c r="B286" s="210" t="s">
        <v>564</v>
      </c>
      <c r="F286" s="230"/>
      <c r="G286" s="230"/>
    </row>
    <row r="287" spans="2:7" x14ac:dyDescent="0.25">
      <c r="F287" s="230"/>
      <c r="G287" s="230"/>
    </row>
    <row r="288" spans="2:7" ht="30" x14ac:dyDescent="0.25">
      <c r="B288" s="224" t="s">
        <v>565</v>
      </c>
      <c r="F288" s="230"/>
      <c r="G288" s="230"/>
    </row>
    <row r="289" spans="1:8" x14ac:dyDescent="0.25">
      <c r="F289" s="230"/>
      <c r="G289" s="230"/>
    </row>
    <row r="290" spans="1:8" x14ac:dyDescent="0.25">
      <c r="A290" s="206" t="s">
        <v>2</v>
      </c>
      <c r="B290" s="233" t="s">
        <v>149</v>
      </c>
      <c r="C290" s="205">
        <f>C268</f>
        <v>30</v>
      </c>
      <c r="D290" s="206" t="s">
        <v>511</v>
      </c>
      <c r="E290" s="304">
        <v>1100</v>
      </c>
      <c r="F290" s="207">
        <f>C290*E290</f>
        <v>33000</v>
      </c>
      <c r="H290" s="284"/>
    </row>
    <row r="291" spans="1:8" x14ac:dyDescent="0.25">
      <c r="B291" s="233"/>
    </row>
    <row r="292" spans="1:8" x14ac:dyDescent="0.25">
      <c r="A292" s="206" t="s">
        <v>4</v>
      </c>
      <c r="B292" s="214" t="s">
        <v>38</v>
      </c>
      <c r="C292" s="205">
        <f>C270</f>
        <v>9</v>
      </c>
      <c r="D292" s="206" t="s">
        <v>511</v>
      </c>
      <c r="E292" s="304">
        <f>E290</f>
        <v>1100</v>
      </c>
      <c r="F292" s="207">
        <f>C292*E292</f>
        <v>9900</v>
      </c>
      <c r="H292" s="284"/>
    </row>
    <row r="294" spans="1:8" x14ac:dyDescent="0.25">
      <c r="A294" s="206" t="s">
        <v>5</v>
      </c>
      <c r="B294" s="214" t="s">
        <v>37</v>
      </c>
      <c r="C294" s="205">
        <f>C272</f>
        <v>7</v>
      </c>
      <c r="D294" s="206" t="s">
        <v>511</v>
      </c>
      <c r="E294" s="304">
        <f>E292</f>
        <v>1100</v>
      </c>
      <c r="F294" s="207">
        <f>C294*E294</f>
        <v>7700</v>
      </c>
      <c r="H294" s="284"/>
    </row>
    <row r="295" spans="1:8" x14ac:dyDescent="0.25">
      <c r="B295" s="233"/>
      <c r="F295" s="230"/>
      <c r="G295" s="230"/>
    </row>
    <row r="296" spans="1:8" x14ac:dyDescent="0.25">
      <c r="B296" s="211" t="s">
        <v>152</v>
      </c>
      <c r="F296" s="230"/>
      <c r="G296" s="230"/>
    </row>
    <row r="297" spans="1:8" x14ac:dyDescent="0.25">
      <c r="F297" s="230"/>
      <c r="G297" s="230"/>
    </row>
    <row r="298" spans="1:8" ht="30" x14ac:dyDescent="0.25">
      <c r="B298" s="224" t="s">
        <v>675</v>
      </c>
      <c r="F298" s="230"/>
      <c r="G298" s="230"/>
    </row>
    <row r="299" spans="1:8" x14ac:dyDescent="0.25">
      <c r="F299" s="230"/>
      <c r="G299" s="230"/>
    </row>
    <row r="300" spans="1:8" x14ac:dyDescent="0.25">
      <c r="A300" s="206" t="s">
        <v>6</v>
      </c>
      <c r="B300" s="233" t="s">
        <v>149</v>
      </c>
      <c r="C300" s="205">
        <f>C290</f>
        <v>30</v>
      </c>
      <c r="D300" s="206" t="s">
        <v>511</v>
      </c>
      <c r="E300" s="304">
        <v>1500</v>
      </c>
      <c r="F300" s="207">
        <f>C300*E300</f>
        <v>45000</v>
      </c>
      <c r="H300" s="284"/>
    </row>
    <row r="301" spans="1:8" x14ac:dyDescent="0.25">
      <c r="B301" s="233"/>
    </row>
    <row r="302" spans="1:8" x14ac:dyDescent="0.25">
      <c r="A302" s="206" t="s">
        <v>7</v>
      </c>
      <c r="B302" s="214" t="s">
        <v>38</v>
      </c>
      <c r="C302" s="205">
        <f>C292</f>
        <v>9</v>
      </c>
      <c r="D302" s="206" t="s">
        <v>511</v>
      </c>
      <c r="E302" s="304">
        <f>E300</f>
        <v>1500</v>
      </c>
      <c r="F302" s="207">
        <f>C302*E302</f>
        <v>13500</v>
      </c>
      <c r="H302" s="284"/>
    </row>
    <row r="304" spans="1:8" x14ac:dyDescent="0.25">
      <c r="A304" s="206" t="s">
        <v>8</v>
      </c>
      <c r="B304" s="214" t="s">
        <v>37</v>
      </c>
      <c r="C304" s="205">
        <f>C294</f>
        <v>7</v>
      </c>
      <c r="D304" s="206" t="s">
        <v>511</v>
      </c>
      <c r="E304" s="304">
        <f>E302</f>
        <v>1500</v>
      </c>
      <c r="F304" s="207">
        <f>C304*E304</f>
        <v>10500</v>
      </c>
      <c r="H304" s="284"/>
    </row>
    <row r="306" spans="2:7" x14ac:dyDescent="0.25">
      <c r="F306" s="230"/>
      <c r="G306" s="230"/>
    </row>
    <row r="307" spans="2:7" x14ac:dyDescent="0.25">
      <c r="B307" s="220" t="s">
        <v>520</v>
      </c>
      <c r="E307" s="303" t="s">
        <v>15</v>
      </c>
      <c r="F307" s="222">
        <f>SUM(F287:F306)</f>
        <v>119600</v>
      </c>
      <c r="G307" s="222"/>
    </row>
    <row r="309" spans="2:7" x14ac:dyDescent="0.25">
      <c r="B309" s="219" t="s">
        <v>531</v>
      </c>
      <c r="F309" s="230"/>
      <c r="G309" s="230"/>
    </row>
    <row r="310" spans="2:7" x14ac:dyDescent="0.25">
      <c r="B310" s="231" t="s">
        <v>566</v>
      </c>
      <c r="E310" s="304">
        <f>F237</f>
        <v>1767560</v>
      </c>
      <c r="F310" s="230"/>
      <c r="G310" s="230"/>
    </row>
    <row r="311" spans="2:7" x14ac:dyDescent="0.25">
      <c r="B311" s="243"/>
      <c r="F311" s="230"/>
      <c r="G311" s="230"/>
    </row>
    <row r="312" spans="2:7" x14ac:dyDescent="0.25">
      <c r="B312" s="231" t="s">
        <v>567</v>
      </c>
      <c r="E312" s="304">
        <f>F283</f>
        <v>2103640</v>
      </c>
      <c r="F312" s="230"/>
      <c r="G312" s="230"/>
    </row>
    <row r="313" spans="2:7" x14ac:dyDescent="0.25">
      <c r="B313" s="244"/>
      <c r="F313" s="230"/>
      <c r="G313" s="230"/>
    </row>
    <row r="314" spans="2:7" x14ac:dyDescent="0.25">
      <c r="B314" s="231" t="s">
        <v>568</v>
      </c>
      <c r="E314" s="304">
        <f>F307</f>
        <v>119600</v>
      </c>
      <c r="F314" s="230"/>
      <c r="G314" s="230"/>
    </row>
    <row r="315" spans="2:7" x14ac:dyDescent="0.25">
      <c r="B315" s="231"/>
      <c r="F315" s="230"/>
      <c r="G315" s="230"/>
    </row>
    <row r="316" spans="2:7" x14ac:dyDescent="0.25">
      <c r="B316" s="231"/>
      <c r="F316" s="230"/>
      <c r="G316" s="230"/>
    </row>
    <row r="317" spans="2:7" x14ac:dyDescent="0.25">
      <c r="B317" s="231"/>
      <c r="F317" s="230"/>
      <c r="G317" s="230"/>
    </row>
    <row r="318" spans="2:7" x14ac:dyDescent="0.25">
      <c r="B318" s="231"/>
      <c r="F318" s="230"/>
      <c r="G318" s="230"/>
    </row>
    <row r="319" spans="2:7" x14ac:dyDescent="0.25">
      <c r="B319" s="231"/>
      <c r="F319" s="230"/>
      <c r="G319" s="230"/>
    </row>
    <row r="320" spans="2:7" x14ac:dyDescent="0.25">
      <c r="B320" s="231"/>
      <c r="F320" s="230"/>
      <c r="G320" s="230"/>
    </row>
    <row r="321" spans="2:7" x14ac:dyDescent="0.25">
      <c r="B321" s="231"/>
      <c r="F321" s="230"/>
      <c r="G321" s="230"/>
    </row>
    <row r="322" spans="2:7" x14ac:dyDescent="0.25">
      <c r="B322" s="231"/>
      <c r="F322" s="230"/>
      <c r="G322" s="230"/>
    </row>
    <row r="323" spans="2:7" x14ac:dyDescent="0.25">
      <c r="B323" s="231"/>
      <c r="F323" s="230"/>
      <c r="G323" s="230"/>
    </row>
    <row r="324" spans="2:7" x14ac:dyDescent="0.25">
      <c r="B324" s="231"/>
      <c r="F324" s="230"/>
      <c r="G324" s="230"/>
    </row>
    <row r="325" spans="2:7" x14ac:dyDescent="0.25">
      <c r="B325" s="231"/>
      <c r="F325" s="230"/>
      <c r="G325" s="230"/>
    </row>
    <row r="326" spans="2:7" x14ac:dyDescent="0.25">
      <c r="B326" s="231"/>
      <c r="F326" s="230"/>
      <c r="G326" s="230"/>
    </row>
    <row r="327" spans="2:7" x14ac:dyDescent="0.25">
      <c r="B327" s="231"/>
      <c r="F327" s="230"/>
      <c r="G327" s="230"/>
    </row>
    <row r="328" spans="2:7" x14ac:dyDescent="0.25">
      <c r="B328" s="210" t="s">
        <v>125</v>
      </c>
      <c r="F328" s="230"/>
      <c r="G328" s="230"/>
    </row>
    <row r="329" spans="2:7" x14ac:dyDescent="0.25">
      <c r="B329" s="220" t="s">
        <v>534</v>
      </c>
      <c r="E329" s="303" t="s">
        <v>15</v>
      </c>
      <c r="F329" s="286">
        <f>SUM(E309:E316)</f>
        <v>3990800</v>
      </c>
      <c r="G329" s="286"/>
    </row>
    <row r="330" spans="2:7" x14ac:dyDescent="0.25">
      <c r="B330" s="210"/>
      <c r="F330" s="230"/>
      <c r="G330" s="230"/>
    </row>
    <row r="331" spans="2:7" x14ac:dyDescent="0.25">
      <c r="B331" s="204" t="s">
        <v>569</v>
      </c>
      <c r="F331" s="230"/>
      <c r="G331" s="230"/>
    </row>
    <row r="332" spans="2:7" x14ac:dyDescent="0.25">
      <c r="F332" s="230"/>
      <c r="G332" s="230"/>
    </row>
    <row r="333" spans="2:7" x14ac:dyDescent="0.25">
      <c r="B333" s="210" t="s">
        <v>163</v>
      </c>
      <c r="F333" s="230"/>
      <c r="G333" s="230"/>
    </row>
    <row r="334" spans="2:7" x14ac:dyDescent="0.25">
      <c r="F334" s="230"/>
      <c r="G334" s="230"/>
    </row>
    <row r="335" spans="2:7" x14ac:dyDescent="0.25">
      <c r="B335" s="211" t="s">
        <v>98</v>
      </c>
      <c r="F335" s="230"/>
      <c r="G335" s="230"/>
    </row>
    <row r="336" spans="2:7" x14ac:dyDescent="0.25">
      <c r="F336" s="230"/>
      <c r="G336" s="230"/>
    </row>
    <row r="337" spans="1:10" x14ac:dyDescent="0.25">
      <c r="B337" s="219" t="s">
        <v>536</v>
      </c>
      <c r="F337" s="230"/>
      <c r="G337" s="230"/>
    </row>
    <row r="338" spans="1:10" x14ac:dyDescent="0.25">
      <c r="B338" s="219"/>
      <c r="F338" s="230"/>
      <c r="G338" s="230"/>
    </row>
    <row r="339" spans="1:10" x14ac:dyDescent="0.25">
      <c r="B339" s="219" t="s">
        <v>666</v>
      </c>
      <c r="F339" s="230"/>
      <c r="G339" s="230"/>
    </row>
    <row r="340" spans="1:10" x14ac:dyDescent="0.25">
      <c r="F340" s="230"/>
      <c r="G340" s="230"/>
      <c r="I340" s="208">
        <f>0.3+0.3+0.23</f>
        <v>0.83</v>
      </c>
      <c r="J340" s="208">
        <f>I340*72.8</f>
        <v>60.423999999999992</v>
      </c>
    </row>
    <row r="341" spans="1:10" x14ac:dyDescent="0.25">
      <c r="A341" s="206" t="s">
        <v>2</v>
      </c>
      <c r="B341" s="214" t="s">
        <v>537</v>
      </c>
      <c r="C341" s="205">
        <f>'[30]Take off'!D306</f>
        <v>21</v>
      </c>
      <c r="D341" s="206" t="s">
        <v>513</v>
      </c>
      <c r="E341" s="304">
        <f>E111</f>
        <v>94000</v>
      </c>
      <c r="F341" s="230">
        <f>C341*E341</f>
        <v>1974000</v>
      </c>
      <c r="G341" s="230"/>
      <c r="H341" s="284"/>
    </row>
    <row r="342" spans="1:10" x14ac:dyDescent="0.25">
      <c r="F342" s="230"/>
      <c r="G342" s="230"/>
      <c r="H342" s="284"/>
    </row>
    <row r="343" spans="1:10" x14ac:dyDescent="0.25">
      <c r="A343" s="206" t="s">
        <v>4</v>
      </c>
      <c r="B343" s="214" t="s">
        <v>886</v>
      </c>
      <c r="C343" s="205">
        <f>'[30]Take off'!D316</f>
        <v>2</v>
      </c>
      <c r="D343" s="206" t="s">
        <v>513</v>
      </c>
      <c r="E343" s="304">
        <f>E113</f>
        <v>94000</v>
      </c>
      <c r="F343" s="230">
        <f>C343*E343</f>
        <v>188000</v>
      </c>
      <c r="G343" s="230"/>
      <c r="H343" s="284"/>
    </row>
    <row r="344" spans="1:10" x14ac:dyDescent="0.25">
      <c r="F344" s="230"/>
      <c r="G344" s="230"/>
      <c r="H344" s="284"/>
    </row>
    <row r="345" spans="1:10" x14ac:dyDescent="0.25">
      <c r="A345" s="206" t="s">
        <v>5</v>
      </c>
      <c r="B345" s="214" t="s">
        <v>676</v>
      </c>
      <c r="D345" s="206" t="s">
        <v>513</v>
      </c>
      <c r="E345" s="304">
        <f>E115</f>
        <v>94000</v>
      </c>
      <c r="F345" s="230">
        <f>C345*E345</f>
        <v>0</v>
      </c>
      <c r="G345" s="230"/>
      <c r="H345" s="284"/>
    </row>
    <row r="346" spans="1:10" x14ac:dyDescent="0.25">
      <c r="F346" s="230"/>
      <c r="G346" s="230"/>
      <c r="H346" s="284"/>
    </row>
    <row r="347" spans="1:10" x14ac:dyDescent="0.25">
      <c r="A347" s="237"/>
      <c r="B347" s="211" t="s">
        <v>102</v>
      </c>
      <c r="F347" s="230"/>
      <c r="G347" s="230"/>
    </row>
    <row r="348" spans="1:10" x14ac:dyDescent="0.25">
      <c r="B348" s="219"/>
      <c r="F348" s="230"/>
      <c r="G348" s="230"/>
    </row>
    <row r="349" spans="1:10" ht="30" x14ac:dyDescent="0.25">
      <c r="B349" s="224" t="s">
        <v>570</v>
      </c>
      <c r="F349" s="230"/>
      <c r="G349" s="230"/>
    </row>
    <row r="350" spans="1:10" x14ac:dyDescent="0.25">
      <c r="B350" s="218"/>
      <c r="C350" s="239"/>
      <c r="D350" s="240"/>
      <c r="E350" s="305"/>
      <c r="F350" s="245"/>
      <c r="G350" s="245"/>
    </row>
    <row r="351" spans="1:10" x14ac:dyDescent="0.25">
      <c r="A351" s="206" t="s">
        <v>6</v>
      </c>
      <c r="B351" s="214" t="s">
        <v>809</v>
      </c>
      <c r="C351" s="262">
        <f>220+346+1130</f>
        <v>1696</v>
      </c>
      <c r="D351" s="206" t="s">
        <v>75</v>
      </c>
      <c r="E351" s="304">
        <f>E209</f>
        <v>770</v>
      </c>
      <c r="F351" s="287">
        <f>C351*E351</f>
        <v>1305920</v>
      </c>
      <c r="G351" s="287"/>
      <c r="H351" s="284"/>
    </row>
    <row r="352" spans="1:10" x14ac:dyDescent="0.25">
      <c r="A352" s="238"/>
      <c r="F352" s="287"/>
      <c r="G352" s="287"/>
    </row>
    <row r="353" spans="1:8" x14ac:dyDescent="0.25">
      <c r="B353" s="211" t="s">
        <v>67</v>
      </c>
      <c r="F353" s="230"/>
      <c r="G353" s="230"/>
    </row>
    <row r="354" spans="1:8" x14ac:dyDescent="0.25">
      <c r="F354" s="230"/>
      <c r="G354" s="230"/>
    </row>
    <row r="355" spans="1:8" x14ac:dyDescent="0.25">
      <c r="B355" s="219" t="s">
        <v>120</v>
      </c>
      <c r="F355" s="230"/>
      <c r="G355" s="230"/>
    </row>
    <row r="356" spans="1:8" x14ac:dyDescent="0.25">
      <c r="F356" s="230"/>
      <c r="G356" s="230"/>
    </row>
    <row r="357" spans="1:8" x14ac:dyDescent="0.25">
      <c r="A357" s="206" t="s">
        <v>8</v>
      </c>
      <c r="B357" s="214" t="s">
        <v>887</v>
      </c>
      <c r="C357" s="205">
        <f>'[30]Take off'!H315</f>
        <v>15</v>
      </c>
      <c r="D357" s="206" t="s">
        <v>511</v>
      </c>
      <c r="E357" s="304">
        <v>6600</v>
      </c>
      <c r="F357" s="230">
        <f>C357*E357</f>
        <v>99000</v>
      </c>
      <c r="G357" s="230"/>
      <c r="H357" s="284"/>
    </row>
    <row r="358" spans="1:8" x14ac:dyDescent="0.25">
      <c r="A358" s="206" t="s">
        <v>8</v>
      </c>
      <c r="B358" s="214" t="s">
        <v>572</v>
      </c>
      <c r="C358" s="205">
        <f>'[30]Take off'!H305</f>
        <v>228</v>
      </c>
      <c r="D358" s="206" t="s">
        <v>511</v>
      </c>
      <c r="E358" s="304">
        <f>E172</f>
        <v>6600</v>
      </c>
      <c r="F358" s="230">
        <f>C358*E358</f>
        <v>1504800</v>
      </c>
      <c r="G358" s="230"/>
      <c r="H358" s="284"/>
    </row>
    <row r="359" spans="1:8" x14ac:dyDescent="0.25">
      <c r="F359" s="230"/>
      <c r="G359" s="230"/>
      <c r="H359" s="284"/>
    </row>
    <row r="360" spans="1:8" x14ac:dyDescent="0.25">
      <c r="F360" s="230"/>
      <c r="G360" s="230"/>
      <c r="H360" s="284"/>
    </row>
    <row r="361" spans="1:8" x14ac:dyDescent="0.25">
      <c r="F361" s="230"/>
      <c r="G361" s="230"/>
      <c r="H361" s="284"/>
    </row>
    <row r="362" spans="1:8" x14ac:dyDescent="0.25">
      <c r="F362" s="230"/>
      <c r="G362" s="230"/>
      <c r="H362" s="284"/>
    </row>
    <row r="363" spans="1:8" x14ac:dyDescent="0.25">
      <c r="F363" s="230"/>
      <c r="G363" s="230"/>
      <c r="H363" s="284"/>
    </row>
    <row r="364" spans="1:8" x14ac:dyDescent="0.25">
      <c r="F364" s="230"/>
      <c r="G364" s="230"/>
      <c r="H364" s="284"/>
    </row>
    <row r="365" spans="1:8" x14ac:dyDescent="0.25">
      <c r="F365" s="230"/>
      <c r="G365" s="230"/>
      <c r="H365" s="284"/>
    </row>
    <row r="366" spans="1:8" x14ac:dyDescent="0.25">
      <c r="F366" s="230"/>
      <c r="G366" s="230"/>
      <c r="H366" s="284"/>
    </row>
    <row r="367" spans="1:8" x14ac:dyDescent="0.25">
      <c r="F367" s="230"/>
      <c r="G367" s="230"/>
      <c r="H367" s="284"/>
    </row>
    <row r="368" spans="1:8" x14ac:dyDescent="0.25">
      <c r="F368" s="230"/>
      <c r="G368" s="230"/>
      <c r="H368" s="284"/>
    </row>
    <row r="369" spans="1:14" x14ac:dyDescent="0.25">
      <c r="F369" s="230"/>
      <c r="G369" s="230"/>
      <c r="H369" s="284"/>
    </row>
    <row r="370" spans="1:14" x14ac:dyDescent="0.25">
      <c r="F370" s="230"/>
      <c r="G370" s="230"/>
      <c r="H370" s="284"/>
    </row>
    <row r="371" spans="1:14" x14ac:dyDescent="0.25">
      <c r="F371" s="230"/>
      <c r="G371" s="230"/>
      <c r="H371" s="284"/>
    </row>
    <row r="372" spans="1:14" x14ac:dyDescent="0.25">
      <c r="F372" s="230"/>
      <c r="G372" s="230"/>
      <c r="H372" s="284"/>
    </row>
    <row r="373" spans="1:14" x14ac:dyDescent="0.25">
      <c r="F373" s="230"/>
      <c r="G373" s="230"/>
      <c r="H373" s="284"/>
    </row>
    <row r="374" spans="1:14" x14ac:dyDescent="0.25">
      <c r="F374" s="230"/>
      <c r="G374" s="230"/>
      <c r="H374" s="284"/>
    </row>
    <row r="375" spans="1:14" x14ac:dyDescent="0.25">
      <c r="B375" s="220" t="s">
        <v>520</v>
      </c>
      <c r="C375" s="221"/>
      <c r="D375" s="209"/>
      <c r="E375" s="303" t="s">
        <v>15</v>
      </c>
      <c r="F375" s="235">
        <f>SUM(F334:F366)</f>
        <v>5071720</v>
      </c>
      <c r="G375" s="230"/>
      <c r="H375" s="284"/>
    </row>
    <row r="376" spans="1:14" x14ac:dyDescent="0.25">
      <c r="B376" s="210" t="s">
        <v>573</v>
      </c>
      <c r="F376" s="230"/>
      <c r="G376" s="230"/>
      <c r="H376" s="284"/>
    </row>
    <row r="377" spans="1:14" ht="14.1" customHeight="1" x14ac:dyDescent="0.25">
      <c r="F377" s="230"/>
      <c r="G377" s="230"/>
      <c r="H377" s="284"/>
    </row>
    <row r="378" spans="1:14" ht="49.5" x14ac:dyDescent="0.25">
      <c r="B378" s="242" t="s">
        <v>574</v>
      </c>
    </row>
    <row r="379" spans="1:14" ht="13.5" customHeight="1" x14ac:dyDescent="0.25">
      <c r="B379" s="233"/>
      <c r="L379" s="223"/>
    </row>
    <row r="380" spans="1:14" x14ac:dyDescent="0.25">
      <c r="A380" s="206" t="s">
        <v>2</v>
      </c>
      <c r="B380" s="246" t="s">
        <v>575</v>
      </c>
      <c r="C380" s="205">
        <v>155</v>
      </c>
      <c r="D380" s="206" t="s">
        <v>511</v>
      </c>
      <c r="E380" s="304">
        <v>8900</v>
      </c>
      <c r="F380" s="289">
        <f>E380*C380</f>
        <v>1379500</v>
      </c>
      <c r="G380" s="289"/>
      <c r="H380" s="284"/>
      <c r="L380" s="223"/>
    </row>
    <row r="381" spans="1:14" x14ac:dyDescent="0.25">
      <c r="B381" s="246"/>
      <c r="F381" s="289"/>
      <c r="G381" s="289"/>
      <c r="H381" s="284"/>
    </row>
    <row r="382" spans="1:14" x14ac:dyDescent="0.25">
      <c r="A382" s="206" t="s">
        <v>4</v>
      </c>
      <c r="B382" s="214" t="s">
        <v>677</v>
      </c>
      <c r="C382" s="205">
        <v>74</v>
      </c>
      <c r="D382" s="206" t="s">
        <v>22</v>
      </c>
      <c r="E382" s="304">
        <f>E380*0.5</f>
        <v>4450</v>
      </c>
      <c r="F382" s="289">
        <f>E382*C382</f>
        <v>329300</v>
      </c>
      <c r="G382" s="289"/>
      <c r="H382" s="284"/>
      <c r="N382" s="208">
        <f>SUM(L382:M382)</f>
        <v>0</v>
      </c>
    </row>
    <row r="383" spans="1:14" x14ac:dyDescent="0.25">
      <c r="F383" s="289"/>
      <c r="G383" s="289"/>
      <c r="H383" s="284"/>
    </row>
    <row r="384" spans="1:14" x14ac:dyDescent="0.25">
      <c r="A384" s="206" t="s">
        <v>5</v>
      </c>
      <c r="B384" s="214" t="s">
        <v>576</v>
      </c>
      <c r="C384" s="205">
        <v>17</v>
      </c>
      <c r="D384" s="206" t="s">
        <v>22</v>
      </c>
      <c r="E384" s="304">
        <f>E380*0.3</f>
        <v>2670</v>
      </c>
      <c r="F384" s="289">
        <f>E384*C384</f>
        <v>45390</v>
      </c>
      <c r="G384" s="289"/>
      <c r="H384" s="284"/>
      <c r="N384" s="208">
        <f>SUM(L384:M384)</f>
        <v>0</v>
      </c>
    </row>
    <row r="385" spans="1:9" x14ac:dyDescent="0.25">
      <c r="F385" s="289"/>
      <c r="G385" s="289"/>
      <c r="H385" s="284"/>
    </row>
    <row r="386" spans="1:9" x14ac:dyDescent="0.25">
      <c r="B386" s="211" t="s">
        <v>577</v>
      </c>
    </row>
    <row r="387" spans="1:9" ht="12.6" customHeight="1" x14ac:dyDescent="0.25"/>
    <row r="388" spans="1:9" ht="14.25" customHeight="1" x14ac:dyDescent="0.25">
      <c r="B388" s="224" t="s">
        <v>187</v>
      </c>
    </row>
    <row r="390" spans="1:9" s="202" customFormat="1" ht="17.100000000000001" customHeight="1" x14ac:dyDescent="0.25">
      <c r="A390" s="197" t="s">
        <v>6</v>
      </c>
      <c r="B390" s="214" t="s">
        <v>578</v>
      </c>
      <c r="C390" s="385"/>
      <c r="D390" s="197" t="s">
        <v>579</v>
      </c>
      <c r="E390" s="307"/>
      <c r="F390" s="248"/>
      <c r="G390" s="290"/>
      <c r="H390" s="249"/>
      <c r="I390" s="250"/>
    </row>
    <row r="392" spans="1:9" x14ac:dyDescent="0.25">
      <c r="A392" s="206" t="s">
        <v>7</v>
      </c>
      <c r="B392" s="214" t="s">
        <v>678</v>
      </c>
      <c r="C392" s="205">
        <v>0</v>
      </c>
      <c r="D392" s="206" t="s">
        <v>22</v>
      </c>
      <c r="E392" s="304">
        <v>750</v>
      </c>
      <c r="F392" s="289">
        <f>C392*E392</f>
        <v>0</v>
      </c>
      <c r="G392" s="289"/>
      <c r="H392" s="284"/>
    </row>
    <row r="394" spans="1:9" x14ac:dyDescent="0.25">
      <c r="A394" s="206" t="s">
        <v>8</v>
      </c>
      <c r="B394" s="214" t="s">
        <v>580</v>
      </c>
      <c r="D394" s="206" t="s">
        <v>22</v>
      </c>
      <c r="E394" s="304">
        <v>750</v>
      </c>
      <c r="F394" s="289">
        <f>C394*E394</f>
        <v>0</v>
      </c>
      <c r="G394" s="289"/>
      <c r="H394" s="284"/>
    </row>
    <row r="395" spans="1:9" ht="12.75" customHeight="1" x14ac:dyDescent="0.25">
      <c r="F395" s="289"/>
      <c r="G395" s="289"/>
    </row>
    <row r="396" spans="1:9" x14ac:dyDescent="0.25">
      <c r="A396" s="206" t="s">
        <v>9</v>
      </c>
      <c r="B396" s="214" t="s">
        <v>188</v>
      </c>
      <c r="D396" s="206" t="s">
        <v>22</v>
      </c>
      <c r="E396" s="304">
        <f>E394</f>
        <v>750</v>
      </c>
      <c r="F396" s="289">
        <f>C396*E396</f>
        <v>0</v>
      </c>
      <c r="G396" s="289"/>
      <c r="H396" s="284"/>
    </row>
    <row r="397" spans="1:9" ht="12.75" customHeight="1" x14ac:dyDescent="0.25"/>
    <row r="398" spans="1:9" x14ac:dyDescent="0.25">
      <c r="A398" s="206" t="s">
        <v>10</v>
      </c>
      <c r="B398" s="214" t="s">
        <v>581</v>
      </c>
      <c r="D398" s="206" t="s">
        <v>22</v>
      </c>
      <c r="E398" s="304">
        <f>E396</f>
        <v>750</v>
      </c>
      <c r="F398" s="289">
        <f>C398*E398</f>
        <v>0</v>
      </c>
      <c r="G398" s="289"/>
      <c r="H398" s="284"/>
    </row>
    <row r="399" spans="1:9" ht="12.75" customHeight="1" x14ac:dyDescent="0.25">
      <c r="F399" s="289"/>
      <c r="G399" s="289"/>
    </row>
    <row r="400" spans="1:9" x14ac:dyDescent="0.25">
      <c r="A400" s="206" t="s">
        <v>11</v>
      </c>
      <c r="B400" s="214" t="s">
        <v>191</v>
      </c>
      <c r="D400" s="206" t="s">
        <v>22</v>
      </c>
      <c r="E400" s="304">
        <v>550</v>
      </c>
      <c r="F400" s="289">
        <f>C400*E400</f>
        <v>0</v>
      </c>
      <c r="G400" s="289"/>
      <c r="H400" s="284"/>
    </row>
    <row r="401" spans="1:8" x14ac:dyDescent="0.25">
      <c r="F401" s="289"/>
      <c r="G401" s="289"/>
      <c r="H401" s="284"/>
    </row>
    <row r="402" spans="1:8" x14ac:dyDescent="0.25">
      <c r="A402" s="206" t="s">
        <v>12</v>
      </c>
      <c r="B402" s="214" t="s">
        <v>679</v>
      </c>
      <c r="D402" s="206" t="s">
        <v>22</v>
      </c>
      <c r="E402" s="304">
        <v>550</v>
      </c>
      <c r="F402" s="289">
        <f>C402*E402</f>
        <v>0</v>
      </c>
      <c r="G402" s="289"/>
      <c r="H402" s="284"/>
    </row>
    <row r="403" spans="1:8" x14ac:dyDescent="0.25">
      <c r="F403" s="289"/>
      <c r="G403" s="289"/>
      <c r="H403" s="284"/>
    </row>
    <row r="404" spans="1:8" ht="12.6" customHeight="1" x14ac:dyDescent="0.25">
      <c r="F404" s="289"/>
      <c r="G404" s="289"/>
      <c r="H404" s="284"/>
    </row>
    <row r="405" spans="1:8" x14ac:dyDescent="0.25">
      <c r="B405" s="211" t="s">
        <v>84</v>
      </c>
      <c r="C405" s="221"/>
      <c r="D405" s="209"/>
      <c r="E405" s="303"/>
      <c r="F405" s="286"/>
      <c r="G405" s="286"/>
      <c r="H405" s="284"/>
    </row>
    <row r="406" spans="1:8" x14ac:dyDescent="0.25">
      <c r="B406" s="226"/>
      <c r="C406" s="221"/>
      <c r="D406" s="209"/>
      <c r="E406" s="303"/>
      <c r="F406" s="286"/>
      <c r="G406" s="286"/>
      <c r="H406" s="284"/>
    </row>
    <row r="407" spans="1:8" ht="32.25" customHeight="1" x14ac:dyDescent="0.25">
      <c r="B407" s="224" t="s">
        <v>582</v>
      </c>
      <c r="C407" s="221"/>
      <c r="D407" s="209"/>
      <c r="E407" s="303"/>
      <c r="F407" s="286"/>
      <c r="G407" s="286"/>
      <c r="H407" s="284"/>
    </row>
    <row r="408" spans="1:8" x14ac:dyDescent="0.25">
      <c r="B408" s="224"/>
      <c r="C408" s="221"/>
      <c r="D408" s="209"/>
      <c r="E408" s="303"/>
      <c r="F408" s="286"/>
      <c r="G408" s="286"/>
      <c r="H408" s="284"/>
    </row>
    <row r="409" spans="1:8" x14ac:dyDescent="0.25">
      <c r="A409" s="206" t="s">
        <v>13</v>
      </c>
      <c r="B409" s="218" t="s">
        <v>680</v>
      </c>
      <c r="C409" s="262">
        <v>89</v>
      </c>
      <c r="D409" s="206" t="s">
        <v>511</v>
      </c>
      <c r="E409" s="304">
        <v>7500</v>
      </c>
      <c r="F409" s="207">
        <f>C409*E409</f>
        <v>667500</v>
      </c>
      <c r="H409" s="284"/>
    </row>
    <row r="410" spans="1:8" x14ac:dyDescent="0.25">
      <c r="H410" s="284"/>
    </row>
    <row r="411" spans="1:8" x14ac:dyDescent="0.25">
      <c r="B411" s="211" t="s">
        <v>147</v>
      </c>
      <c r="F411" s="230"/>
      <c r="G411" s="230"/>
      <c r="H411" s="284"/>
    </row>
    <row r="412" spans="1:8" ht="12.95" customHeight="1" x14ac:dyDescent="0.25">
      <c r="F412" s="230"/>
      <c r="G412" s="230"/>
      <c r="H412" s="284"/>
    </row>
    <row r="413" spans="1:8" ht="30" x14ac:dyDescent="0.25">
      <c r="B413" s="224" t="s">
        <v>583</v>
      </c>
      <c r="F413" s="230"/>
      <c r="G413" s="230"/>
      <c r="H413" s="284"/>
    </row>
    <row r="414" spans="1:8" ht="16.5" customHeight="1" x14ac:dyDescent="0.25">
      <c r="B414" s="224"/>
      <c r="F414" s="230"/>
      <c r="G414" s="230"/>
      <c r="H414" s="284"/>
    </row>
    <row r="415" spans="1:8" ht="19.5" customHeight="1" x14ac:dyDescent="0.25">
      <c r="A415" s="206" t="s">
        <v>14</v>
      </c>
      <c r="B415" s="233" t="s">
        <v>24</v>
      </c>
      <c r="C415" s="205">
        <f>C409</f>
        <v>89</v>
      </c>
      <c r="D415" s="206" t="s">
        <v>511</v>
      </c>
      <c r="E415" s="304">
        <f>E268</f>
        <v>1890</v>
      </c>
      <c r="F415" s="207">
        <f>C415*E415</f>
        <v>168210</v>
      </c>
      <c r="H415" s="284"/>
    </row>
    <row r="416" spans="1:8" x14ac:dyDescent="0.25">
      <c r="B416" s="233"/>
      <c r="H416" s="284"/>
    </row>
    <row r="417" spans="1:8" x14ac:dyDescent="0.25">
      <c r="A417" s="206" t="s">
        <v>15</v>
      </c>
      <c r="B417" s="214" t="s">
        <v>584</v>
      </c>
      <c r="D417" s="206" t="s">
        <v>511</v>
      </c>
      <c r="E417" s="304">
        <f>E415</f>
        <v>1890</v>
      </c>
      <c r="F417" s="207">
        <f>C417*E417</f>
        <v>0</v>
      </c>
      <c r="H417" s="284"/>
    </row>
    <row r="418" spans="1:8" ht="14.25" customHeight="1" x14ac:dyDescent="0.25">
      <c r="H418" s="284"/>
    </row>
    <row r="419" spans="1:8" x14ac:dyDescent="0.25">
      <c r="B419" s="211" t="s">
        <v>585</v>
      </c>
      <c r="H419" s="284"/>
    </row>
    <row r="420" spans="1:8" x14ac:dyDescent="0.25">
      <c r="H420" s="284"/>
    </row>
    <row r="421" spans="1:8" x14ac:dyDescent="0.25">
      <c r="B421" s="219" t="s">
        <v>560</v>
      </c>
      <c r="F421" s="230"/>
      <c r="G421" s="230"/>
      <c r="H421" s="284"/>
    </row>
    <row r="422" spans="1:8" x14ac:dyDescent="0.25">
      <c r="B422" s="219"/>
      <c r="F422" s="230"/>
      <c r="G422" s="230"/>
      <c r="H422" s="284"/>
    </row>
    <row r="423" spans="1:8" x14ac:dyDescent="0.25">
      <c r="A423" s="206" t="s">
        <v>16</v>
      </c>
      <c r="B423" s="233" t="s">
        <v>586</v>
      </c>
      <c r="C423" s="205">
        <f>C357</f>
        <v>15</v>
      </c>
      <c r="D423" s="206" t="s">
        <v>511</v>
      </c>
      <c r="E423" s="304">
        <v>2650</v>
      </c>
      <c r="F423" s="207">
        <f>C423*E423</f>
        <v>39750</v>
      </c>
      <c r="H423" s="284"/>
    </row>
    <row r="424" spans="1:8" x14ac:dyDescent="0.25">
      <c r="B424" s="233"/>
      <c r="H424" s="284"/>
    </row>
    <row r="425" spans="1:8" x14ac:dyDescent="0.25">
      <c r="B425" s="233"/>
      <c r="H425" s="284"/>
    </row>
    <row r="426" spans="1:8" x14ac:dyDescent="0.25">
      <c r="B426" s="220" t="s">
        <v>520</v>
      </c>
      <c r="C426" s="221"/>
      <c r="D426" s="209"/>
      <c r="E426" s="303" t="s">
        <v>15</v>
      </c>
      <c r="F426" s="222">
        <f>SUM(F378:F424)</f>
        <v>2629650</v>
      </c>
      <c r="G426" s="222"/>
      <c r="H426" s="284"/>
    </row>
    <row r="427" spans="1:8" x14ac:dyDescent="0.25">
      <c r="B427" s="210" t="s">
        <v>573</v>
      </c>
      <c r="H427" s="284"/>
    </row>
    <row r="428" spans="1:8" x14ac:dyDescent="0.25">
      <c r="B428" s="233"/>
      <c r="H428" s="284"/>
    </row>
    <row r="429" spans="1:8" x14ac:dyDescent="0.25">
      <c r="B429" s="210" t="s">
        <v>587</v>
      </c>
      <c r="C429" s="251"/>
      <c r="H429" s="284"/>
    </row>
    <row r="430" spans="1:8" x14ac:dyDescent="0.25">
      <c r="B430" s="219"/>
      <c r="C430" s="251"/>
      <c r="H430" s="284"/>
    </row>
    <row r="431" spans="1:8" x14ac:dyDescent="0.25">
      <c r="B431" s="252" t="s">
        <v>588</v>
      </c>
      <c r="C431" s="251"/>
      <c r="H431" s="284"/>
    </row>
    <row r="432" spans="1:8" x14ac:dyDescent="0.25">
      <c r="B432" s="244"/>
      <c r="C432" s="251"/>
      <c r="H432" s="284"/>
    </row>
    <row r="433" spans="1:9" x14ac:dyDescent="0.25">
      <c r="A433" s="206" t="s">
        <v>2</v>
      </c>
      <c r="B433" s="253" t="s">
        <v>589</v>
      </c>
      <c r="C433" s="205">
        <f>C423</f>
        <v>15</v>
      </c>
      <c r="D433" s="206" t="s">
        <v>511</v>
      </c>
      <c r="E433" s="304">
        <v>5500</v>
      </c>
      <c r="F433" s="207">
        <f>C433*E433</f>
        <v>82500</v>
      </c>
      <c r="H433" s="284"/>
    </row>
    <row r="434" spans="1:9" ht="14.25" customHeight="1" x14ac:dyDescent="0.25">
      <c r="B434" s="254"/>
      <c r="H434" s="284"/>
    </row>
    <row r="435" spans="1:9" x14ac:dyDescent="0.25">
      <c r="A435" s="206" t="s">
        <v>4</v>
      </c>
      <c r="B435" s="233" t="s">
        <v>590</v>
      </c>
      <c r="C435" s="205">
        <f>C415</f>
        <v>89</v>
      </c>
      <c r="D435" s="206" t="s">
        <v>511</v>
      </c>
      <c r="E435" s="304">
        <f>E433</f>
        <v>5500</v>
      </c>
      <c r="F435" s="207">
        <f>C435*E435</f>
        <v>489500</v>
      </c>
      <c r="H435" s="284"/>
    </row>
    <row r="436" spans="1:9" ht="12" customHeight="1" x14ac:dyDescent="0.25">
      <c r="B436" s="233"/>
      <c r="H436" s="284"/>
    </row>
    <row r="437" spans="1:9" x14ac:dyDescent="0.25">
      <c r="A437" s="206" t="s">
        <v>5</v>
      </c>
      <c r="B437" s="233" t="s">
        <v>591</v>
      </c>
      <c r="D437" s="206" t="s">
        <v>3</v>
      </c>
      <c r="E437" s="304">
        <v>24000</v>
      </c>
      <c r="F437" s="207">
        <f>C437*E437</f>
        <v>0</v>
      </c>
      <c r="H437" s="284"/>
    </row>
    <row r="438" spans="1:9" x14ac:dyDescent="0.25">
      <c r="B438" s="233"/>
      <c r="H438" s="284"/>
    </row>
    <row r="439" spans="1:9" s="269" customFormat="1" x14ac:dyDescent="0.25">
      <c r="A439" s="265"/>
      <c r="B439" s="266" t="s">
        <v>615</v>
      </c>
      <c r="C439" s="267"/>
      <c r="D439" s="265"/>
      <c r="E439" s="304"/>
      <c r="F439" s="268"/>
      <c r="I439" s="259"/>
    </row>
    <row r="440" spans="1:9" s="269" customFormat="1" ht="30" x14ac:dyDescent="0.25">
      <c r="A440" s="265"/>
      <c r="B440" s="270" t="s">
        <v>616</v>
      </c>
      <c r="C440" s="267"/>
      <c r="D440" s="265"/>
      <c r="E440" s="304"/>
      <c r="F440" s="268"/>
      <c r="I440" s="259"/>
    </row>
    <row r="441" spans="1:9" s="269" customFormat="1" x14ac:dyDescent="0.25">
      <c r="A441" s="265" t="s">
        <v>6</v>
      </c>
      <c r="B441" s="233" t="s">
        <v>24</v>
      </c>
      <c r="C441" s="262">
        <f>C435</f>
        <v>89</v>
      </c>
      <c r="D441" s="265" t="s">
        <v>35</v>
      </c>
      <c r="E441" s="304">
        <v>1400</v>
      </c>
      <c r="F441" s="268">
        <f>E441*C441</f>
        <v>124600</v>
      </c>
      <c r="I441" s="259"/>
    </row>
    <row r="442" spans="1:9" s="269" customFormat="1" x14ac:dyDescent="0.25">
      <c r="A442" s="265"/>
      <c r="B442" s="233"/>
      <c r="C442" s="262"/>
      <c r="D442" s="265"/>
      <c r="E442" s="304"/>
      <c r="F442" s="268"/>
      <c r="I442" s="259"/>
    </row>
    <row r="443" spans="1:9" s="269" customFormat="1" ht="24" customHeight="1" x14ac:dyDescent="0.25">
      <c r="A443" s="265" t="s">
        <v>7</v>
      </c>
      <c r="B443" s="214" t="s">
        <v>584</v>
      </c>
      <c r="C443" s="262">
        <f>C425</f>
        <v>0</v>
      </c>
      <c r="D443" s="265" t="s">
        <v>22</v>
      </c>
      <c r="E443" s="304">
        <v>590</v>
      </c>
      <c r="F443" s="268">
        <f>E443*C443</f>
        <v>0</v>
      </c>
      <c r="I443" s="259"/>
    </row>
    <row r="444" spans="1:9" x14ac:dyDescent="0.25">
      <c r="B444" s="211" t="s">
        <v>592</v>
      </c>
    </row>
    <row r="446" spans="1:9" ht="30" x14ac:dyDescent="0.25">
      <c r="B446" s="224" t="s">
        <v>681</v>
      </c>
    </row>
    <row r="448" spans="1:9" x14ac:dyDescent="0.25">
      <c r="A448" s="206" t="s">
        <v>8</v>
      </c>
      <c r="B448" s="233" t="s">
        <v>24</v>
      </c>
      <c r="C448" s="205">
        <f>C409</f>
        <v>89</v>
      </c>
      <c r="D448" s="206" t="s">
        <v>35</v>
      </c>
      <c r="E448" s="304">
        <v>2200</v>
      </c>
      <c r="F448" s="289">
        <f>C448*E448</f>
        <v>195800</v>
      </c>
      <c r="G448" s="289"/>
      <c r="H448" s="284"/>
    </row>
    <row r="449" spans="1:8" x14ac:dyDescent="0.25">
      <c r="B449" s="233"/>
      <c r="F449" s="289"/>
      <c r="G449" s="289"/>
      <c r="H449" s="284"/>
    </row>
    <row r="450" spans="1:8" x14ac:dyDescent="0.25">
      <c r="A450" s="206" t="s">
        <v>9</v>
      </c>
      <c r="B450" s="214" t="s">
        <v>584</v>
      </c>
      <c r="D450" s="206" t="s">
        <v>35</v>
      </c>
      <c r="E450" s="304">
        <f>E448</f>
        <v>2200</v>
      </c>
      <c r="F450" s="289">
        <f>C450*E450</f>
        <v>0</v>
      </c>
      <c r="G450" s="289"/>
      <c r="H450" s="284"/>
    </row>
    <row r="451" spans="1:8" x14ac:dyDescent="0.25">
      <c r="F451" s="289"/>
      <c r="G451" s="289"/>
      <c r="H451" s="284"/>
    </row>
    <row r="452" spans="1:8" x14ac:dyDescent="0.25">
      <c r="B452" s="220" t="s">
        <v>520</v>
      </c>
      <c r="C452" s="221"/>
      <c r="D452" s="209"/>
      <c r="E452" s="303" t="s">
        <v>15</v>
      </c>
      <c r="F452" s="286">
        <f>SUM(F429:F451)</f>
        <v>892400</v>
      </c>
      <c r="G452" s="286"/>
    </row>
    <row r="453" spans="1:8" x14ac:dyDescent="0.25">
      <c r="B453" s="220"/>
      <c r="C453" s="221"/>
      <c r="D453" s="209"/>
      <c r="E453" s="303"/>
      <c r="F453" s="286"/>
      <c r="G453" s="286"/>
    </row>
    <row r="454" spans="1:8" x14ac:dyDescent="0.25">
      <c r="B454" s="220"/>
      <c r="C454" s="221"/>
      <c r="D454" s="209"/>
      <c r="E454" s="303"/>
      <c r="F454" s="286"/>
      <c r="G454" s="286"/>
    </row>
    <row r="455" spans="1:8" x14ac:dyDescent="0.25">
      <c r="B455" s="210" t="s">
        <v>531</v>
      </c>
      <c r="F455" s="230"/>
      <c r="G455" s="230"/>
    </row>
    <row r="456" spans="1:8" x14ac:dyDescent="0.25">
      <c r="B456" s="219"/>
      <c r="F456" s="230"/>
      <c r="G456" s="230"/>
    </row>
    <row r="457" spans="1:8" x14ac:dyDescent="0.25">
      <c r="B457" s="231" t="s">
        <v>457</v>
      </c>
      <c r="E457" s="304">
        <f>F375</f>
        <v>5071720</v>
      </c>
      <c r="F457" s="230"/>
      <c r="G457" s="230"/>
    </row>
    <row r="458" spans="1:8" x14ac:dyDescent="0.25">
      <c r="B458" s="231"/>
      <c r="F458" s="230"/>
      <c r="G458" s="230"/>
    </row>
    <row r="459" spans="1:8" x14ac:dyDescent="0.25">
      <c r="B459" s="231" t="s">
        <v>458</v>
      </c>
      <c r="E459" s="304">
        <f>F426</f>
        <v>2629650</v>
      </c>
      <c r="F459" s="230"/>
      <c r="G459" s="230"/>
    </row>
    <row r="460" spans="1:8" x14ac:dyDescent="0.25">
      <c r="B460" s="231"/>
    </row>
    <row r="461" spans="1:8" x14ac:dyDescent="0.25">
      <c r="B461" s="231" t="s">
        <v>459</v>
      </c>
      <c r="E461" s="304">
        <f>F452</f>
        <v>892400</v>
      </c>
    </row>
    <row r="462" spans="1:8" x14ac:dyDescent="0.25">
      <c r="B462" s="233"/>
    </row>
    <row r="463" spans="1:8" x14ac:dyDescent="0.25">
      <c r="B463" s="233"/>
    </row>
    <row r="464" spans="1:8" x14ac:dyDescent="0.25">
      <c r="B464" s="233"/>
    </row>
    <row r="465" spans="1:10" x14ac:dyDescent="0.25">
      <c r="B465" s="233"/>
    </row>
    <row r="466" spans="1:10" x14ac:dyDescent="0.25">
      <c r="B466" s="233"/>
    </row>
    <row r="467" spans="1:10" x14ac:dyDescent="0.25">
      <c r="B467" s="233"/>
    </row>
    <row r="468" spans="1:10" x14ac:dyDescent="0.25">
      <c r="B468" s="233"/>
    </row>
    <row r="469" spans="1:10" x14ac:dyDescent="0.25">
      <c r="B469" s="233"/>
    </row>
    <row r="470" spans="1:10" x14ac:dyDescent="0.25">
      <c r="B470" s="210" t="s">
        <v>163</v>
      </c>
      <c r="F470" s="230"/>
      <c r="G470" s="230"/>
    </row>
    <row r="471" spans="1:10" x14ac:dyDescent="0.25">
      <c r="B471" s="220" t="s">
        <v>534</v>
      </c>
      <c r="C471" s="221"/>
      <c r="D471" s="209"/>
      <c r="E471" s="303" t="s">
        <v>15</v>
      </c>
      <c r="F471" s="286">
        <f>SUM(E455:E463)</f>
        <v>8593770</v>
      </c>
      <c r="G471" s="286"/>
    </row>
    <row r="472" spans="1:10" x14ac:dyDescent="0.25">
      <c r="B472" s="204" t="s">
        <v>593</v>
      </c>
      <c r="F472" s="230"/>
      <c r="G472" s="230"/>
    </row>
    <row r="473" spans="1:10" x14ac:dyDescent="0.25">
      <c r="F473" s="230"/>
      <c r="G473" s="230"/>
    </row>
    <row r="474" spans="1:10" x14ac:dyDescent="0.25">
      <c r="B474" s="210" t="s">
        <v>195</v>
      </c>
      <c r="F474" s="230"/>
      <c r="G474" s="230"/>
    </row>
    <row r="475" spans="1:10" x14ac:dyDescent="0.25">
      <c r="B475" s="210"/>
      <c r="F475" s="230"/>
      <c r="G475" s="230"/>
    </row>
    <row r="476" spans="1:10" x14ac:dyDescent="0.25">
      <c r="B476" s="211" t="s">
        <v>84</v>
      </c>
      <c r="C476" s="221"/>
      <c r="D476" s="209"/>
      <c r="E476" s="303"/>
      <c r="F476" s="286"/>
      <c r="G476" s="286"/>
    </row>
    <row r="477" spans="1:10" x14ac:dyDescent="0.25">
      <c r="B477" s="226"/>
      <c r="C477" s="221"/>
      <c r="D477" s="209"/>
      <c r="E477" s="303"/>
      <c r="F477" s="286"/>
      <c r="G477" s="286"/>
      <c r="J477" s="214"/>
    </row>
    <row r="478" spans="1:10" ht="30" x14ac:dyDescent="0.25">
      <c r="B478" s="224" t="s">
        <v>594</v>
      </c>
      <c r="C478" s="221"/>
      <c r="D478" s="209"/>
      <c r="E478" s="303"/>
      <c r="F478" s="286"/>
      <c r="G478" s="286"/>
      <c r="J478" s="214"/>
    </row>
    <row r="479" spans="1:10" x14ac:dyDescent="0.25">
      <c r="B479" s="224"/>
      <c r="C479" s="221"/>
      <c r="D479" s="209"/>
      <c r="E479" s="303"/>
      <c r="F479" s="286"/>
      <c r="G479" s="286"/>
      <c r="I479" s="208">
        <v>647</v>
      </c>
      <c r="J479" s="214"/>
    </row>
    <row r="480" spans="1:10" x14ac:dyDescent="0.25">
      <c r="A480" s="206" t="s">
        <v>2</v>
      </c>
      <c r="B480" s="214" t="s">
        <v>595</v>
      </c>
      <c r="C480" s="205">
        <f>'[30]Take off'!D474*2</f>
        <v>407.18999999999994</v>
      </c>
      <c r="D480" s="206" t="s">
        <v>511</v>
      </c>
      <c r="E480" s="304">
        <f>E409</f>
        <v>7500</v>
      </c>
      <c r="F480" s="289">
        <f>C480*E480</f>
        <v>3053924.9999999995</v>
      </c>
      <c r="G480" s="289"/>
      <c r="I480" s="255" t="e">
        <f>I479-#REF!</f>
        <v>#REF!</v>
      </c>
      <c r="J480" s="214"/>
    </row>
    <row r="481" spans="1:10" x14ac:dyDescent="0.25">
      <c r="B481" s="210"/>
      <c r="F481" s="291"/>
      <c r="G481" s="291"/>
      <c r="H481" s="284"/>
      <c r="J481" s="214"/>
    </row>
    <row r="482" spans="1:10" x14ac:dyDescent="0.25">
      <c r="A482" s="206" t="s">
        <v>4</v>
      </c>
      <c r="B482" s="214" t="s">
        <v>596</v>
      </c>
      <c r="D482" s="206" t="s">
        <v>511</v>
      </c>
      <c r="E482" s="304">
        <v>7000</v>
      </c>
      <c r="F482" s="289">
        <f>C482*E482</f>
        <v>0</v>
      </c>
      <c r="G482" s="289"/>
      <c r="J482" s="214"/>
    </row>
    <row r="483" spans="1:10" x14ac:dyDescent="0.25">
      <c r="C483" s="256"/>
      <c r="F483" s="257"/>
      <c r="G483" s="257"/>
      <c r="J483" s="214"/>
    </row>
    <row r="484" spans="1:10" x14ac:dyDescent="0.25">
      <c r="B484" s="211" t="s">
        <v>98</v>
      </c>
      <c r="F484" s="230"/>
      <c r="G484" s="230"/>
      <c r="J484" s="214"/>
    </row>
    <row r="485" spans="1:10" x14ac:dyDescent="0.25">
      <c r="F485" s="230"/>
      <c r="G485" s="230"/>
      <c r="J485" s="214"/>
    </row>
    <row r="486" spans="1:10" ht="17.25" customHeight="1" x14ac:dyDescent="0.25">
      <c r="B486" s="219" t="s">
        <v>666</v>
      </c>
      <c r="F486" s="230"/>
      <c r="G486" s="230"/>
      <c r="J486" s="214"/>
    </row>
    <row r="487" spans="1:10" ht="14.25" customHeight="1" x14ac:dyDescent="0.25">
      <c r="B487" s="219"/>
      <c r="F487" s="230"/>
      <c r="G487" s="230"/>
      <c r="J487" s="214"/>
    </row>
    <row r="488" spans="1:10" x14ac:dyDescent="0.25">
      <c r="A488" s="206" t="s">
        <v>5</v>
      </c>
      <c r="B488" s="214" t="s">
        <v>597</v>
      </c>
      <c r="C488" s="205">
        <f>'[30]Take off'!H475*2</f>
        <v>5.8454500000000005</v>
      </c>
      <c r="D488" s="206" t="s">
        <v>513</v>
      </c>
      <c r="E488" s="304">
        <f>E111</f>
        <v>94000</v>
      </c>
      <c r="F488" s="230">
        <f>C488*E488</f>
        <v>549472.30000000005</v>
      </c>
      <c r="G488" s="230"/>
      <c r="H488" s="284"/>
      <c r="J488" s="214"/>
    </row>
    <row r="489" spans="1:10" x14ac:dyDescent="0.25">
      <c r="F489" s="230"/>
      <c r="G489" s="230"/>
      <c r="J489" s="214"/>
    </row>
    <row r="490" spans="1:10" x14ac:dyDescent="0.25">
      <c r="B490" s="211" t="s">
        <v>102</v>
      </c>
      <c r="F490" s="230"/>
      <c r="G490" s="230"/>
      <c r="J490" s="214"/>
    </row>
    <row r="491" spans="1:10" ht="14.25" customHeight="1" x14ac:dyDescent="0.25">
      <c r="B491" s="219"/>
      <c r="F491" s="230"/>
      <c r="G491" s="230"/>
      <c r="J491" s="214"/>
    </row>
    <row r="492" spans="1:10" x14ac:dyDescent="0.25">
      <c r="B492" s="219" t="s">
        <v>598</v>
      </c>
      <c r="F492" s="230"/>
      <c r="G492" s="230"/>
      <c r="J492" s="214"/>
    </row>
    <row r="493" spans="1:10" ht="12.75" customHeight="1" x14ac:dyDescent="0.25">
      <c r="F493" s="230"/>
      <c r="G493" s="230"/>
      <c r="J493" s="214"/>
    </row>
    <row r="494" spans="1:10" x14ac:dyDescent="0.25">
      <c r="A494" s="206" t="s">
        <v>6</v>
      </c>
      <c r="B494" s="214" t="s">
        <v>571</v>
      </c>
      <c r="C494" s="205">
        <v>401</v>
      </c>
      <c r="D494" s="206" t="s">
        <v>75</v>
      </c>
      <c r="E494" s="304">
        <f>E351</f>
        <v>770</v>
      </c>
      <c r="F494" s="230">
        <f>C494*E494</f>
        <v>308770</v>
      </c>
      <c r="G494" s="230"/>
      <c r="H494" s="284"/>
      <c r="J494" s="214"/>
    </row>
    <row r="495" spans="1:10" x14ac:dyDescent="0.25">
      <c r="F495" s="230"/>
      <c r="G495" s="230"/>
      <c r="J495" s="214"/>
    </row>
    <row r="496" spans="1:10" x14ac:dyDescent="0.25">
      <c r="A496" s="206" t="s">
        <v>7</v>
      </c>
      <c r="B496" s="214" t="s">
        <v>599</v>
      </c>
      <c r="C496" s="205">
        <v>169</v>
      </c>
      <c r="D496" s="206" t="s">
        <v>75</v>
      </c>
      <c r="E496" s="304">
        <f>E494</f>
        <v>770</v>
      </c>
      <c r="F496" s="230">
        <f>C496*E496</f>
        <v>130130</v>
      </c>
      <c r="G496" s="230"/>
      <c r="H496" s="284"/>
      <c r="J496" s="214"/>
    </row>
    <row r="497" spans="1:10" ht="14.25" customHeight="1" x14ac:dyDescent="0.25">
      <c r="F497" s="230"/>
      <c r="G497" s="230"/>
      <c r="J497" s="214"/>
    </row>
    <row r="498" spans="1:10" x14ac:dyDescent="0.25">
      <c r="B498" s="211" t="s">
        <v>67</v>
      </c>
      <c r="F498" s="230"/>
      <c r="G498" s="230"/>
    </row>
    <row r="499" spans="1:10" ht="15" customHeight="1" x14ac:dyDescent="0.25">
      <c r="F499" s="230"/>
      <c r="G499" s="230"/>
    </row>
    <row r="500" spans="1:10" x14ac:dyDescent="0.25">
      <c r="B500" s="219" t="s">
        <v>120</v>
      </c>
      <c r="F500" s="230"/>
      <c r="G500" s="230"/>
    </row>
    <row r="501" spans="1:10" ht="9.75" customHeight="1" x14ac:dyDescent="0.25">
      <c r="F501" s="230"/>
      <c r="G501" s="230"/>
    </row>
    <row r="502" spans="1:10" x14ac:dyDescent="0.25">
      <c r="A502" s="206" t="s">
        <v>8</v>
      </c>
      <c r="B502" s="214" t="s">
        <v>600</v>
      </c>
      <c r="C502" s="205">
        <f>'[30]Take off'!L474*2</f>
        <v>76.245000000000005</v>
      </c>
      <c r="D502" s="206" t="s">
        <v>511</v>
      </c>
      <c r="E502" s="304">
        <f>E358</f>
        <v>6600</v>
      </c>
      <c r="F502" s="230">
        <f>C502*E502</f>
        <v>503217.00000000006</v>
      </c>
      <c r="G502" s="230"/>
      <c r="H502" s="284"/>
    </row>
    <row r="503" spans="1:10" x14ac:dyDescent="0.25">
      <c r="B503" s="219"/>
      <c r="F503" s="227"/>
      <c r="G503" s="227"/>
    </row>
    <row r="504" spans="1:10" x14ac:dyDescent="0.25">
      <c r="F504" s="261"/>
      <c r="G504" s="261"/>
    </row>
    <row r="505" spans="1:10" x14ac:dyDescent="0.25">
      <c r="F505" s="227"/>
      <c r="G505" s="227"/>
    </row>
    <row r="506" spans="1:10" x14ac:dyDescent="0.25">
      <c r="B506" s="219"/>
      <c r="F506" s="230"/>
      <c r="G506" s="230"/>
    </row>
    <row r="507" spans="1:10" x14ac:dyDescent="0.25">
      <c r="B507" s="219"/>
      <c r="F507" s="230"/>
      <c r="G507" s="230"/>
    </row>
    <row r="508" spans="1:10" x14ac:dyDescent="0.25">
      <c r="B508" s="224"/>
      <c r="F508" s="230"/>
      <c r="G508" s="230"/>
    </row>
    <row r="509" spans="1:10" x14ac:dyDescent="0.25">
      <c r="B509" s="224"/>
      <c r="F509" s="257"/>
      <c r="G509" s="257"/>
    </row>
    <row r="510" spans="1:10" x14ac:dyDescent="0.25">
      <c r="F510" s="257"/>
      <c r="G510" s="257"/>
    </row>
    <row r="511" spans="1:10" x14ac:dyDescent="0.25">
      <c r="F511" s="257"/>
      <c r="G511" s="257"/>
    </row>
    <row r="512" spans="1:10" x14ac:dyDescent="0.25">
      <c r="B512" s="210"/>
      <c r="F512" s="291"/>
      <c r="G512" s="291"/>
    </row>
    <row r="513" spans="1:20" x14ac:dyDescent="0.25">
      <c r="C513" s="256"/>
      <c r="F513" s="257"/>
      <c r="G513" s="257"/>
    </row>
    <row r="514" spans="1:20" x14ac:dyDescent="0.25">
      <c r="C514" s="256"/>
      <c r="F514" s="257"/>
      <c r="G514" s="257"/>
    </row>
    <row r="515" spans="1:20" x14ac:dyDescent="0.25">
      <c r="B515" s="210" t="s">
        <v>195</v>
      </c>
      <c r="C515" s="221"/>
      <c r="D515" s="209"/>
      <c r="E515" s="303"/>
      <c r="F515" s="235"/>
      <c r="G515" s="235"/>
    </row>
    <row r="516" spans="1:20" ht="18.75" customHeight="1" x14ac:dyDescent="0.25">
      <c r="B516" s="220" t="s">
        <v>534</v>
      </c>
      <c r="C516" s="221"/>
      <c r="D516" s="209"/>
      <c r="E516" s="303" t="s">
        <v>15</v>
      </c>
      <c r="F516" s="235">
        <f>SUM(F478:F515)</f>
        <v>4545514.3</v>
      </c>
      <c r="G516" s="235"/>
    </row>
    <row r="517" spans="1:20" x14ac:dyDescent="0.25">
      <c r="B517" s="210" t="s">
        <v>601</v>
      </c>
      <c r="F517" s="230"/>
      <c r="G517" s="230"/>
    </row>
    <row r="518" spans="1:20" ht="8.25" customHeight="1" x14ac:dyDescent="0.25">
      <c r="B518" s="220"/>
      <c r="F518" s="230"/>
      <c r="G518" s="230"/>
    </row>
    <row r="519" spans="1:20" x14ac:dyDescent="0.25">
      <c r="B519" s="210" t="s">
        <v>602</v>
      </c>
      <c r="F519" s="230"/>
      <c r="G519" s="230"/>
    </row>
    <row r="520" spans="1:20" ht="10.5" customHeight="1" x14ac:dyDescent="0.25">
      <c r="F520" s="230"/>
      <c r="G520" s="230"/>
    </row>
    <row r="521" spans="1:20" x14ac:dyDescent="0.25">
      <c r="B521" s="211" t="s">
        <v>203</v>
      </c>
      <c r="C521" s="221"/>
      <c r="D521" s="209"/>
      <c r="E521" s="303"/>
      <c r="F521" s="286"/>
      <c r="G521" s="286"/>
    </row>
    <row r="522" spans="1:20" ht="9" customHeight="1" x14ac:dyDescent="0.25">
      <c r="B522" s="220"/>
      <c r="C522" s="221"/>
      <c r="D522" s="209"/>
      <c r="E522" s="303"/>
      <c r="F522" s="286"/>
      <c r="G522" s="286"/>
    </row>
    <row r="523" spans="1:20" x14ac:dyDescent="0.25">
      <c r="B523" s="214" t="s">
        <v>603</v>
      </c>
      <c r="F523" s="230"/>
      <c r="G523" s="230"/>
    </row>
    <row r="524" spans="1:20" ht="91.5" customHeight="1" x14ac:dyDescent="0.25">
      <c r="B524" s="218" t="s">
        <v>708</v>
      </c>
      <c r="G524" s="230">
        <v>175000</v>
      </c>
      <c r="K524" s="214"/>
      <c r="L524" s="206"/>
      <c r="M524" s="206"/>
      <c r="P524" s="214"/>
      <c r="Q524" s="214"/>
      <c r="R524" s="214"/>
      <c r="S524" s="214"/>
      <c r="T524" s="214"/>
    </row>
    <row r="525" spans="1:20" ht="14.25" customHeight="1" x14ac:dyDescent="0.25">
      <c r="A525" s="206" t="s">
        <v>2</v>
      </c>
      <c r="B525" s="214" t="s">
        <v>888</v>
      </c>
      <c r="C525" s="205">
        <v>28</v>
      </c>
      <c r="D525" s="206" t="s">
        <v>3</v>
      </c>
      <c r="E525" s="304">
        <v>472500.00000000006</v>
      </c>
      <c r="F525" s="230">
        <f>E525*C525</f>
        <v>13230000.000000002</v>
      </c>
      <c r="G525" s="207">
        <f>1.8*1.5</f>
        <v>2.7</v>
      </c>
      <c r="H525" s="208">
        <f>G525*$G$524</f>
        <v>472500.00000000006</v>
      </c>
      <c r="I525" s="214"/>
      <c r="J525" s="214"/>
      <c r="K525" s="214"/>
      <c r="L525" s="214"/>
      <c r="M525" s="214"/>
      <c r="N525" s="214"/>
      <c r="O525" s="258"/>
      <c r="P525" s="259"/>
      <c r="Q525" s="259"/>
      <c r="R525" s="214"/>
    </row>
    <row r="526" spans="1:20" ht="14.25" customHeight="1" x14ac:dyDescent="0.25">
      <c r="F526" s="230"/>
      <c r="I526" s="214"/>
      <c r="J526" s="214"/>
      <c r="K526" s="214"/>
      <c r="L526" s="214"/>
      <c r="M526" s="214"/>
      <c r="N526" s="214"/>
      <c r="O526" s="258"/>
      <c r="P526" s="259"/>
      <c r="Q526" s="259"/>
      <c r="R526" s="214"/>
    </row>
    <row r="527" spans="1:20" ht="14.25" customHeight="1" x14ac:dyDescent="0.25">
      <c r="A527" s="206" t="s">
        <v>4</v>
      </c>
      <c r="B527" s="214" t="s">
        <v>889</v>
      </c>
      <c r="C527" s="205">
        <v>14</v>
      </c>
      <c r="D527" s="206" t="s">
        <v>3</v>
      </c>
      <c r="E527" s="304">
        <v>314999.99999999994</v>
      </c>
      <c r="F527" s="230">
        <f>E527*C527</f>
        <v>4409999.9999999991</v>
      </c>
      <c r="G527" s="207">
        <f>1.2*1.5</f>
        <v>1.7999999999999998</v>
      </c>
      <c r="H527" s="208">
        <f>G527*$G$524</f>
        <v>314999.99999999994</v>
      </c>
      <c r="I527" s="214"/>
      <c r="J527" s="214"/>
      <c r="K527" s="214"/>
      <c r="L527" s="214"/>
      <c r="M527" s="214"/>
      <c r="N527" s="214"/>
      <c r="O527" s="258"/>
      <c r="P527" s="259"/>
      <c r="Q527" s="259"/>
      <c r="R527" s="214"/>
    </row>
    <row r="528" spans="1:20" ht="14.25" customHeight="1" x14ac:dyDescent="0.25">
      <c r="F528" s="230"/>
      <c r="I528" s="214"/>
      <c r="J528" s="214"/>
      <c r="K528" s="214"/>
      <c r="L528" s="214"/>
      <c r="M528" s="214"/>
      <c r="N528" s="214"/>
      <c r="O528" s="214"/>
      <c r="P528" s="259"/>
      <c r="Q528" s="259"/>
      <c r="R528" s="214"/>
    </row>
    <row r="529" spans="1:20" ht="14.25" customHeight="1" x14ac:dyDescent="0.25">
      <c r="A529" s="206" t="s">
        <v>5</v>
      </c>
      <c r="B529" s="214" t="s">
        <v>890</v>
      </c>
      <c r="C529" s="205">
        <v>8</v>
      </c>
      <c r="D529" s="206" t="s">
        <v>3</v>
      </c>
      <c r="E529" s="304">
        <v>63000</v>
      </c>
      <c r="F529" s="230">
        <f>E529*C529</f>
        <v>504000</v>
      </c>
      <c r="G529" s="207">
        <f>0.6*0.6</f>
        <v>0.36</v>
      </c>
      <c r="H529" s="208">
        <f>G529*$G$524</f>
        <v>63000</v>
      </c>
      <c r="I529" s="214"/>
      <c r="J529" s="214"/>
      <c r="K529" s="214"/>
      <c r="L529" s="214"/>
      <c r="M529" s="214"/>
      <c r="N529" s="214"/>
      <c r="O529" s="258"/>
      <c r="P529" s="259"/>
      <c r="Q529" s="259"/>
      <c r="R529" s="214"/>
    </row>
    <row r="530" spans="1:20" ht="14.25" customHeight="1" x14ac:dyDescent="0.25">
      <c r="F530" s="230"/>
      <c r="I530" s="214"/>
      <c r="J530" s="214"/>
      <c r="K530" s="214"/>
      <c r="L530" s="214"/>
      <c r="M530" s="214"/>
      <c r="N530" s="214"/>
      <c r="O530" s="214"/>
      <c r="P530" s="259"/>
      <c r="Q530" s="259"/>
      <c r="R530" s="214"/>
    </row>
    <row r="531" spans="1:20" ht="14.25" customHeight="1" x14ac:dyDescent="0.25">
      <c r="F531" s="230"/>
      <c r="I531" s="214"/>
      <c r="J531" s="214"/>
      <c r="K531" s="214"/>
      <c r="L531" s="214"/>
      <c r="M531" s="214"/>
      <c r="N531" s="214"/>
      <c r="O531" s="214"/>
      <c r="P531" s="259"/>
      <c r="Q531" s="259"/>
      <c r="R531" s="214"/>
    </row>
    <row r="532" spans="1:20" x14ac:dyDescent="0.25">
      <c r="B532" s="234" t="s">
        <v>682</v>
      </c>
      <c r="G532" s="230">
        <v>5000</v>
      </c>
      <c r="K532" s="214"/>
      <c r="L532" s="206"/>
      <c r="M532" s="206"/>
      <c r="P532" s="214"/>
      <c r="Q532" s="214"/>
      <c r="R532" s="214"/>
      <c r="S532" s="214"/>
      <c r="T532" s="214"/>
    </row>
    <row r="533" spans="1:20" ht="19.149999999999999" customHeight="1" x14ac:dyDescent="0.25">
      <c r="A533" s="206" t="s">
        <v>6</v>
      </c>
      <c r="B533" s="214" t="s">
        <v>888</v>
      </c>
      <c r="C533" s="205">
        <f>C525</f>
        <v>28</v>
      </c>
      <c r="D533" s="206" t="s">
        <v>3</v>
      </c>
      <c r="E533" s="304">
        <v>33000</v>
      </c>
      <c r="F533" s="230">
        <f>E533*C533</f>
        <v>924000</v>
      </c>
      <c r="G533" s="207">
        <f>(1.8+1.5)*2</f>
        <v>6.6</v>
      </c>
      <c r="H533" s="208">
        <f t="shared" ref="H533:H538" si="1">G533*$G$532</f>
        <v>33000</v>
      </c>
      <c r="I533" s="214"/>
      <c r="J533" s="214"/>
      <c r="K533" s="214"/>
      <c r="L533" s="214"/>
      <c r="M533" s="214"/>
      <c r="N533" s="214"/>
      <c r="O533" s="258"/>
      <c r="P533" s="259"/>
      <c r="Q533" s="259"/>
      <c r="R533" s="214"/>
    </row>
    <row r="534" spans="1:20" ht="14.25" customHeight="1" x14ac:dyDescent="0.25">
      <c r="F534" s="230"/>
      <c r="H534" s="208">
        <f t="shared" si="1"/>
        <v>0</v>
      </c>
      <c r="I534" s="214"/>
      <c r="J534" s="214"/>
      <c r="K534" s="214"/>
      <c r="L534" s="214"/>
      <c r="M534" s="214"/>
      <c r="N534" s="214"/>
      <c r="O534" s="258"/>
      <c r="P534" s="259"/>
      <c r="Q534" s="259"/>
      <c r="R534" s="214"/>
    </row>
    <row r="535" spans="1:20" ht="14.25" customHeight="1" x14ac:dyDescent="0.25">
      <c r="A535" s="206" t="s">
        <v>7</v>
      </c>
      <c r="B535" s="214" t="s">
        <v>889</v>
      </c>
      <c r="C535" s="205">
        <f>C527</f>
        <v>14</v>
      </c>
      <c r="D535" s="206" t="s">
        <v>3</v>
      </c>
      <c r="E535" s="304">
        <v>27000</v>
      </c>
      <c r="F535" s="230">
        <f>E535*C535</f>
        <v>378000</v>
      </c>
      <c r="G535" s="207">
        <f>(1.2+1.5)*2</f>
        <v>5.4</v>
      </c>
      <c r="H535" s="208">
        <f t="shared" si="1"/>
        <v>27000</v>
      </c>
      <c r="I535" s="214"/>
      <c r="J535" s="214"/>
      <c r="K535" s="214"/>
      <c r="L535" s="214"/>
      <c r="M535" s="214"/>
      <c r="N535" s="214"/>
      <c r="O535" s="258"/>
      <c r="P535" s="259"/>
      <c r="Q535" s="259"/>
      <c r="R535" s="214"/>
    </row>
    <row r="536" spans="1:20" ht="14.25" customHeight="1" x14ac:dyDescent="0.25">
      <c r="F536" s="230"/>
      <c r="H536" s="208">
        <f t="shared" si="1"/>
        <v>0</v>
      </c>
      <c r="I536" s="214"/>
      <c r="J536" s="214"/>
      <c r="K536" s="214"/>
      <c r="L536" s="214"/>
      <c r="M536" s="214"/>
      <c r="N536" s="214"/>
      <c r="O536" s="258"/>
      <c r="P536" s="259"/>
      <c r="Q536" s="259"/>
      <c r="R536" s="214"/>
    </row>
    <row r="537" spans="1:20" ht="14.25" customHeight="1" x14ac:dyDescent="0.25">
      <c r="A537" s="206" t="s">
        <v>8</v>
      </c>
      <c r="B537" s="214" t="s">
        <v>890</v>
      </c>
      <c r="C537" s="205">
        <f>C529</f>
        <v>8</v>
      </c>
      <c r="D537" s="206" t="s">
        <v>3</v>
      </c>
      <c r="E537" s="304">
        <v>12000</v>
      </c>
      <c r="F537" s="230">
        <f>E537*C537</f>
        <v>96000</v>
      </c>
      <c r="G537" s="207">
        <f>(0.6+0.6)*2</f>
        <v>2.4</v>
      </c>
      <c r="H537" s="208">
        <f t="shared" si="1"/>
        <v>12000</v>
      </c>
      <c r="I537" s="214"/>
      <c r="J537" s="214"/>
      <c r="K537" s="214"/>
      <c r="L537" s="214"/>
      <c r="M537" s="214"/>
      <c r="N537" s="214"/>
      <c r="O537" s="258"/>
      <c r="P537" s="259"/>
      <c r="Q537" s="259"/>
      <c r="R537" s="214"/>
    </row>
    <row r="538" spans="1:20" ht="14.25" customHeight="1" x14ac:dyDescent="0.25">
      <c r="F538" s="230"/>
      <c r="H538" s="208">
        <f t="shared" si="1"/>
        <v>0</v>
      </c>
      <c r="I538" s="214"/>
      <c r="J538" s="214"/>
      <c r="K538" s="214"/>
      <c r="L538" s="214"/>
      <c r="M538" s="214"/>
      <c r="N538" s="214"/>
      <c r="O538" s="258"/>
      <c r="P538" s="259"/>
      <c r="Q538" s="259"/>
      <c r="R538" s="214"/>
    </row>
    <row r="539" spans="1:20" x14ac:dyDescent="0.25">
      <c r="F539" s="230"/>
      <c r="G539" s="230"/>
      <c r="O539" s="223"/>
    </row>
    <row r="540" spans="1:20" ht="60" x14ac:dyDescent="0.25">
      <c r="B540" s="224" t="s">
        <v>891</v>
      </c>
      <c r="F540" s="230"/>
      <c r="G540" s="230"/>
    </row>
    <row r="541" spans="1:20" x14ac:dyDescent="0.25">
      <c r="B541" s="219"/>
      <c r="F541" s="230"/>
      <c r="G541" s="230">
        <v>185000</v>
      </c>
    </row>
    <row r="542" spans="1:20" ht="22.5" customHeight="1" x14ac:dyDescent="0.25">
      <c r="A542" s="206" t="s">
        <v>9</v>
      </c>
      <c r="B542" s="214" t="s">
        <v>892</v>
      </c>
      <c r="C542" s="205">
        <v>5</v>
      </c>
      <c r="D542" s="206" t="s">
        <v>3</v>
      </c>
      <c r="E542" s="386">
        <v>4693080</v>
      </c>
      <c r="F542" s="207">
        <f>E542*C542</f>
        <v>23465400</v>
      </c>
      <c r="G542" s="207">
        <f>(10.57*2.4)</f>
        <v>25.367999999999999</v>
      </c>
      <c r="H542" s="208">
        <f>G542*$G$541</f>
        <v>4693080</v>
      </c>
    </row>
    <row r="543" spans="1:20" x14ac:dyDescent="0.25">
      <c r="E543" s="386"/>
      <c r="F543" s="230"/>
      <c r="G543" s="230"/>
      <c r="O543" s="223"/>
    </row>
    <row r="544" spans="1:20" ht="22.5" customHeight="1" x14ac:dyDescent="0.25">
      <c r="A544" s="206" t="s">
        <v>10</v>
      </c>
      <c r="B544" s="214" t="s">
        <v>893</v>
      </c>
      <c r="C544" s="205">
        <v>11</v>
      </c>
      <c r="D544" s="206" t="s">
        <v>3</v>
      </c>
      <c r="E544" s="386">
        <v>2886000</v>
      </c>
      <c r="F544" s="207">
        <f>E544*C544</f>
        <v>31746000</v>
      </c>
      <c r="G544" s="207">
        <f>6.5*2.4</f>
        <v>15.6</v>
      </c>
      <c r="H544" s="208">
        <f>G544*$G$541</f>
        <v>2886000</v>
      </c>
    </row>
    <row r="545" spans="1:15" x14ac:dyDescent="0.25">
      <c r="E545" s="386"/>
      <c r="F545" s="230"/>
      <c r="G545" s="230"/>
      <c r="O545" s="223"/>
    </row>
    <row r="546" spans="1:15" ht="22.5" customHeight="1" x14ac:dyDescent="0.25">
      <c r="A546" s="206" t="s">
        <v>11</v>
      </c>
      <c r="B546" s="214" t="s">
        <v>894</v>
      </c>
      <c r="C546" s="205">
        <v>8</v>
      </c>
      <c r="D546" s="206" t="s">
        <v>3</v>
      </c>
      <c r="E546" s="386">
        <v>1411920</v>
      </c>
      <c r="F546" s="207">
        <f>E546*C546</f>
        <v>11295360</v>
      </c>
      <c r="G546" s="207">
        <f>3.18*2.4</f>
        <v>7.6319999999999997</v>
      </c>
      <c r="H546" s="208">
        <f t="shared" ref="H546:H556" si="2">G546*$G$541</f>
        <v>1411920</v>
      </c>
    </row>
    <row r="547" spans="1:15" x14ac:dyDescent="0.25">
      <c r="F547" s="230"/>
      <c r="G547" s="230"/>
      <c r="O547" s="223"/>
    </row>
    <row r="548" spans="1:15" ht="22.5" customHeight="1" x14ac:dyDescent="0.25">
      <c r="A548" s="206" t="s">
        <v>12</v>
      </c>
      <c r="B548" s="214" t="s">
        <v>895</v>
      </c>
      <c r="C548" s="205">
        <v>0</v>
      </c>
      <c r="D548" s="206" t="s">
        <v>3</v>
      </c>
      <c r="E548" s="304">
        <v>4528799.9999999991</v>
      </c>
      <c r="F548" s="207">
        <f>E548*C548</f>
        <v>0</v>
      </c>
      <c r="G548" s="207">
        <f>10.2*2.4</f>
        <v>24.479999999999997</v>
      </c>
      <c r="H548" s="208">
        <f t="shared" si="2"/>
        <v>4528799.9999999991</v>
      </c>
    </row>
    <row r="549" spans="1:15" x14ac:dyDescent="0.25">
      <c r="F549" s="230"/>
      <c r="G549" s="230"/>
      <c r="O549" s="223"/>
    </row>
    <row r="550" spans="1:15" ht="22.5" customHeight="1" x14ac:dyDescent="0.25">
      <c r="A550" s="206" t="s">
        <v>13</v>
      </c>
      <c r="B550" s="214" t="s">
        <v>896</v>
      </c>
      <c r="C550" s="205">
        <v>0</v>
      </c>
      <c r="D550" s="206" t="s">
        <v>3</v>
      </c>
      <c r="E550" s="304">
        <v>1420800</v>
      </c>
      <c r="F550" s="207">
        <f>E550*C550</f>
        <v>0</v>
      </c>
      <c r="G550" s="207">
        <f>3.2*2.4</f>
        <v>7.68</v>
      </c>
      <c r="H550" s="208">
        <f t="shared" si="2"/>
        <v>1420800</v>
      </c>
    </row>
    <row r="551" spans="1:15" x14ac:dyDescent="0.25">
      <c r="F551" s="230"/>
      <c r="G551" s="230"/>
      <c r="O551" s="223"/>
    </row>
    <row r="552" spans="1:15" ht="22.5" customHeight="1" x14ac:dyDescent="0.25">
      <c r="A552" s="206" t="s">
        <v>14</v>
      </c>
      <c r="B552" s="214" t="s">
        <v>897</v>
      </c>
      <c r="C552" s="205">
        <v>0</v>
      </c>
      <c r="D552" s="206" t="s">
        <v>3</v>
      </c>
      <c r="E552" s="304">
        <v>5283600</v>
      </c>
      <c r="F552" s="207">
        <f>E552*C552</f>
        <v>0</v>
      </c>
      <c r="G552" s="207">
        <f>11.9*2.4</f>
        <v>28.56</v>
      </c>
      <c r="H552" s="208">
        <f>G552*$G$541</f>
        <v>5283600</v>
      </c>
    </row>
    <row r="553" spans="1:15" x14ac:dyDescent="0.25">
      <c r="E553" s="304">
        <v>0</v>
      </c>
      <c r="F553" s="230"/>
      <c r="G553" s="230"/>
      <c r="H553" s="208">
        <f t="shared" si="2"/>
        <v>0</v>
      </c>
      <c r="O553" s="223"/>
    </row>
    <row r="554" spans="1:15" ht="22.5" customHeight="1" x14ac:dyDescent="0.25">
      <c r="A554" s="206" t="s">
        <v>15</v>
      </c>
      <c r="B554" s="214" t="s">
        <v>898</v>
      </c>
      <c r="C554" s="205">
        <v>0</v>
      </c>
      <c r="D554" s="206" t="s">
        <v>3</v>
      </c>
      <c r="E554" s="304">
        <v>1554000</v>
      </c>
      <c r="F554" s="207">
        <f>E554*C554</f>
        <v>0</v>
      </c>
      <c r="G554" s="207">
        <f>3.5*2.4</f>
        <v>8.4</v>
      </c>
      <c r="H554" s="208">
        <f t="shared" si="2"/>
        <v>1554000</v>
      </c>
    </row>
    <row r="555" spans="1:15" x14ac:dyDescent="0.25">
      <c r="E555" s="304">
        <v>0</v>
      </c>
      <c r="F555" s="230"/>
      <c r="G555" s="230"/>
      <c r="H555" s="208">
        <f t="shared" si="2"/>
        <v>0</v>
      </c>
      <c r="O555" s="223"/>
    </row>
    <row r="556" spans="1:15" ht="22.5" customHeight="1" x14ac:dyDescent="0.25">
      <c r="A556" s="206" t="s">
        <v>16</v>
      </c>
      <c r="B556" s="214" t="s">
        <v>899</v>
      </c>
      <c r="C556" s="205">
        <v>0</v>
      </c>
      <c r="D556" s="206" t="s">
        <v>3</v>
      </c>
      <c r="E556" s="304">
        <v>1975800</v>
      </c>
      <c r="F556" s="207">
        <f>E556*C556</f>
        <v>0</v>
      </c>
      <c r="G556" s="207">
        <f>4.45*2.4</f>
        <v>10.68</v>
      </c>
      <c r="H556" s="208">
        <f t="shared" si="2"/>
        <v>1975800</v>
      </c>
    </row>
    <row r="557" spans="1:15" ht="30" x14ac:dyDescent="0.25">
      <c r="B557" s="224" t="s">
        <v>704</v>
      </c>
      <c r="F557" s="230"/>
      <c r="G557" s="230"/>
      <c r="O557" s="223"/>
    </row>
    <row r="558" spans="1:15" ht="22.5" customHeight="1" x14ac:dyDescent="0.25">
      <c r="A558" s="206" t="s">
        <v>17</v>
      </c>
      <c r="B558" s="214" t="s">
        <v>900</v>
      </c>
      <c r="C558" s="205">
        <v>1</v>
      </c>
      <c r="D558" s="206" t="s">
        <v>3</v>
      </c>
      <c r="E558" s="306">
        <v>380000</v>
      </c>
      <c r="F558" s="207">
        <f>E558*C558</f>
        <v>380000</v>
      </c>
    </row>
    <row r="559" spans="1:15" ht="22.5" customHeight="1" x14ac:dyDescent="0.25">
      <c r="A559" s="206" t="s">
        <v>17</v>
      </c>
      <c r="B559" s="214" t="s">
        <v>705</v>
      </c>
      <c r="C559" s="205">
        <v>2</v>
      </c>
      <c r="D559" s="206" t="s">
        <v>3</v>
      </c>
      <c r="E559" s="386">
        <v>380000</v>
      </c>
      <c r="F559" s="207">
        <f>E559*C559</f>
        <v>760000</v>
      </c>
    </row>
    <row r="560" spans="1:15" x14ac:dyDescent="0.25">
      <c r="B560" s="210" t="s">
        <v>200</v>
      </c>
      <c r="F560" s="230"/>
      <c r="G560" s="230"/>
    </row>
    <row r="561" spans="1:8" x14ac:dyDescent="0.25">
      <c r="B561" s="220" t="s">
        <v>534</v>
      </c>
      <c r="C561" s="221"/>
      <c r="D561" s="209"/>
      <c r="E561" s="303" t="s">
        <v>15</v>
      </c>
      <c r="F561" s="235">
        <f>SUM(F521:F560)</f>
        <v>87188760</v>
      </c>
      <c r="G561" s="235"/>
    </row>
    <row r="562" spans="1:8" x14ac:dyDescent="0.25">
      <c r="B562" s="204" t="s">
        <v>604</v>
      </c>
      <c r="F562" s="230"/>
      <c r="G562" s="230"/>
    </row>
    <row r="563" spans="1:8" x14ac:dyDescent="0.25">
      <c r="F563" s="230"/>
      <c r="G563" s="230"/>
    </row>
    <row r="564" spans="1:8" x14ac:dyDescent="0.25">
      <c r="B564" s="210" t="s">
        <v>210</v>
      </c>
      <c r="F564" s="230"/>
      <c r="G564" s="230"/>
    </row>
    <row r="565" spans="1:8" ht="21" customHeight="1" x14ac:dyDescent="0.25">
      <c r="B565" s="210"/>
      <c r="F565" s="230"/>
      <c r="G565" s="230"/>
    </row>
    <row r="566" spans="1:8" x14ac:dyDescent="0.25">
      <c r="B566" s="211" t="s">
        <v>84</v>
      </c>
      <c r="C566" s="221"/>
      <c r="D566" s="209"/>
      <c r="E566" s="303"/>
      <c r="F566" s="286"/>
      <c r="G566" s="286"/>
    </row>
    <row r="567" spans="1:8" x14ac:dyDescent="0.25">
      <c r="B567" s="226"/>
      <c r="C567" s="221"/>
      <c r="D567" s="209"/>
      <c r="E567" s="303"/>
      <c r="F567" s="286"/>
      <c r="G567" s="286"/>
    </row>
    <row r="568" spans="1:8" ht="30" x14ac:dyDescent="0.25">
      <c r="B568" s="224" t="s">
        <v>594</v>
      </c>
      <c r="C568" s="221"/>
      <c r="D568" s="209"/>
      <c r="E568" s="303"/>
      <c r="F568" s="286"/>
      <c r="G568" s="286"/>
    </row>
    <row r="569" spans="1:8" x14ac:dyDescent="0.25">
      <c r="B569" s="224"/>
      <c r="C569" s="221"/>
      <c r="D569" s="209"/>
      <c r="E569" s="303"/>
      <c r="F569" s="286"/>
      <c r="G569" s="286"/>
    </row>
    <row r="570" spans="1:8" x14ac:dyDescent="0.25">
      <c r="A570" s="206" t="s">
        <v>2</v>
      </c>
      <c r="B570" s="214" t="s">
        <v>595</v>
      </c>
      <c r="C570" s="205">
        <f>'[30]Take off'!D704*2+102</f>
        <v>415.62</v>
      </c>
      <c r="D570" s="206" t="s">
        <v>511</v>
      </c>
      <c r="E570" s="304">
        <f>E480</f>
        <v>7500</v>
      </c>
      <c r="F570" s="289">
        <f>C570*E570</f>
        <v>3117150</v>
      </c>
      <c r="G570" s="289"/>
    </row>
    <row r="571" spans="1:8" x14ac:dyDescent="0.25">
      <c r="B571" s="210"/>
      <c r="F571" s="291"/>
      <c r="G571" s="291"/>
    </row>
    <row r="572" spans="1:8" x14ac:dyDescent="0.25">
      <c r="A572" s="206" t="s">
        <v>4</v>
      </c>
      <c r="B572" s="214" t="s">
        <v>596</v>
      </c>
      <c r="C572" s="205">
        <v>32</v>
      </c>
      <c r="D572" s="206" t="s">
        <v>511</v>
      </c>
      <c r="E572" s="304">
        <f>E482</f>
        <v>7000</v>
      </c>
      <c r="F572" s="289">
        <f>C572*E572</f>
        <v>224000</v>
      </c>
      <c r="G572" s="289"/>
    </row>
    <row r="573" spans="1:8" x14ac:dyDescent="0.25">
      <c r="C573" s="256"/>
      <c r="F573" s="257"/>
      <c r="G573" s="257"/>
    </row>
    <row r="574" spans="1:8" x14ac:dyDescent="0.25">
      <c r="B574" s="211" t="s">
        <v>98</v>
      </c>
      <c r="F574" s="230"/>
      <c r="G574" s="230"/>
      <c r="H574" s="284"/>
    </row>
    <row r="575" spans="1:8" x14ac:dyDescent="0.25">
      <c r="F575" s="230"/>
      <c r="G575" s="230"/>
    </row>
    <row r="576" spans="1:8" x14ac:dyDescent="0.25">
      <c r="B576" s="219" t="s">
        <v>666</v>
      </c>
      <c r="F576" s="230"/>
      <c r="G576" s="230"/>
    </row>
    <row r="577" spans="1:7" x14ac:dyDescent="0.25">
      <c r="F577" s="230"/>
      <c r="G577" s="230"/>
    </row>
    <row r="578" spans="1:7" x14ac:dyDescent="0.25">
      <c r="A578" s="206" t="s">
        <v>5</v>
      </c>
      <c r="B578" s="214" t="s">
        <v>597</v>
      </c>
      <c r="C578" s="205">
        <f>'[30]Take off'!H705*2</f>
        <v>2</v>
      </c>
      <c r="D578" s="206" t="s">
        <v>513</v>
      </c>
      <c r="E578" s="304">
        <f>E488</f>
        <v>94000</v>
      </c>
      <c r="F578" s="230">
        <f>C578*E578</f>
        <v>188000</v>
      </c>
      <c r="G578" s="230"/>
    </row>
    <row r="579" spans="1:7" x14ac:dyDescent="0.25">
      <c r="F579" s="230"/>
      <c r="G579" s="230"/>
    </row>
    <row r="580" spans="1:7" x14ac:dyDescent="0.25">
      <c r="B580" s="211" t="s">
        <v>102</v>
      </c>
      <c r="F580" s="230"/>
      <c r="G580" s="230"/>
    </row>
    <row r="581" spans="1:7" x14ac:dyDescent="0.25">
      <c r="B581" s="219"/>
      <c r="F581" s="230"/>
      <c r="G581" s="230"/>
    </row>
    <row r="582" spans="1:7" x14ac:dyDescent="0.25">
      <c r="B582" s="219" t="s">
        <v>598</v>
      </c>
      <c r="F582" s="230"/>
      <c r="G582" s="230"/>
    </row>
    <row r="583" spans="1:7" x14ac:dyDescent="0.25">
      <c r="F583" s="230"/>
      <c r="G583" s="230"/>
    </row>
    <row r="584" spans="1:7" x14ac:dyDescent="0.25">
      <c r="A584" s="206" t="s">
        <v>6</v>
      </c>
      <c r="B584" s="214" t="s">
        <v>571</v>
      </c>
      <c r="C584" s="205">
        <v>134</v>
      </c>
      <c r="D584" s="206" t="s">
        <v>75</v>
      </c>
      <c r="E584" s="304">
        <f>E494</f>
        <v>770</v>
      </c>
      <c r="F584" s="230">
        <f>C584*E584</f>
        <v>103180</v>
      </c>
      <c r="G584" s="230"/>
    </row>
    <row r="585" spans="1:7" x14ac:dyDescent="0.25">
      <c r="F585" s="230"/>
      <c r="G585" s="230"/>
    </row>
    <row r="586" spans="1:7" x14ac:dyDescent="0.25">
      <c r="A586" s="206" t="s">
        <v>7</v>
      </c>
      <c r="B586" s="214" t="s">
        <v>599</v>
      </c>
      <c r="C586" s="205">
        <v>56</v>
      </c>
      <c r="D586" s="206" t="s">
        <v>75</v>
      </c>
      <c r="E586" s="304">
        <f>E584</f>
        <v>770</v>
      </c>
      <c r="F586" s="230">
        <f>C586*E586</f>
        <v>43120</v>
      </c>
      <c r="G586" s="230"/>
    </row>
    <row r="587" spans="1:7" x14ac:dyDescent="0.25">
      <c r="F587" s="230"/>
      <c r="G587" s="230"/>
    </row>
    <row r="588" spans="1:7" x14ac:dyDescent="0.25">
      <c r="B588" s="211" t="s">
        <v>67</v>
      </c>
      <c r="F588" s="230"/>
      <c r="G588" s="230"/>
    </row>
    <row r="589" spans="1:7" x14ac:dyDescent="0.25">
      <c r="F589" s="230"/>
      <c r="G589" s="230"/>
    </row>
    <row r="590" spans="1:7" x14ac:dyDescent="0.25">
      <c r="B590" s="219" t="s">
        <v>120</v>
      </c>
      <c r="F590" s="230"/>
      <c r="G590" s="230"/>
    </row>
    <row r="591" spans="1:7" x14ac:dyDescent="0.25">
      <c r="F591" s="230"/>
      <c r="G591" s="230"/>
    </row>
    <row r="592" spans="1:7" x14ac:dyDescent="0.25">
      <c r="A592" s="206" t="s">
        <v>8</v>
      </c>
      <c r="B592" s="214" t="s">
        <v>600</v>
      </c>
      <c r="C592" s="205">
        <f>'[30]Take off'!L704*2</f>
        <v>20.079000000000001</v>
      </c>
      <c r="D592" s="206" t="s">
        <v>511</v>
      </c>
      <c r="E592" s="304">
        <f>E502</f>
        <v>6600</v>
      </c>
      <c r="F592" s="230">
        <f>C592*E592</f>
        <v>132521.4</v>
      </c>
      <c r="G592" s="230"/>
    </row>
    <row r="593" spans="2:7" x14ac:dyDescent="0.25">
      <c r="B593" s="219"/>
      <c r="F593" s="227"/>
      <c r="G593" s="227"/>
    </row>
    <row r="594" spans="2:7" x14ac:dyDescent="0.25">
      <c r="F594" s="227"/>
      <c r="G594" s="227"/>
    </row>
    <row r="595" spans="2:7" x14ac:dyDescent="0.25">
      <c r="B595" s="224"/>
      <c r="F595" s="227"/>
      <c r="G595" s="227"/>
    </row>
    <row r="596" spans="2:7" x14ac:dyDescent="0.25">
      <c r="B596" s="224"/>
      <c r="F596" s="227"/>
      <c r="G596" s="227"/>
    </row>
    <row r="597" spans="2:7" x14ac:dyDescent="0.25">
      <c r="F597" s="261"/>
      <c r="G597" s="261"/>
    </row>
    <row r="598" spans="2:7" x14ac:dyDescent="0.25">
      <c r="F598" s="227"/>
      <c r="G598" s="227"/>
    </row>
    <row r="599" spans="2:7" x14ac:dyDescent="0.25">
      <c r="F599" s="227"/>
      <c r="G599" s="227"/>
    </row>
    <row r="600" spans="2:7" x14ac:dyDescent="0.25">
      <c r="B600" s="219"/>
      <c r="F600" s="230"/>
      <c r="G600" s="230"/>
    </row>
    <row r="601" spans="2:7" x14ac:dyDescent="0.25">
      <c r="B601" s="219"/>
      <c r="F601" s="230"/>
      <c r="G601" s="230"/>
    </row>
    <row r="602" spans="2:7" x14ac:dyDescent="0.25">
      <c r="B602" s="224"/>
      <c r="F602" s="230"/>
      <c r="G602" s="230"/>
    </row>
    <row r="603" spans="2:7" x14ac:dyDescent="0.25">
      <c r="B603" s="224"/>
      <c r="F603" s="257"/>
      <c r="G603" s="257"/>
    </row>
    <row r="604" spans="2:7" x14ac:dyDescent="0.25">
      <c r="B604" s="224"/>
      <c r="F604" s="257"/>
      <c r="G604" s="257"/>
    </row>
    <row r="605" spans="2:7" x14ac:dyDescent="0.25">
      <c r="B605" s="224"/>
      <c r="F605" s="257"/>
      <c r="G605" s="257"/>
    </row>
    <row r="606" spans="2:7" x14ac:dyDescent="0.25">
      <c r="B606" s="224"/>
      <c r="F606" s="257"/>
      <c r="G606" s="257"/>
    </row>
    <row r="607" spans="2:7" x14ac:dyDescent="0.25">
      <c r="B607" s="210" t="s">
        <v>210</v>
      </c>
      <c r="C607" s="221"/>
      <c r="D607" s="209"/>
      <c r="E607" s="303"/>
      <c r="F607" s="235"/>
      <c r="G607" s="235"/>
    </row>
    <row r="608" spans="2:7" x14ac:dyDescent="0.25">
      <c r="B608" s="220" t="s">
        <v>534</v>
      </c>
      <c r="C608" s="221"/>
      <c r="D608" s="209"/>
      <c r="E608" s="303" t="s">
        <v>15</v>
      </c>
      <c r="F608" s="235">
        <f>SUM(F566:F607)</f>
        <v>3807971.4</v>
      </c>
      <c r="G608" s="235"/>
    </row>
    <row r="609" spans="1:7" x14ac:dyDescent="0.25">
      <c r="B609" s="210" t="s">
        <v>605</v>
      </c>
      <c r="F609" s="230"/>
      <c r="G609" s="230"/>
    </row>
    <row r="610" spans="1:7" x14ac:dyDescent="0.25">
      <c r="B610" s="220"/>
      <c r="F610" s="230"/>
      <c r="G610" s="230"/>
    </row>
    <row r="611" spans="1:7" x14ac:dyDescent="0.25">
      <c r="B611" s="210" t="s">
        <v>213</v>
      </c>
      <c r="F611" s="230"/>
      <c r="G611" s="230"/>
    </row>
    <row r="612" spans="1:7" x14ac:dyDescent="0.25">
      <c r="F612" s="230"/>
      <c r="G612" s="230"/>
    </row>
    <row r="613" spans="1:7" x14ac:dyDescent="0.25">
      <c r="B613" s="210" t="s">
        <v>606</v>
      </c>
      <c r="F613" s="230"/>
      <c r="G613" s="230"/>
    </row>
    <row r="614" spans="1:7" x14ac:dyDescent="0.25">
      <c r="F614" s="230"/>
      <c r="G614" s="230"/>
    </row>
    <row r="615" spans="1:7" ht="63" customHeight="1" x14ac:dyDescent="0.25">
      <c r="B615" s="224" t="s">
        <v>683</v>
      </c>
      <c r="F615" s="230"/>
      <c r="G615" s="230"/>
    </row>
    <row r="616" spans="1:7" x14ac:dyDescent="0.25">
      <c r="F616" s="289"/>
      <c r="G616" s="289"/>
    </row>
    <row r="617" spans="1:7" ht="22.5" customHeight="1" x14ac:dyDescent="0.25">
      <c r="A617" s="206" t="s">
        <v>2</v>
      </c>
      <c r="B617" s="214" t="s">
        <v>706</v>
      </c>
      <c r="D617" s="206" t="s">
        <v>3</v>
      </c>
      <c r="E617" s="306">
        <v>370000</v>
      </c>
      <c r="F617" s="207">
        <f>E617*C617</f>
        <v>0</v>
      </c>
    </row>
    <row r="618" spans="1:7" x14ac:dyDescent="0.25">
      <c r="F618" s="289"/>
      <c r="G618" s="289"/>
    </row>
    <row r="619" spans="1:7" ht="22.5" customHeight="1" x14ac:dyDescent="0.25">
      <c r="A619" s="206" t="s">
        <v>4</v>
      </c>
      <c r="B619" s="214" t="s">
        <v>705</v>
      </c>
      <c r="C619" s="205">
        <v>8</v>
      </c>
      <c r="D619" s="206" t="s">
        <v>3</v>
      </c>
      <c r="E619" s="306">
        <v>281000</v>
      </c>
      <c r="F619" s="207">
        <f>E619*C619</f>
        <v>2248000</v>
      </c>
    </row>
    <row r="620" spans="1:7" x14ac:dyDescent="0.25">
      <c r="B620" s="210"/>
    </row>
    <row r="621" spans="1:7" x14ac:dyDescent="0.25">
      <c r="A621" s="206" t="s">
        <v>5</v>
      </c>
      <c r="B621" s="214" t="s">
        <v>707</v>
      </c>
      <c r="C621" s="205">
        <v>12</v>
      </c>
      <c r="D621" s="206" t="s">
        <v>3</v>
      </c>
      <c r="E621" s="306">
        <f>E619</f>
        <v>281000</v>
      </c>
      <c r="F621" s="207">
        <f>E621*C621</f>
        <v>3372000</v>
      </c>
    </row>
    <row r="622" spans="1:7" x14ac:dyDescent="0.25">
      <c r="B622" s="210"/>
      <c r="F622" s="230"/>
      <c r="G622" s="230"/>
    </row>
    <row r="623" spans="1:7" x14ac:dyDescent="0.25">
      <c r="B623" s="219"/>
      <c r="F623" s="230"/>
      <c r="G623" s="230"/>
    </row>
    <row r="624" spans="1:7" x14ac:dyDescent="0.25">
      <c r="B624" s="219"/>
      <c r="F624" s="230"/>
      <c r="G624" s="230"/>
    </row>
    <row r="625" spans="1:8" x14ac:dyDescent="0.25">
      <c r="B625" s="219"/>
      <c r="F625" s="230"/>
      <c r="G625" s="230"/>
    </row>
    <row r="626" spans="1:8" x14ac:dyDescent="0.25">
      <c r="B626" s="219"/>
      <c r="F626" s="230"/>
      <c r="G626" s="230"/>
    </row>
    <row r="627" spans="1:8" x14ac:dyDescent="0.25">
      <c r="B627" s="219"/>
      <c r="F627" s="230"/>
      <c r="G627" s="230"/>
    </row>
    <row r="628" spans="1:8" x14ac:dyDescent="0.25">
      <c r="B628" s="210" t="s">
        <v>607</v>
      </c>
      <c r="C628" s="221"/>
      <c r="D628" s="209"/>
      <c r="E628" s="303"/>
      <c r="F628" s="235"/>
      <c r="G628" s="235"/>
    </row>
    <row r="629" spans="1:8" x14ac:dyDescent="0.25">
      <c r="B629" s="220" t="s">
        <v>534</v>
      </c>
      <c r="C629" s="221"/>
      <c r="D629" s="209"/>
      <c r="E629" s="303" t="s">
        <v>15</v>
      </c>
      <c r="F629" s="286">
        <f>SUM(F612:F628)</f>
        <v>5620000</v>
      </c>
      <c r="G629" s="286"/>
    </row>
    <row r="630" spans="1:8" x14ac:dyDescent="0.25">
      <c r="B630" s="210" t="s">
        <v>608</v>
      </c>
    </row>
    <row r="631" spans="1:8" x14ac:dyDescent="0.25">
      <c r="B631" s="220"/>
    </row>
    <row r="632" spans="1:8" x14ac:dyDescent="0.25">
      <c r="B632" s="210" t="s">
        <v>236</v>
      </c>
      <c r="C632" s="205" t="s">
        <v>20</v>
      </c>
      <c r="H632" s="284"/>
    </row>
    <row r="633" spans="1:8" x14ac:dyDescent="0.25">
      <c r="B633" s="219" t="s">
        <v>610</v>
      </c>
    </row>
    <row r="634" spans="1:8" ht="12.75" customHeight="1" x14ac:dyDescent="0.25"/>
    <row r="635" spans="1:8" x14ac:dyDescent="0.25">
      <c r="B635" s="211" t="s">
        <v>283</v>
      </c>
    </row>
    <row r="636" spans="1:8" ht="10.5" customHeight="1" x14ac:dyDescent="0.25">
      <c r="B636" s="224" t="s">
        <v>611</v>
      </c>
    </row>
    <row r="638" spans="1:8" x14ac:dyDescent="0.25">
      <c r="A638" s="206" t="s">
        <v>2</v>
      </c>
      <c r="B638" s="214" t="s">
        <v>612</v>
      </c>
      <c r="C638" s="205">
        <f>C570+C572*2+C480</f>
        <v>886.81</v>
      </c>
      <c r="D638" s="206" t="s">
        <v>35</v>
      </c>
      <c r="E638" s="304">
        <f>E415</f>
        <v>1890</v>
      </c>
      <c r="F638" s="207">
        <f>E638*C638</f>
        <v>1676070.9</v>
      </c>
      <c r="H638" s="263"/>
    </row>
    <row r="639" spans="1:8" ht="30" x14ac:dyDescent="0.25">
      <c r="A639" s="206" t="s">
        <v>4</v>
      </c>
      <c r="B639" s="218" t="s">
        <v>613</v>
      </c>
      <c r="C639" s="262">
        <v>62</v>
      </c>
      <c r="D639" s="206" t="s">
        <v>22</v>
      </c>
      <c r="E639" s="304">
        <v>2000</v>
      </c>
      <c r="F639" s="207">
        <f>E639*C639</f>
        <v>124000</v>
      </c>
      <c r="H639" s="263"/>
    </row>
    <row r="640" spans="1:8" x14ac:dyDescent="0.25">
      <c r="B640" s="210" t="s">
        <v>614</v>
      </c>
      <c r="H640" s="263"/>
    </row>
    <row r="641" spans="1:9" x14ac:dyDescent="0.25">
      <c r="B641" s="219" t="s">
        <v>615</v>
      </c>
      <c r="C641" s="256"/>
      <c r="H641" s="263"/>
    </row>
    <row r="642" spans="1:9" ht="30" x14ac:dyDescent="0.25">
      <c r="B642" s="246" t="s">
        <v>616</v>
      </c>
    </row>
    <row r="643" spans="1:9" x14ac:dyDescent="0.25">
      <c r="A643" s="206" t="s">
        <v>5</v>
      </c>
      <c r="B643" s="214" t="s">
        <v>617</v>
      </c>
      <c r="C643" s="205">
        <f>C638-C655</f>
        <v>524.80999999999995</v>
      </c>
      <c r="D643" s="206" t="s">
        <v>35</v>
      </c>
      <c r="E643" s="304">
        <f>E290</f>
        <v>1100</v>
      </c>
      <c r="F643" s="207">
        <f>E643*C643</f>
        <v>577290.99999999988</v>
      </c>
    </row>
    <row r="644" spans="1:9" ht="25.5" customHeight="1" x14ac:dyDescent="0.25">
      <c r="A644" s="206" t="s">
        <v>6</v>
      </c>
      <c r="B644" s="218" t="s">
        <v>618</v>
      </c>
      <c r="C644" s="205">
        <f>C639</f>
        <v>62</v>
      </c>
      <c r="D644" s="206" t="s">
        <v>22</v>
      </c>
      <c r="E644" s="304">
        <f>'[31]AJIWE STRIP MALL '!E708</f>
        <v>450</v>
      </c>
      <c r="F644" s="207">
        <f>E644*C644</f>
        <v>27900</v>
      </c>
    </row>
    <row r="645" spans="1:9" x14ac:dyDescent="0.25">
      <c r="B645" s="210" t="s">
        <v>152</v>
      </c>
    </row>
    <row r="646" spans="1:9" ht="30" x14ac:dyDescent="0.25">
      <c r="B646" s="224" t="s">
        <v>619</v>
      </c>
    </row>
    <row r="647" spans="1:9" x14ac:dyDescent="0.25">
      <c r="A647" s="206" t="s">
        <v>7</v>
      </c>
      <c r="B647" s="214" t="s">
        <v>612</v>
      </c>
      <c r="C647" s="205">
        <f>C643</f>
        <v>524.80999999999995</v>
      </c>
      <c r="D647" s="206" t="s">
        <v>35</v>
      </c>
      <c r="E647" s="304">
        <f>E300</f>
        <v>1500</v>
      </c>
      <c r="F647" s="207">
        <f>E647*C647</f>
        <v>787214.99999999988</v>
      </c>
    </row>
    <row r="648" spans="1:9" x14ac:dyDescent="0.25">
      <c r="A648" s="206" t="s">
        <v>8</v>
      </c>
      <c r="B648" s="214" t="s">
        <v>620</v>
      </c>
      <c r="C648" s="205">
        <f>C644</f>
        <v>62</v>
      </c>
      <c r="D648" s="206" t="s">
        <v>22</v>
      </c>
      <c r="E648" s="304">
        <f>'[31]AJIWE STRIP MALL '!E712</f>
        <v>550</v>
      </c>
      <c r="F648" s="207">
        <f>E648*C648</f>
        <v>34100</v>
      </c>
    </row>
    <row r="649" spans="1:9" ht="33" x14ac:dyDescent="0.25">
      <c r="B649" s="234" t="s">
        <v>621</v>
      </c>
    </row>
    <row r="650" spans="1:9" ht="60" x14ac:dyDescent="0.25">
      <c r="B650" s="218" t="s">
        <v>622</v>
      </c>
    </row>
    <row r="651" spans="1:9" x14ac:dyDescent="0.25">
      <c r="A651" s="206" t="s">
        <v>9</v>
      </c>
      <c r="B651" s="214" t="s">
        <v>623</v>
      </c>
      <c r="C651" s="205">
        <f>56*2</f>
        <v>112</v>
      </c>
      <c r="D651" s="206" t="s">
        <v>35</v>
      </c>
      <c r="E651" s="304">
        <v>7500</v>
      </c>
      <c r="F651" s="207">
        <f>E652*C651</f>
        <v>840000</v>
      </c>
    </row>
    <row r="652" spans="1:9" x14ac:dyDescent="0.25">
      <c r="A652" s="206" t="s">
        <v>10</v>
      </c>
      <c r="B652" s="214" t="s">
        <v>624</v>
      </c>
      <c r="C652" s="205">
        <f>125*2</f>
        <v>250</v>
      </c>
      <c r="D652" s="206" t="s">
        <v>35</v>
      </c>
      <c r="E652" s="304">
        <f>E651</f>
        <v>7500</v>
      </c>
      <c r="F652" s="207">
        <f>E652*C652</f>
        <v>1875000</v>
      </c>
      <c r="I652" s="263"/>
    </row>
    <row r="653" spans="1:9" ht="33" x14ac:dyDescent="0.25">
      <c r="B653" s="234" t="s">
        <v>625</v>
      </c>
    </row>
    <row r="654" spans="1:9" x14ac:dyDescent="0.25">
      <c r="B654" s="219" t="s">
        <v>626</v>
      </c>
      <c r="H654" s="284"/>
    </row>
    <row r="655" spans="1:9" x14ac:dyDescent="0.25">
      <c r="A655" s="206" t="s">
        <v>11</v>
      </c>
      <c r="B655" s="214" t="s">
        <v>627</v>
      </c>
      <c r="C655" s="205">
        <f>C651+C652</f>
        <v>362</v>
      </c>
      <c r="D655" s="206" t="s">
        <v>35</v>
      </c>
      <c r="E655" s="304">
        <f>2100</f>
        <v>2100</v>
      </c>
      <c r="F655" s="207">
        <f>E655*C655</f>
        <v>760200</v>
      </c>
    </row>
    <row r="656" spans="1:9" x14ac:dyDescent="0.25">
      <c r="B656" s="210" t="s">
        <v>628</v>
      </c>
      <c r="F656" s="230"/>
      <c r="G656" s="230"/>
    </row>
    <row r="657" spans="1:7" x14ac:dyDescent="0.25">
      <c r="B657" s="220" t="s">
        <v>629</v>
      </c>
      <c r="F657" s="230"/>
      <c r="G657" s="230"/>
    </row>
    <row r="658" spans="1:7" ht="30" x14ac:dyDescent="0.25">
      <c r="B658" s="224" t="s">
        <v>630</v>
      </c>
      <c r="F658" s="230"/>
      <c r="G658" s="230"/>
    </row>
    <row r="659" spans="1:7" ht="18" customHeight="1" x14ac:dyDescent="0.25">
      <c r="A659" s="206" t="s">
        <v>12</v>
      </c>
      <c r="B659" s="214" t="s">
        <v>612</v>
      </c>
      <c r="C659" s="205">
        <f>C480</f>
        <v>407.18999999999994</v>
      </c>
      <c r="D659" s="206" t="s">
        <v>35</v>
      </c>
      <c r="E659" s="304">
        <f>E638</f>
        <v>1890</v>
      </c>
      <c r="F659" s="207">
        <f>E659*C659</f>
        <v>769589.09999999986</v>
      </c>
    </row>
    <row r="660" spans="1:7" x14ac:dyDescent="0.25">
      <c r="A660" s="206" t="s">
        <v>13</v>
      </c>
      <c r="B660" s="233" t="s">
        <v>24</v>
      </c>
      <c r="C660" s="262">
        <f>C448</f>
        <v>89</v>
      </c>
      <c r="D660" s="206" t="s">
        <v>35</v>
      </c>
      <c r="E660" s="304">
        <f>E659</f>
        <v>1890</v>
      </c>
      <c r="F660" s="207">
        <f>E660*C660</f>
        <v>168210</v>
      </c>
    </row>
    <row r="661" spans="1:7" ht="30" x14ac:dyDescent="0.25">
      <c r="A661" s="206" t="s">
        <v>14</v>
      </c>
      <c r="B661" s="246" t="s">
        <v>631</v>
      </c>
      <c r="D661" s="206" t="s">
        <v>22</v>
      </c>
      <c r="E661" s="304">
        <f>E639</f>
        <v>2000</v>
      </c>
      <c r="F661" s="207">
        <f>E661*C661</f>
        <v>0</v>
      </c>
    </row>
    <row r="662" spans="1:7" x14ac:dyDescent="0.25">
      <c r="A662" s="206" t="s">
        <v>15</v>
      </c>
      <c r="B662" s="214" t="s">
        <v>684</v>
      </c>
      <c r="D662" s="206" t="s">
        <v>22</v>
      </c>
      <c r="E662" s="304">
        <f>'[31]AJIWE STRIP MALL '!E729</f>
        <v>400</v>
      </c>
      <c r="F662" s="207">
        <f>E662*C662</f>
        <v>0</v>
      </c>
    </row>
    <row r="663" spans="1:7" x14ac:dyDescent="0.25">
      <c r="A663" s="206" t="s">
        <v>16</v>
      </c>
      <c r="B663" s="233" t="s">
        <v>495</v>
      </c>
      <c r="D663" s="206" t="s">
        <v>22</v>
      </c>
      <c r="E663" s="304">
        <f>'[31]AJIWE STRIP MALL '!E730</f>
        <v>500</v>
      </c>
      <c r="F663" s="207">
        <f>E663*C663</f>
        <v>0</v>
      </c>
    </row>
    <row r="664" spans="1:7" x14ac:dyDescent="0.25">
      <c r="B664" s="233"/>
    </row>
    <row r="665" spans="1:7" x14ac:dyDescent="0.25">
      <c r="B665" s="233"/>
    </row>
    <row r="666" spans="1:7" x14ac:dyDescent="0.25">
      <c r="B666" s="220" t="s">
        <v>520</v>
      </c>
      <c r="C666" s="221"/>
      <c r="D666" s="209"/>
      <c r="E666" s="303" t="s">
        <v>15</v>
      </c>
      <c r="F666" s="222">
        <f>SUM(F633:F664)</f>
        <v>7639576</v>
      </c>
    </row>
    <row r="667" spans="1:7" ht="19.5" customHeight="1" x14ac:dyDescent="0.25">
      <c r="B667" s="210" t="s">
        <v>632</v>
      </c>
    </row>
    <row r="668" spans="1:7" ht="12.75" customHeight="1" x14ac:dyDescent="0.25">
      <c r="B668" s="233"/>
    </row>
    <row r="669" spans="1:7" ht="33" x14ac:dyDescent="0.25">
      <c r="B669" s="234" t="s">
        <v>621</v>
      </c>
      <c r="G669" s="208"/>
    </row>
    <row r="670" spans="1:7" ht="45" x14ac:dyDescent="0.25">
      <c r="B670" s="218" t="s">
        <v>488</v>
      </c>
      <c r="G670" s="208"/>
    </row>
    <row r="671" spans="1:7" x14ac:dyDescent="0.25">
      <c r="A671" s="206" t="s">
        <v>2</v>
      </c>
      <c r="B671" s="214" t="s">
        <v>633</v>
      </c>
      <c r="D671" s="206" t="s">
        <v>35</v>
      </c>
      <c r="E671" s="304">
        <v>8200</v>
      </c>
      <c r="F671" s="207">
        <f>E671*C671</f>
        <v>0</v>
      </c>
      <c r="G671" s="208"/>
    </row>
    <row r="672" spans="1:7" ht="33" x14ac:dyDescent="0.25">
      <c r="B672" s="264" t="s">
        <v>634</v>
      </c>
      <c r="G672" s="208"/>
    </row>
    <row r="673" spans="1:9" x14ac:dyDescent="0.25">
      <c r="B673" s="214" t="s">
        <v>626</v>
      </c>
      <c r="G673" s="208"/>
    </row>
    <row r="674" spans="1:9" x14ac:dyDescent="0.25">
      <c r="A674" s="206" t="s">
        <v>4</v>
      </c>
      <c r="B674" s="214" t="s">
        <v>627</v>
      </c>
      <c r="D674" s="206" t="s">
        <v>35</v>
      </c>
      <c r="E674" s="304">
        <v>2650</v>
      </c>
      <c r="F674" s="207">
        <f>E674*C674</f>
        <v>0</v>
      </c>
      <c r="G674" s="208"/>
    </row>
    <row r="675" spans="1:9" s="269" customFormat="1" x14ac:dyDescent="0.25">
      <c r="A675" s="265"/>
      <c r="B675" s="266" t="s">
        <v>615</v>
      </c>
      <c r="C675" s="267"/>
      <c r="D675" s="265"/>
      <c r="E675" s="304"/>
      <c r="F675" s="268"/>
      <c r="I675" s="259"/>
    </row>
    <row r="676" spans="1:9" s="269" customFormat="1" ht="30" x14ac:dyDescent="0.25">
      <c r="A676" s="265"/>
      <c r="B676" s="270" t="s">
        <v>616</v>
      </c>
      <c r="C676" s="267"/>
      <c r="D676" s="265"/>
      <c r="E676" s="304"/>
      <c r="F676" s="268"/>
      <c r="I676" s="259"/>
    </row>
    <row r="677" spans="1:9" s="269" customFormat="1" x14ac:dyDescent="0.25">
      <c r="A677" s="265" t="s">
        <v>5</v>
      </c>
      <c r="B677" s="269" t="s">
        <v>617</v>
      </c>
      <c r="C677" s="262">
        <f>C659</f>
        <v>407.18999999999994</v>
      </c>
      <c r="D677" s="265" t="s">
        <v>35</v>
      </c>
      <c r="E677" s="304">
        <f>E441</f>
        <v>1400</v>
      </c>
      <c r="F677" s="268">
        <f>E677*C677</f>
        <v>570065.99999999988</v>
      </c>
      <c r="I677" s="259"/>
    </row>
    <row r="678" spans="1:9" s="269" customFormat="1" ht="24" customHeight="1" x14ac:dyDescent="0.25">
      <c r="A678" s="265" t="s">
        <v>6</v>
      </c>
      <c r="B678" s="271" t="s">
        <v>618</v>
      </c>
      <c r="C678" s="262">
        <f>C661</f>
        <v>0</v>
      </c>
      <c r="D678" s="265" t="s">
        <v>22</v>
      </c>
      <c r="E678" s="304">
        <v>550</v>
      </c>
      <c r="F678" s="268">
        <f>E678*C678</f>
        <v>0</v>
      </c>
      <c r="I678" s="259"/>
    </row>
    <row r="679" spans="1:9" s="269" customFormat="1" x14ac:dyDescent="0.25">
      <c r="A679" s="265" t="s">
        <v>7</v>
      </c>
      <c r="B679" s="271" t="s">
        <v>636</v>
      </c>
      <c r="C679" s="262"/>
      <c r="D679" s="265" t="s">
        <v>35</v>
      </c>
      <c r="E679" s="304">
        <f>E677</f>
        <v>1400</v>
      </c>
      <c r="F679" s="268">
        <f>E679*C679</f>
        <v>0</v>
      </c>
      <c r="I679" s="259"/>
    </row>
    <row r="680" spans="1:9" x14ac:dyDescent="0.25">
      <c r="A680" s="206" t="s">
        <v>8</v>
      </c>
      <c r="B680" s="233" t="s">
        <v>495</v>
      </c>
      <c r="D680" s="206" t="s">
        <v>22</v>
      </c>
      <c r="E680" s="304">
        <f>E678</f>
        <v>550</v>
      </c>
      <c r="F680" s="207">
        <f>E680*C680</f>
        <v>0</v>
      </c>
    </row>
    <row r="681" spans="1:9" s="269" customFormat="1" x14ac:dyDescent="0.25">
      <c r="A681" s="265"/>
      <c r="B681" s="271"/>
      <c r="C681" s="262"/>
      <c r="D681" s="265"/>
      <c r="E681" s="304"/>
      <c r="F681" s="268"/>
      <c r="I681" s="259"/>
    </row>
    <row r="682" spans="1:9" ht="27" customHeight="1" x14ac:dyDescent="0.25">
      <c r="B682" s="210" t="s">
        <v>152</v>
      </c>
    </row>
    <row r="683" spans="1:9" ht="30" x14ac:dyDescent="0.25">
      <c r="B683" s="226" t="s">
        <v>635</v>
      </c>
    </row>
    <row r="684" spans="1:9" x14ac:dyDescent="0.25">
      <c r="A684" s="206" t="s">
        <v>9</v>
      </c>
      <c r="B684" s="233" t="s">
        <v>612</v>
      </c>
      <c r="C684" s="205">
        <f>C677</f>
        <v>407.18999999999994</v>
      </c>
      <c r="D684" s="206" t="s">
        <v>35</v>
      </c>
      <c r="E684" s="304">
        <f>E448</f>
        <v>2200</v>
      </c>
      <c r="F684" s="207">
        <f>E684*C684</f>
        <v>895817.99999999988</v>
      </c>
    </row>
    <row r="685" spans="1:9" s="269" customFormat="1" ht="24" customHeight="1" x14ac:dyDescent="0.25">
      <c r="A685" s="265" t="s">
        <v>10</v>
      </c>
      <c r="B685" s="271" t="s">
        <v>618</v>
      </c>
      <c r="C685" s="262">
        <f>C678</f>
        <v>0</v>
      </c>
      <c r="D685" s="265" t="s">
        <v>22</v>
      </c>
      <c r="E685" s="304">
        <v>900</v>
      </c>
      <c r="F685" s="268">
        <f>E685*C685</f>
        <v>0</v>
      </c>
      <c r="I685" s="259"/>
    </row>
    <row r="686" spans="1:9" ht="18.95" customHeight="1" x14ac:dyDescent="0.25">
      <c r="A686" s="206" t="s">
        <v>11</v>
      </c>
      <c r="B686" s="218" t="s">
        <v>636</v>
      </c>
      <c r="D686" s="206" t="s">
        <v>35</v>
      </c>
      <c r="E686" s="304">
        <f>E662</f>
        <v>400</v>
      </c>
      <c r="F686" s="207">
        <f>E686*C686</f>
        <v>0</v>
      </c>
    </row>
    <row r="687" spans="1:9" x14ac:dyDescent="0.25">
      <c r="A687" s="206" t="s">
        <v>12</v>
      </c>
      <c r="B687" s="218" t="s">
        <v>685</v>
      </c>
      <c r="D687" s="206" t="s">
        <v>22</v>
      </c>
      <c r="E687" s="304">
        <f>E684*0.3</f>
        <v>660</v>
      </c>
      <c r="F687" s="207">
        <f>E687*C687</f>
        <v>0</v>
      </c>
    </row>
    <row r="688" spans="1:9" x14ac:dyDescent="0.25">
      <c r="A688" s="206" t="s">
        <v>13</v>
      </c>
      <c r="B688" s="214" t="s">
        <v>686</v>
      </c>
      <c r="D688" s="206" t="s">
        <v>22</v>
      </c>
      <c r="E688" s="304">
        <f>E663</f>
        <v>500</v>
      </c>
      <c r="F688" s="207">
        <f>E688*C688</f>
        <v>0</v>
      </c>
    </row>
    <row r="689" spans="2:7" ht="15.75" customHeight="1" x14ac:dyDescent="0.25"/>
    <row r="690" spans="2:7" ht="13.5" customHeight="1" x14ac:dyDescent="0.25">
      <c r="B690" s="220" t="s">
        <v>525</v>
      </c>
      <c r="C690" s="221"/>
      <c r="D690" s="209"/>
      <c r="E690" s="303" t="s">
        <v>15</v>
      </c>
      <c r="F690" s="285">
        <f>SUM(F671:F689)</f>
        <v>1465883.9999999998</v>
      </c>
      <c r="G690" s="285"/>
    </row>
    <row r="691" spans="2:7" x14ac:dyDescent="0.25">
      <c r="B691" s="220"/>
      <c r="C691" s="221"/>
      <c r="D691" s="209"/>
      <c r="E691" s="303"/>
      <c r="F691" s="285"/>
      <c r="G691" s="285"/>
    </row>
    <row r="692" spans="2:7" x14ac:dyDescent="0.25">
      <c r="B692" s="210" t="s">
        <v>531</v>
      </c>
      <c r="C692" s="221"/>
      <c r="D692" s="209"/>
      <c r="E692" s="303"/>
      <c r="F692" s="285"/>
      <c r="G692" s="285"/>
    </row>
    <row r="693" spans="2:7" x14ac:dyDescent="0.25">
      <c r="B693" s="210"/>
      <c r="C693" s="221"/>
      <c r="D693" s="209"/>
      <c r="E693" s="303"/>
      <c r="F693" s="285"/>
      <c r="G693" s="285"/>
    </row>
    <row r="694" spans="2:7" x14ac:dyDescent="0.25">
      <c r="B694" s="231" t="s">
        <v>464</v>
      </c>
      <c r="C694" s="221"/>
      <c r="D694" s="209"/>
      <c r="E694" s="304">
        <f>F666</f>
        <v>7639576</v>
      </c>
      <c r="F694" s="285"/>
      <c r="G694" s="285"/>
    </row>
    <row r="695" spans="2:7" x14ac:dyDescent="0.25">
      <c r="B695" s="231"/>
      <c r="C695" s="221"/>
      <c r="D695" s="209"/>
      <c r="F695" s="285"/>
      <c r="G695" s="285"/>
    </row>
    <row r="696" spans="2:7" ht="18.75" customHeight="1" x14ac:dyDescent="0.25">
      <c r="B696" s="231" t="s">
        <v>637</v>
      </c>
      <c r="C696" s="221"/>
      <c r="D696" s="209"/>
      <c r="E696" s="304">
        <f>F690</f>
        <v>1465883.9999999998</v>
      </c>
      <c r="F696" s="285"/>
      <c r="G696" s="285"/>
    </row>
    <row r="697" spans="2:7" x14ac:dyDescent="0.25">
      <c r="B697" s="220"/>
      <c r="C697" s="221"/>
      <c r="D697" s="209"/>
      <c r="F697" s="285"/>
      <c r="G697" s="285"/>
    </row>
    <row r="698" spans="2:7" x14ac:dyDescent="0.25">
      <c r="B698" s="220"/>
      <c r="C698" s="221"/>
      <c r="D698" s="209"/>
      <c r="F698" s="285"/>
      <c r="G698" s="285"/>
    </row>
    <row r="699" spans="2:7" ht="12" customHeight="1" x14ac:dyDescent="0.25">
      <c r="B699" s="220"/>
      <c r="C699" s="221"/>
      <c r="D699" s="209"/>
      <c r="E699" s="303"/>
      <c r="F699" s="285"/>
      <c r="G699" s="285"/>
    </row>
    <row r="700" spans="2:7" ht="12" customHeight="1" x14ac:dyDescent="0.25">
      <c r="B700" s="220"/>
      <c r="C700" s="221"/>
      <c r="D700" s="209"/>
      <c r="E700" s="303"/>
      <c r="F700" s="285"/>
      <c r="G700" s="285"/>
    </row>
    <row r="701" spans="2:7" ht="12" customHeight="1" x14ac:dyDescent="0.25">
      <c r="B701" s="220"/>
      <c r="C701" s="221"/>
      <c r="D701" s="209"/>
      <c r="E701" s="303"/>
      <c r="F701" s="285"/>
      <c r="G701" s="285"/>
    </row>
    <row r="702" spans="2:7" ht="12" customHeight="1" x14ac:dyDescent="0.25">
      <c r="B702" s="220"/>
      <c r="C702" s="221"/>
      <c r="D702" s="209"/>
      <c r="E702" s="303"/>
      <c r="F702" s="285"/>
      <c r="G702" s="285"/>
    </row>
    <row r="703" spans="2:7" ht="12" customHeight="1" x14ac:dyDescent="0.25">
      <c r="B703" s="220"/>
      <c r="C703" s="221"/>
      <c r="D703" s="209"/>
      <c r="E703" s="303"/>
      <c r="F703" s="285"/>
      <c r="G703" s="285"/>
    </row>
    <row r="704" spans="2:7" ht="12" customHeight="1" x14ac:dyDescent="0.25">
      <c r="B704" s="220"/>
      <c r="C704" s="221"/>
      <c r="D704" s="209"/>
      <c r="E704" s="303"/>
      <c r="F704" s="285"/>
      <c r="G704" s="285"/>
    </row>
    <row r="705" spans="1:7" ht="12" customHeight="1" x14ac:dyDescent="0.25">
      <c r="B705" s="220"/>
      <c r="C705" s="221"/>
      <c r="D705" s="209"/>
      <c r="E705" s="303"/>
      <c r="F705" s="285"/>
      <c r="G705" s="285"/>
    </row>
    <row r="706" spans="1:7" ht="12" customHeight="1" x14ac:dyDescent="0.25">
      <c r="B706" s="220"/>
      <c r="C706" s="221"/>
      <c r="D706" s="209"/>
      <c r="E706" s="303"/>
      <c r="F706" s="285"/>
      <c r="G706" s="285"/>
    </row>
    <row r="707" spans="1:7" ht="12" customHeight="1" x14ac:dyDescent="0.25">
      <c r="B707" s="220"/>
      <c r="C707" s="221"/>
      <c r="D707" s="209"/>
      <c r="E707" s="303"/>
      <c r="F707" s="285"/>
      <c r="G707" s="285"/>
    </row>
    <row r="708" spans="1:7" ht="12" customHeight="1" x14ac:dyDescent="0.25">
      <c r="B708" s="210" t="s">
        <v>236</v>
      </c>
      <c r="C708" s="221"/>
      <c r="D708" s="209"/>
      <c r="E708" s="303"/>
      <c r="F708" s="285"/>
      <c r="G708" s="285"/>
    </row>
    <row r="709" spans="1:7" ht="12" customHeight="1" x14ac:dyDescent="0.25">
      <c r="B709" s="220" t="s">
        <v>638</v>
      </c>
      <c r="C709" s="221"/>
      <c r="D709" s="209"/>
      <c r="E709" s="303" t="s">
        <v>15</v>
      </c>
      <c r="F709" s="285">
        <f>SUM(E692:E697)</f>
        <v>9105460</v>
      </c>
      <c r="G709" s="285"/>
    </row>
    <row r="710" spans="1:7" x14ac:dyDescent="0.25">
      <c r="B710" s="210" t="s">
        <v>639</v>
      </c>
    </row>
    <row r="711" spans="1:7" ht="12.75" customHeight="1" x14ac:dyDescent="0.25">
      <c r="B711" s="210" t="s">
        <v>265</v>
      </c>
    </row>
    <row r="712" spans="1:7" x14ac:dyDescent="0.25">
      <c r="B712" s="219" t="s">
        <v>610</v>
      </c>
    </row>
    <row r="713" spans="1:7" x14ac:dyDescent="0.25">
      <c r="B713" s="211" t="s">
        <v>640</v>
      </c>
    </row>
    <row r="714" spans="1:7" x14ac:dyDescent="0.25">
      <c r="B714" s="219"/>
    </row>
    <row r="715" spans="1:7" ht="60" x14ac:dyDescent="0.25">
      <c r="B715" s="226" t="s">
        <v>698</v>
      </c>
    </row>
    <row r="716" spans="1:7" x14ac:dyDescent="0.25">
      <c r="A716" s="206" t="s">
        <v>2</v>
      </c>
      <c r="B716" s="214" t="s">
        <v>699</v>
      </c>
      <c r="C716" s="205">
        <v>34</v>
      </c>
      <c r="D716" s="206" t="s">
        <v>35</v>
      </c>
      <c r="E716" s="304">
        <v>4900</v>
      </c>
      <c r="F716" s="207">
        <f>E716*C716</f>
        <v>166600</v>
      </c>
    </row>
    <row r="717" spans="1:7" ht="60" x14ac:dyDescent="0.25">
      <c r="B717" s="224" t="s">
        <v>641</v>
      </c>
      <c r="F717" s="289"/>
      <c r="G717" s="289"/>
    </row>
    <row r="718" spans="1:7" ht="30" x14ac:dyDescent="0.25">
      <c r="A718" s="206" t="s">
        <v>4</v>
      </c>
      <c r="B718" s="218" t="s">
        <v>700</v>
      </c>
      <c r="C718" s="262">
        <v>20</v>
      </c>
      <c r="D718" s="206" t="s">
        <v>35</v>
      </c>
      <c r="E718" s="304">
        <v>25600</v>
      </c>
      <c r="F718" s="207">
        <f t="shared" ref="F718:F727" si="3">E718*C718</f>
        <v>512000</v>
      </c>
    </row>
    <row r="719" spans="1:7" x14ac:dyDescent="0.25">
      <c r="A719" s="206" t="s">
        <v>5</v>
      </c>
      <c r="B719" s="214" t="s">
        <v>642</v>
      </c>
      <c r="C719" s="262">
        <f>C718*1.1</f>
        <v>22</v>
      </c>
      <c r="D719" s="206" t="s">
        <v>22</v>
      </c>
      <c r="E719" s="304">
        <f>E718*0.15</f>
        <v>3840</v>
      </c>
      <c r="F719" s="207">
        <f t="shared" si="3"/>
        <v>84480</v>
      </c>
    </row>
    <row r="720" spans="1:7" ht="30" x14ac:dyDescent="0.25">
      <c r="A720" s="206" t="s">
        <v>6</v>
      </c>
      <c r="B720" s="218" t="s">
        <v>901</v>
      </c>
      <c r="C720" s="262">
        <v>16</v>
      </c>
      <c r="D720" s="206" t="s">
        <v>35</v>
      </c>
      <c r="E720" s="304">
        <v>12350</v>
      </c>
      <c r="F720" s="207">
        <f>E720*C720</f>
        <v>197600</v>
      </c>
    </row>
    <row r="721" spans="1:9" x14ac:dyDescent="0.25">
      <c r="A721" s="206" t="s">
        <v>7</v>
      </c>
      <c r="B721" s="214" t="s">
        <v>642</v>
      </c>
      <c r="C721" s="262">
        <v>245</v>
      </c>
      <c r="D721" s="206" t="s">
        <v>22</v>
      </c>
      <c r="E721" s="304">
        <f>E720*0.15</f>
        <v>1852.5</v>
      </c>
      <c r="F721" s="207">
        <f>E721*C721</f>
        <v>453862.5</v>
      </c>
    </row>
    <row r="722" spans="1:9" ht="30" x14ac:dyDescent="0.25">
      <c r="A722" s="240" t="s">
        <v>8</v>
      </c>
      <c r="B722" s="218" t="s">
        <v>902</v>
      </c>
      <c r="C722" s="387">
        <v>60</v>
      </c>
      <c r="D722" s="240" t="s">
        <v>35</v>
      </c>
      <c r="E722" s="305">
        <f>E720</f>
        <v>12350</v>
      </c>
      <c r="F722" s="241">
        <f t="shared" si="3"/>
        <v>741000</v>
      </c>
      <c r="G722" s="241"/>
    </row>
    <row r="723" spans="1:9" ht="24" customHeight="1" x14ac:dyDescent="0.25">
      <c r="A723" s="206" t="s">
        <v>9</v>
      </c>
      <c r="B723" s="246" t="s">
        <v>642</v>
      </c>
      <c r="C723" s="205">
        <f>C722*1.1</f>
        <v>66</v>
      </c>
      <c r="D723" s="206" t="s">
        <v>22</v>
      </c>
      <c r="E723" s="304">
        <f>E722*0.15</f>
        <v>1852.5</v>
      </c>
      <c r="F723" s="207">
        <f t="shared" si="3"/>
        <v>122265</v>
      </c>
      <c r="H723" s="284"/>
    </row>
    <row r="724" spans="1:9" x14ac:dyDescent="0.25">
      <c r="B724" s="246"/>
      <c r="H724" s="284"/>
    </row>
    <row r="725" spans="1:9" ht="60" x14ac:dyDescent="0.25">
      <c r="B725" s="226" t="s">
        <v>643</v>
      </c>
      <c r="F725" s="288"/>
      <c r="G725" s="288"/>
    </row>
    <row r="726" spans="1:9" ht="30" x14ac:dyDescent="0.25">
      <c r="A726" s="206" t="s">
        <v>10</v>
      </c>
      <c r="B726" s="218" t="s">
        <v>701</v>
      </c>
      <c r="C726" s="262">
        <v>206</v>
      </c>
      <c r="D726" s="206" t="s">
        <v>35</v>
      </c>
      <c r="E726" s="304">
        <f>E720</f>
        <v>12350</v>
      </c>
      <c r="F726" s="207">
        <f t="shared" si="3"/>
        <v>2544100</v>
      </c>
    </row>
    <row r="727" spans="1:9" s="236" customFormat="1" ht="27" customHeight="1" x14ac:dyDescent="0.25">
      <c r="A727" s="206" t="s">
        <v>11</v>
      </c>
      <c r="B727" s="214" t="s">
        <v>642</v>
      </c>
      <c r="C727" s="205">
        <f>C726*1.1</f>
        <v>226.60000000000002</v>
      </c>
      <c r="D727" s="206" t="s">
        <v>22</v>
      </c>
      <c r="E727" s="304">
        <f>E726*0.15</f>
        <v>1852.5</v>
      </c>
      <c r="F727" s="207">
        <f t="shared" si="3"/>
        <v>419776.50000000006</v>
      </c>
      <c r="G727" s="207"/>
      <c r="I727" s="208"/>
    </row>
    <row r="728" spans="1:9" s="236" customFormat="1" x14ac:dyDescent="0.25">
      <c r="A728" s="206"/>
      <c r="B728" s="214"/>
      <c r="C728" s="205"/>
      <c r="D728" s="206"/>
      <c r="E728" s="304"/>
      <c r="F728" s="207"/>
      <c r="G728" s="207"/>
      <c r="I728" s="208"/>
    </row>
    <row r="729" spans="1:9" s="260" customFormat="1" ht="41.25" customHeight="1" x14ac:dyDescent="0.25">
      <c r="A729" s="206"/>
      <c r="B729" s="234" t="s">
        <v>644</v>
      </c>
      <c r="C729" s="205"/>
      <c r="D729" s="206"/>
      <c r="E729" s="304"/>
      <c r="F729" s="288"/>
      <c r="G729" s="288"/>
      <c r="I729" s="208"/>
    </row>
    <row r="730" spans="1:9" ht="24" customHeight="1" x14ac:dyDescent="0.25">
      <c r="B730" s="219" t="s">
        <v>645</v>
      </c>
      <c r="F730" s="288"/>
      <c r="G730" s="288"/>
    </row>
    <row r="731" spans="1:9" ht="18.95" customHeight="1" x14ac:dyDescent="0.25">
      <c r="A731" s="206" t="s">
        <v>12</v>
      </c>
      <c r="B731" s="214" t="s">
        <v>646</v>
      </c>
      <c r="C731" s="205">
        <f>C716+C718+C722+C726</f>
        <v>320</v>
      </c>
      <c r="D731" s="206" t="s">
        <v>35</v>
      </c>
      <c r="E731" s="304">
        <v>3100</v>
      </c>
      <c r="F731" s="207">
        <f>E731*C731</f>
        <v>992000</v>
      </c>
    </row>
    <row r="732" spans="1:9" x14ac:dyDescent="0.25">
      <c r="A732" s="206" t="s">
        <v>13</v>
      </c>
      <c r="B732" s="214" t="s">
        <v>627</v>
      </c>
      <c r="C732" s="205">
        <f>C719+C723+C727</f>
        <v>314.60000000000002</v>
      </c>
      <c r="D732" s="206" t="s">
        <v>22</v>
      </c>
      <c r="E732" s="304">
        <v>1000</v>
      </c>
      <c r="F732" s="207">
        <f>E732*C732</f>
        <v>314600</v>
      </c>
    </row>
    <row r="733" spans="1:9" ht="9.6" customHeight="1" x14ac:dyDescent="0.25"/>
    <row r="734" spans="1:9" ht="15.75" customHeight="1" x14ac:dyDescent="0.25">
      <c r="B734" s="242" t="s">
        <v>628</v>
      </c>
      <c r="F734" s="227"/>
      <c r="G734" s="227"/>
    </row>
    <row r="735" spans="1:9" ht="13.5" customHeight="1" x14ac:dyDescent="0.25">
      <c r="B735" s="224" t="s">
        <v>647</v>
      </c>
      <c r="F735" s="288"/>
      <c r="G735" s="288"/>
    </row>
    <row r="736" spans="1:9" ht="16.5" customHeight="1" x14ac:dyDescent="0.25">
      <c r="B736" s="210" t="s">
        <v>702</v>
      </c>
      <c r="F736" s="227"/>
      <c r="G736" s="227"/>
    </row>
    <row r="737" spans="1:7" ht="30" x14ac:dyDescent="0.25">
      <c r="A737" s="206" t="s">
        <v>14</v>
      </c>
      <c r="B737" s="218" t="s">
        <v>703</v>
      </c>
      <c r="D737" s="206" t="s">
        <v>35</v>
      </c>
      <c r="E737" s="304">
        <v>23300</v>
      </c>
      <c r="F737" s="207">
        <f>E737*C737</f>
        <v>0</v>
      </c>
    </row>
    <row r="738" spans="1:7" x14ac:dyDescent="0.25">
      <c r="A738" s="206" t="s">
        <v>15</v>
      </c>
      <c r="B738" s="214" t="s">
        <v>642</v>
      </c>
      <c r="C738" s="205">
        <f>C737*1.1</f>
        <v>0</v>
      </c>
      <c r="D738" s="206" t="s">
        <v>22</v>
      </c>
      <c r="E738" s="304">
        <f>E737*0.15</f>
        <v>3495</v>
      </c>
      <c r="F738" s="207">
        <f>E738*C738</f>
        <v>0</v>
      </c>
    </row>
    <row r="739" spans="1:7" ht="33" x14ac:dyDescent="0.25">
      <c r="B739" s="234" t="s">
        <v>648</v>
      </c>
      <c r="F739" s="227"/>
      <c r="G739" s="227"/>
    </row>
    <row r="740" spans="1:7" x14ac:dyDescent="0.25">
      <c r="B740" s="224" t="s">
        <v>645</v>
      </c>
      <c r="F740" s="227"/>
      <c r="G740" s="227"/>
    </row>
    <row r="741" spans="1:7" ht="18.75" customHeight="1" x14ac:dyDescent="0.25">
      <c r="A741" s="206" t="s">
        <v>16</v>
      </c>
      <c r="B741" s="214" t="s">
        <v>649</v>
      </c>
      <c r="C741" s="205">
        <f>C737</f>
        <v>0</v>
      </c>
      <c r="D741" s="206" t="s">
        <v>35</v>
      </c>
      <c r="E741" s="304">
        <f>E731</f>
        <v>3100</v>
      </c>
      <c r="F741" s="207">
        <f>E741*C741</f>
        <v>0</v>
      </c>
    </row>
    <row r="742" spans="1:7" x14ac:dyDescent="0.25">
      <c r="A742" s="206" t="s">
        <v>17</v>
      </c>
      <c r="B742" s="214" t="s">
        <v>627</v>
      </c>
      <c r="C742" s="205">
        <f>C738</f>
        <v>0</v>
      </c>
      <c r="D742" s="206" t="s">
        <v>22</v>
      </c>
      <c r="E742" s="304">
        <f>E732</f>
        <v>1000</v>
      </c>
      <c r="F742" s="207">
        <f>E742*C742</f>
        <v>0</v>
      </c>
    </row>
    <row r="744" spans="1:7" x14ac:dyDescent="0.25">
      <c r="B744" s="210" t="s">
        <v>265</v>
      </c>
    </row>
    <row r="745" spans="1:7" ht="12.75" customHeight="1" x14ac:dyDescent="0.25">
      <c r="B745" s="220" t="s">
        <v>534</v>
      </c>
      <c r="C745" s="221"/>
      <c r="D745" s="209"/>
      <c r="E745" s="303" t="s">
        <v>15</v>
      </c>
      <c r="F745" s="285">
        <f>SUM(F715:F744)</f>
        <v>6548284</v>
      </c>
      <c r="G745" s="285"/>
    </row>
    <row r="746" spans="1:7" ht="12" customHeight="1" x14ac:dyDescent="0.25">
      <c r="B746" s="210" t="s">
        <v>650</v>
      </c>
    </row>
    <row r="747" spans="1:7" ht="12" customHeight="1" x14ac:dyDescent="0.25">
      <c r="B747" s="210"/>
    </row>
    <row r="748" spans="1:7" ht="12" customHeight="1" x14ac:dyDescent="0.25">
      <c r="B748" s="210" t="s">
        <v>281</v>
      </c>
    </row>
    <row r="749" spans="1:7" ht="12" customHeight="1" x14ac:dyDescent="0.25">
      <c r="B749" s="210"/>
    </row>
    <row r="750" spans="1:7" ht="12" customHeight="1" x14ac:dyDescent="0.25">
      <c r="B750" s="210" t="s">
        <v>282</v>
      </c>
    </row>
    <row r="751" spans="1:7" ht="12" customHeight="1" x14ac:dyDescent="0.25">
      <c r="B751" s="210"/>
    </row>
    <row r="752" spans="1:7" ht="12" customHeight="1" x14ac:dyDescent="0.25">
      <c r="B752" s="220" t="s">
        <v>629</v>
      </c>
      <c r="F752" s="289"/>
      <c r="G752" s="289"/>
    </row>
    <row r="753" spans="1:7" x14ac:dyDescent="0.25">
      <c r="B753" s="224" t="s">
        <v>651</v>
      </c>
      <c r="F753" s="289"/>
      <c r="G753" s="289"/>
    </row>
    <row r="754" spans="1:7" x14ac:dyDescent="0.25">
      <c r="A754" s="206" t="s">
        <v>2</v>
      </c>
      <c r="B754" s="214" t="s">
        <v>652</v>
      </c>
      <c r="C754" s="262">
        <v>426</v>
      </c>
      <c r="D754" s="206" t="s">
        <v>35</v>
      </c>
      <c r="E754" s="304">
        <v>2650</v>
      </c>
      <c r="F754" s="207">
        <f>E754*C754</f>
        <v>1128900</v>
      </c>
    </row>
    <row r="755" spans="1:7" ht="12" customHeight="1" x14ac:dyDescent="0.25">
      <c r="B755" s="220" t="s">
        <v>614</v>
      </c>
      <c r="F755" s="289"/>
      <c r="G755" s="289"/>
    </row>
    <row r="756" spans="1:7" x14ac:dyDescent="0.25">
      <c r="B756" s="220" t="s">
        <v>687</v>
      </c>
      <c r="F756" s="289"/>
      <c r="G756" s="289"/>
    </row>
    <row r="757" spans="1:7" x14ac:dyDescent="0.25">
      <c r="A757" s="206" t="s">
        <v>4</v>
      </c>
      <c r="B757" s="214" t="s">
        <v>688</v>
      </c>
      <c r="C757" s="205">
        <f>C754</f>
        <v>426</v>
      </c>
      <c r="D757" s="206" t="s">
        <v>35</v>
      </c>
      <c r="E757" s="304">
        <v>12700</v>
      </c>
      <c r="F757" s="207">
        <f>E757*C757</f>
        <v>5410200</v>
      </c>
    </row>
    <row r="759" spans="1:7" x14ac:dyDescent="0.25">
      <c r="B759" s="220" t="s">
        <v>653</v>
      </c>
      <c r="F759" s="289"/>
      <c r="G759" s="289"/>
    </row>
    <row r="760" spans="1:7" ht="19.5" customHeight="1" x14ac:dyDescent="0.25">
      <c r="B760" s="272" t="s">
        <v>654</v>
      </c>
    </row>
    <row r="761" spans="1:7" ht="16.5" customHeight="1" x14ac:dyDescent="0.25">
      <c r="A761" s="206" t="s">
        <v>6</v>
      </c>
      <c r="B761" s="214" t="s">
        <v>287</v>
      </c>
      <c r="C761" s="262">
        <v>1616</v>
      </c>
      <c r="D761" s="206" t="s">
        <v>22</v>
      </c>
      <c r="E761" s="304">
        <v>400</v>
      </c>
      <c r="F761" s="207">
        <f>E761*C761</f>
        <v>646400</v>
      </c>
    </row>
    <row r="762" spans="1:7" ht="15.75" customHeight="1" x14ac:dyDescent="0.25">
      <c r="B762" s="220" t="s">
        <v>152</v>
      </c>
      <c r="F762" s="289"/>
      <c r="G762" s="289"/>
    </row>
    <row r="763" spans="1:7" ht="30" x14ac:dyDescent="0.25">
      <c r="B763" s="218" t="s">
        <v>655</v>
      </c>
      <c r="F763" s="289"/>
      <c r="G763" s="289"/>
    </row>
    <row r="764" spans="1:7" ht="17.25" customHeight="1" x14ac:dyDescent="0.25">
      <c r="A764" s="206" t="s">
        <v>7</v>
      </c>
      <c r="B764" s="214" t="s">
        <v>656</v>
      </c>
      <c r="C764" s="205">
        <f>C757</f>
        <v>426</v>
      </c>
      <c r="D764" s="206" t="s">
        <v>35</v>
      </c>
      <c r="E764" s="304">
        <f>E647</f>
        <v>1500</v>
      </c>
      <c r="F764" s="207">
        <f>E764*C764</f>
        <v>639000</v>
      </c>
    </row>
    <row r="765" spans="1:7" ht="17.25" customHeight="1" x14ac:dyDescent="0.25"/>
    <row r="766" spans="1:7" ht="18" customHeight="1" x14ac:dyDescent="0.25">
      <c r="B766" s="219"/>
      <c r="F766" s="384"/>
      <c r="G766" s="384"/>
    </row>
    <row r="767" spans="1:7" x14ac:dyDescent="0.25">
      <c r="B767" s="215"/>
      <c r="F767" s="289"/>
      <c r="G767" s="289"/>
    </row>
    <row r="768" spans="1:7" x14ac:dyDescent="0.25">
      <c r="B768" s="215"/>
      <c r="F768" s="289"/>
      <c r="G768" s="289"/>
    </row>
    <row r="769" spans="1:7" x14ac:dyDescent="0.25">
      <c r="B769" s="215"/>
      <c r="F769" s="289"/>
      <c r="G769" s="289"/>
    </row>
    <row r="770" spans="1:7" x14ac:dyDescent="0.25">
      <c r="B770" s="215"/>
      <c r="F770" s="289"/>
      <c r="G770" s="289"/>
    </row>
    <row r="771" spans="1:7" x14ac:dyDescent="0.25">
      <c r="B771" s="215"/>
      <c r="F771" s="289"/>
      <c r="G771" s="289"/>
    </row>
    <row r="772" spans="1:7" x14ac:dyDescent="0.25">
      <c r="B772" s="215"/>
      <c r="F772" s="289"/>
      <c r="G772" s="289"/>
    </row>
    <row r="773" spans="1:7" x14ac:dyDescent="0.25">
      <c r="B773" s="215"/>
      <c r="F773" s="289"/>
      <c r="G773" s="289"/>
    </row>
    <row r="774" spans="1:7" x14ac:dyDescent="0.25">
      <c r="B774" s="215"/>
      <c r="F774" s="289"/>
      <c r="G774" s="289"/>
    </row>
    <row r="775" spans="1:7" x14ac:dyDescent="0.25">
      <c r="B775" s="215"/>
      <c r="F775" s="289"/>
      <c r="G775" s="289"/>
    </row>
    <row r="776" spans="1:7" x14ac:dyDescent="0.25">
      <c r="B776" s="215"/>
      <c r="F776" s="289"/>
      <c r="G776" s="289"/>
    </row>
    <row r="777" spans="1:7" x14ac:dyDescent="0.25">
      <c r="B777" s="215"/>
      <c r="F777" s="289"/>
      <c r="G777" s="289"/>
    </row>
    <row r="778" spans="1:7" x14ac:dyDescent="0.25">
      <c r="B778" s="215"/>
      <c r="F778" s="289"/>
      <c r="G778" s="289"/>
    </row>
    <row r="779" spans="1:7" x14ac:dyDescent="0.25">
      <c r="B779" s="215"/>
      <c r="F779" s="289"/>
      <c r="G779" s="289"/>
    </row>
    <row r="780" spans="1:7" x14ac:dyDescent="0.25">
      <c r="B780" s="215"/>
      <c r="F780" s="289"/>
      <c r="G780" s="289"/>
    </row>
    <row r="781" spans="1:7" x14ac:dyDescent="0.25">
      <c r="B781" s="215"/>
      <c r="F781" s="289"/>
      <c r="G781" s="289"/>
    </row>
    <row r="782" spans="1:7" x14ac:dyDescent="0.25">
      <c r="B782" s="210" t="s">
        <v>281</v>
      </c>
      <c r="C782" s="221"/>
      <c r="D782" s="209"/>
      <c r="E782" s="303"/>
      <c r="F782" s="222"/>
      <c r="G782" s="222"/>
    </row>
    <row r="783" spans="1:7" x14ac:dyDescent="0.25">
      <c r="B783" s="220" t="s">
        <v>534</v>
      </c>
      <c r="C783" s="221"/>
      <c r="D783" s="209"/>
      <c r="E783" s="303" t="s">
        <v>15</v>
      </c>
      <c r="F783" s="285">
        <f>SUM(F752:F782)</f>
        <v>7824500</v>
      </c>
      <c r="G783" s="285"/>
    </row>
    <row r="784" spans="1:7" customFormat="1" ht="18.75" x14ac:dyDescent="0.25">
      <c r="A784" s="197"/>
      <c r="B784" s="292" t="s">
        <v>608</v>
      </c>
      <c r="C784" s="293"/>
      <c r="D784" s="294"/>
      <c r="E784" s="295"/>
      <c r="F784" s="296"/>
    </row>
    <row r="785" spans="1:8" customFormat="1" ht="15" customHeight="1" x14ac:dyDescent="0.25">
      <c r="A785" s="197"/>
      <c r="B785" s="292" t="s">
        <v>657</v>
      </c>
      <c r="C785" s="293"/>
      <c r="D785" s="294"/>
      <c r="E785" s="295"/>
      <c r="F785" s="296"/>
    </row>
    <row r="786" spans="1:8" s="315" customFormat="1" x14ac:dyDescent="0.35">
      <c r="A786" s="314"/>
      <c r="B786" s="335" t="s">
        <v>709</v>
      </c>
      <c r="C786" s="262"/>
      <c r="D786" s="314"/>
      <c r="E786" s="316"/>
    </row>
    <row r="787" spans="1:8" s="315" customFormat="1" x14ac:dyDescent="0.3">
      <c r="A787" s="314" t="s">
        <v>2</v>
      </c>
      <c r="B787" s="315" t="s">
        <v>710</v>
      </c>
      <c r="C787" s="262">
        <v>43</v>
      </c>
      <c r="D787" s="314" t="s">
        <v>21</v>
      </c>
      <c r="E787" s="316">
        <v>4500</v>
      </c>
      <c r="F787" s="207">
        <f>E787*C787</f>
        <v>193500</v>
      </c>
      <c r="G787" s="318"/>
      <c r="H787" s="319"/>
    </row>
    <row r="788" spans="1:8" s="315" customFormat="1" x14ac:dyDescent="0.3">
      <c r="A788" s="314" t="s">
        <v>4</v>
      </c>
      <c r="B788" s="315" t="s">
        <v>711</v>
      </c>
      <c r="C788" s="262">
        <f>43*3</f>
        <v>129</v>
      </c>
      <c r="D788" s="314" t="s">
        <v>21</v>
      </c>
      <c r="E788" s="316">
        <v>3200</v>
      </c>
      <c r="F788" s="207">
        <f>E788*C788</f>
        <v>412800</v>
      </c>
      <c r="G788" s="318"/>
      <c r="H788" s="319"/>
    </row>
    <row r="789" spans="1:8" s="315" customFormat="1" x14ac:dyDescent="0.3">
      <c r="A789" s="314" t="s">
        <v>4</v>
      </c>
      <c r="B789" s="315" t="s">
        <v>746</v>
      </c>
      <c r="C789" s="262">
        <f>43*5</f>
        <v>215</v>
      </c>
      <c r="D789" s="314" t="s">
        <v>21</v>
      </c>
      <c r="E789" s="316">
        <v>3200</v>
      </c>
      <c r="F789" s="207">
        <f>E789*C789</f>
        <v>688000</v>
      </c>
      <c r="G789" s="318"/>
      <c r="H789" s="319"/>
    </row>
    <row r="790" spans="1:8" s="315" customFormat="1" x14ac:dyDescent="0.3">
      <c r="A790" s="314" t="s">
        <v>5</v>
      </c>
      <c r="B790" s="315" t="s">
        <v>712</v>
      </c>
      <c r="C790" s="262">
        <f>(43*1)+(15*6)</f>
        <v>133</v>
      </c>
      <c r="D790" s="314" t="s">
        <v>21</v>
      </c>
      <c r="E790" s="316">
        <v>5700</v>
      </c>
      <c r="F790" s="207">
        <f>E790*C790</f>
        <v>758100</v>
      </c>
      <c r="G790" s="318"/>
      <c r="H790" s="319"/>
    </row>
    <row r="791" spans="1:8" s="315" customFormat="1" x14ac:dyDescent="0.3">
      <c r="A791" s="314" t="s">
        <v>6</v>
      </c>
      <c r="B791" s="315" t="s">
        <v>713</v>
      </c>
      <c r="C791" s="262">
        <f>43*3</f>
        <v>129</v>
      </c>
      <c r="D791" s="314" t="s">
        <v>21</v>
      </c>
      <c r="E791" s="316">
        <v>3980</v>
      </c>
      <c r="F791" s="207">
        <f t="shared" ref="F791:F816" si="4">E791*C791</f>
        <v>513420</v>
      </c>
      <c r="G791" s="318"/>
      <c r="H791" s="319"/>
    </row>
    <row r="792" spans="1:8" s="315" customFormat="1" x14ac:dyDescent="0.3">
      <c r="A792" s="314" t="s">
        <v>7</v>
      </c>
      <c r="B792" s="315" t="s">
        <v>714</v>
      </c>
      <c r="C792" s="262">
        <v>32</v>
      </c>
      <c r="D792" s="314" t="s">
        <v>715</v>
      </c>
      <c r="E792" s="316">
        <v>4700</v>
      </c>
      <c r="F792" s="207">
        <f t="shared" si="4"/>
        <v>150400</v>
      </c>
      <c r="G792" s="318"/>
      <c r="H792" s="319"/>
    </row>
    <row r="793" spans="1:8" s="315" customFormat="1" x14ac:dyDescent="0.3">
      <c r="A793" s="314" t="s">
        <v>8</v>
      </c>
      <c r="B793" s="315" t="s">
        <v>716</v>
      </c>
      <c r="C793" s="262">
        <v>54</v>
      </c>
      <c r="D793" s="314" t="s">
        <v>715</v>
      </c>
      <c r="E793" s="316">
        <v>300</v>
      </c>
      <c r="F793" s="207">
        <f t="shared" si="4"/>
        <v>16200</v>
      </c>
      <c r="G793" s="318"/>
      <c r="H793" s="319"/>
    </row>
    <row r="794" spans="1:8" s="315" customFormat="1" x14ac:dyDescent="0.3">
      <c r="A794" s="314" t="s">
        <v>9</v>
      </c>
      <c r="B794" s="315" t="s">
        <v>717</v>
      </c>
      <c r="C794" s="262">
        <v>123</v>
      </c>
      <c r="D794" s="314" t="s">
        <v>715</v>
      </c>
      <c r="E794" s="316">
        <v>300</v>
      </c>
      <c r="F794" s="207">
        <f t="shared" si="4"/>
        <v>36900</v>
      </c>
      <c r="G794" s="318"/>
      <c r="H794" s="319"/>
    </row>
    <row r="795" spans="1:8" s="315" customFormat="1" x14ac:dyDescent="0.3">
      <c r="A795" s="314" t="s">
        <v>10</v>
      </c>
      <c r="B795" s="315" t="s">
        <v>718</v>
      </c>
      <c r="C795" s="262">
        <v>65</v>
      </c>
      <c r="D795" s="314" t="s">
        <v>715</v>
      </c>
      <c r="E795" s="316">
        <v>300</v>
      </c>
      <c r="F795" s="207">
        <f t="shared" si="4"/>
        <v>19500</v>
      </c>
      <c r="G795" s="318"/>
      <c r="H795" s="319"/>
    </row>
    <row r="796" spans="1:8" s="315" customFormat="1" x14ac:dyDescent="0.3">
      <c r="A796" s="314" t="s">
        <v>11</v>
      </c>
      <c r="B796" s="315" t="s">
        <v>719</v>
      </c>
      <c r="C796" s="262">
        <v>154</v>
      </c>
      <c r="D796" s="314" t="s">
        <v>21</v>
      </c>
      <c r="E796" s="316">
        <v>300</v>
      </c>
      <c r="F796" s="207">
        <f t="shared" si="4"/>
        <v>46200</v>
      </c>
      <c r="G796" s="318"/>
      <c r="H796" s="319"/>
    </row>
    <row r="797" spans="1:8" s="315" customFormat="1" x14ac:dyDescent="0.3">
      <c r="A797" s="314" t="s">
        <v>12</v>
      </c>
      <c r="B797" s="315" t="s">
        <v>720</v>
      </c>
      <c r="C797" s="262">
        <v>64</v>
      </c>
      <c r="D797" s="314" t="s">
        <v>21</v>
      </c>
      <c r="E797" s="316">
        <v>300</v>
      </c>
      <c r="F797" s="207">
        <f t="shared" si="4"/>
        <v>19200</v>
      </c>
      <c r="G797" s="318"/>
      <c r="H797" s="319"/>
    </row>
    <row r="798" spans="1:8" s="315" customFormat="1" x14ac:dyDescent="0.3">
      <c r="A798" s="314" t="s">
        <v>13</v>
      </c>
      <c r="B798" s="315" t="s">
        <v>721</v>
      </c>
      <c r="C798" s="262">
        <v>71</v>
      </c>
      <c r="D798" s="314" t="s">
        <v>715</v>
      </c>
      <c r="E798" s="316">
        <v>800</v>
      </c>
      <c r="F798" s="207">
        <f t="shared" si="4"/>
        <v>56800</v>
      </c>
      <c r="G798" s="318"/>
      <c r="H798" s="319"/>
    </row>
    <row r="799" spans="1:8" s="315" customFormat="1" x14ac:dyDescent="0.3">
      <c r="A799" s="314" t="s">
        <v>14</v>
      </c>
      <c r="B799" s="315" t="s">
        <v>722</v>
      </c>
      <c r="C799" s="262">
        <v>76</v>
      </c>
      <c r="D799" s="314" t="s">
        <v>715</v>
      </c>
      <c r="E799" s="316">
        <v>200</v>
      </c>
      <c r="F799" s="207">
        <f t="shared" si="4"/>
        <v>15200</v>
      </c>
      <c r="G799" s="318"/>
      <c r="H799" s="319"/>
    </row>
    <row r="800" spans="1:8" s="315" customFormat="1" x14ac:dyDescent="0.3">
      <c r="A800" s="314" t="s">
        <v>15</v>
      </c>
      <c r="B800" s="315" t="s">
        <v>723</v>
      </c>
      <c r="C800" s="262">
        <v>156</v>
      </c>
      <c r="D800" s="314" t="s">
        <v>715</v>
      </c>
      <c r="E800" s="316">
        <v>200</v>
      </c>
      <c r="F800" s="207">
        <f>E800*C800</f>
        <v>31200</v>
      </c>
      <c r="G800" s="318"/>
      <c r="H800" s="319"/>
    </row>
    <row r="801" spans="1:8" s="315" customFormat="1" x14ac:dyDescent="0.3">
      <c r="A801" s="314" t="s">
        <v>16</v>
      </c>
      <c r="B801" s="315" t="s">
        <v>724</v>
      </c>
      <c r="C801" s="262">
        <v>32</v>
      </c>
      <c r="D801" s="314" t="s">
        <v>715</v>
      </c>
      <c r="E801" s="316">
        <v>200</v>
      </c>
      <c r="F801" s="207">
        <f t="shared" si="4"/>
        <v>6400</v>
      </c>
      <c r="G801" s="318"/>
      <c r="H801" s="319"/>
    </row>
    <row r="802" spans="1:8" s="315" customFormat="1" x14ac:dyDescent="0.3">
      <c r="A802" s="314" t="s">
        <v>17</v>
      </c>
      <c r="B802" s="315" t="s">
        <v>725</v>
      </c>
      <c r="C802" s="262">
        <v>45</v>
      </c>
      <c r="D802" s="314" t="s">
        <v>715</v>
      </c>
      <c r="E802" s="316">
        <v>200</v>
      </c>
      <c r="F802" s="207">
        <f t="shared" si="4"/>
        <v>9000</v>
      </c>
      <c r="G802" s="318"/>
      <c r="H802" s="319"/>
    </row>
    <row r="803" spans="1:8" s="315" customFormat="1" x14ac:dyDescent="0.3">
      <c r="A803" s="314" t="s">
        <v>26</v>
      </c>
      <c r="B803" s="315" t="s">
        <v>726</v>
      </c>
      <c r="C803" s="262">
        <v>32</v>
      </c>
      <c r="D803" s="314" t="s">
        <v>715</v>
      </c>
      <c r="E803" s="316">
        <v>2200</v>
      </c>
      <c r="F803" s="207">
        <f t="shared" si="4"/>
        <v>70400</v>
      </c>
      <c r="G803" s="318"/>
      <c r="H803" s="319"/>
    </row>
    <row r="804" spans="1:8" s="315" customFormat="1" x14ac:dyDescent="0.3">
      <c r="A804" s="314" t="s">
        <v>27</v>
      </c>
      <c r="B804" s="315" t="s">
        <v>727</v>
      </c>
      <c r="C804" s="262">
        <v>37</v>
      </c>
      <c r="D804" s="314" t="s">
        <v>715</v>
      </c>
      <c r="E804" s="316">
        <v>200</v>
      </c>
      <c r="F804" s="207">
        <f t="shared" si="4"/>
        <v>7400</v>
      </c>
      <c r="G804" s="318"/>
      <c r="H804" s="319"/>
    </row>
    <row r="805" spans="1:8" s="315" customFormat="1" x14ac:dyDescent="0.3">
      <c r="A805" s="314" t="s">
        <v>28</v>
      </c>
      <c r="B805" s="315" t="s">
        <v>728</v>
      </c>
      <c r="C805" s="262">
        <v>61</v>
      </c>
      <c r="D805" s="314" t="s">
        <v>715</v>
      </c>
      <c r="E805" s="316">
        <v>600</v>
      </c>
      <c r="F805" s="207">
        <f t="shared" si="4"/>
        <v>36600</v>
      </c>
      <c r="G805" s="318"/>
      <c r="H805" s="319"/>
    </row>
    <row r="806" spans="1:8" s="315" customFormat="1" x14ac:dyDescent="0.3">
      <c r="A806" s="314" t="s">
        <v>29</v>
      </c>
      <c r="B806" s="315" t="s">
        <v>729</v>
      </c>
      <c r="C806" s="262">
        <v>147</v>
      </c>
      <c r="D806" s="314" t="s">
        <v>715</v>
      </c>
      <c r="E806" s="316">
        <v>1200</v>
      </c>
      <c r="F806" s="207">
        <f t="shared" si="4"/>
        <v>176400</v>
      </c>
      <c r="G806" s="318"/>
      <c r="H806" s="319"/>
    </row>
    <row r="807" spans="1:8" s="315" customFormat="1" x14ac:dyDescent="0.3">
      <c r="A807" s="314" t="s">
        <v>30</v>
      </c>
      <c r="B807" s="315" t="s">
        <v>730</v>
      </c>
      <c r="C807" s="262">
        <v>45</v>
      </c>
      <c r="D807" s="314" t="s">
        <v>715</v>
      </c>
      <c r="E807" s="316">
        <v>1300</v>
      </c>
      <c r="F807" s="207">
        <f t="shared" si="4"/>
        <v>58500</v>
      </c>
      <c r="G807" s="318"/>
      <c r="H807" s="319"/>
    </row>
    <row r="808" spans="1:8" s="315" customFormat="1" x14ac:dyDescent="0.3">
      <c r="A808" s="314" t="s">
        <v>31</v>
      </c>
      <c r="B808" s="315" t="s">
        <v>731</v>
      </c>
      <c r="C808" s="262">
        <v>32</v>
      </c>
      <c r="D808" s="314" t="s">
        <v>715</v>
      </c>
      <c r="E808" s="316">
        <v>1000</v>
      </c>
      <c r="F808" s="207">
        <f t="shared" si="4"/>
        <v>32000</v>
      </c>
      <c r="G808" s="318"/>
      <c r="H808" s="319"/>
    </row>
    <row r="809" spans="1:8" s="315" customFormat="1" x14ac:dyDescent="0.3">
      <c r="A809" s="314" t="s">
        <v>32</v>
      </c>
      <c r="B809" s="315" t="s">
        <v>732</v>
      </c>
      <c r="C809" s="262">
        <v>64</v>
      </c>
      <c r="D809" s="314" t="s">
        <v>715</v>
      </c>
      <c r="E809" s="316">
        <v>1400</v>
      </c>
      <c r="F809" s="207">
        <f t="shared" si="4"/>
        <v>89600</v>
      </c>
      <c r="G809" s="318"/>
      <c r="H809" s="319"/>
    </row>
    <row r="810" spans="1:8" s="315" customFormat="1" x14ac:dyDescent="0.3">
      <c r="A810" s="314" t="s">
        <v>33</v>
      </c>
      <c r="B810" s="315" t="s">
        <v>733</v>
      </c>
      <c r="C810" s="262">
        <v>32</v>
      </c>
      <c r="D810" s="314" t="s">
        <v>715</v>
      </c>
      <c r="E810" s="316">
        <v>1200</v>
      </c>
      <c r="F810" s="207">
        <f t="shared" si="4"/>
        <v>38400</v>
      </c>
      <c r="G810" s="318"/>
      <c r="H810" s="319"/>
    </row>
    <row r="811" spans="1:8" s="315" customFormat="1" x14ac:dyDescent="0.3">
      <c r="A811" s="314" t="s">
        <v>734</v>
      </c>
      <c r="B811" s="315" t="s">
        <v>735</v>
      </c>
      <c r="C811" s="262">
        <v>176</v>
      </c>
      <c r="D811" s="314" t="s">
        <v>715</v>
      </c>
      <c r="E811" s="316">
        <v>550</v>
      </c>
      <c r="F811" s="207">
        <f t="shared" si="4"/>
        <v>96800</v>
      </c>
      <c r="G811" s="318"/>
      <c r="H811" s="319"/>
    </row>
    <row r="812" spans="1:8" s="315" customFormat="1" x14ac:dyDescent="0.3">
      <c r="A812" s="314" t="s">
        <v>2</v>
      </c>
      <c r="B812" s="315" t="s">
        <v>736</v>
      </c>
      <c r="C812" s="262">
        <v>76</v>
      </c>
      <c r="D812" s="314" t="s">
        <v>715</v>
      </c>
      <c r="E812" s="316">
        <v>550</v>
      </c>
      <c r="F812" s="207">
        <f t="shared" si="4"/>
        <v>41800</v>
      </c>
      <c r="G812" s="318"/>
      <c r="H812" s="319"/>
    </row>
    <row r="813" spans="1:8" s="315" customFormat="1" x14ac:dyDescent="0.3">
      <c r="A813" s="314" t="s">
        <v>4</v>
      </c>
      <c r="B813" s="315" t="s">
        <v>760</v>
      </c>
      <c r="C813" s="262">
        <v>58</v>
      </c>
      <c r="D813" s="314" t="s">
        <v>715</v>
      </c>
      <c r="E813" s="316">
        <v>550</v>
      </c>
      <c r="F813" s="207">
        <f t="shared" si="4"/>
        <v>31900</v>
      </c>
      <c r="G813" s="318"/>
      <c r="H813" s="319"/>
    </row>
    <row r="814" spans="1:8" s="315" customFormat="1" x14ac:dyDescent="0.3">
      <c r="A814" s="314" t="s">
        <v>5</v>
      </c>
      <c r="B814" s="315" t="s">
        <v>747</v>
      </c>
      <c r="C814" s="262">
        <v>43</v>
      </c>
      <c r="D814" s="314" t="s">
        <v>715</v>
      </c>
      <c r="E814" s="316">
        <v>8200</v>
      </c>
      <c r="F814" s="207">
        <f t="shared" si="4"/>
        <v>352600</v>
      </c>
      <c r="G814" s="318"/>
      <c r="H814" s="319"/>
    </row>
    <row r="815" spans="1:8" s="315" customFormat="1" x14ac:dyDescent="0.3">
      <c r="A815" s="314" t="s">
        <v>6</v>
      </c>
      <c r="B815" s="315" t="s">
        <v>737</v>
      </c>
      <c r="C815" s="262">
        <v>35</v>
      </c>
      <c r="D815" s="314" t="s">
        <v>697</v>
      </c>
      <c r="E815" s="316">
        <v>10000</v>
      </c>
      <c r="F815" s="207">
        <f t="shared" si="4"/>
        <v>350000</v>
      </c>
      <c r="G815" s="318"/>
      <c r="H815" s="319"/>
    </row>
    <row r="816" spans="1:8" s="315" customFormat="1" x14ac:dyDescent="0.3">
      <c r="A816" s="314" t="s">
        <v>7</v>
      </c>
      <c r="B816" s="315" t="s">
        <v>738</v>
      </c>
      <c r="C816" s="262">
        <v>14</v>
      </c>
      <c r="D816" s="314" t="s">
        <v>739</v>
      </c>
      <c r="E816" s="316">
        <v>1100</v>
      </c>
      <c r="F816" s="207">
        <f t="shared" si="4"/>
        <v>15400</v>
      </c>
      <c r="G816" s="318"/>
      <c r="H816" s="319"/>
    </row>
    <row r="817" spans="1:7" s="315" customFormat="1" x14ac:dyDescent="0.3">
      <c r="A817" s="314" t="s">
        <v>8</v>
      </c>
      <c r="B817" s="315" t="s">
        <v>759</v>
      </c>
      <c r="C817" s="262"/>
      <c r="D817" s="314"/>
      <c r="E817" s="316"/>
      <c r="F817" s="207">
        <v>570000</v>
      </c>
      <c r="G817" s="318"/>
    </row>
    <row r="818" spans="1:7" s="315" customFormat="1" x14ac:dyDescent="0.3">
      <c r="A818" s="314"/>
      <c r="C818" s="262"/>
      <c r="D818" s="314"/>
      <c r="E818" s="316"/>
      <c r="F818" s="207"/>
      <c r="G818" s="214"/>
    </row>
    <row r="819" spans="1:7" s="315" customFormat="1" ht="15" x14ac:dyDescent="0.3">
      <c r="A819" s="314"/>
      <c r="G819" s="214"/>
    </row>
    <row r="820" spans="1:7" s="315" customFormat="1" x14ac:dyDescent="0.3">
      <c r="A820" s="314"/>
      <c r="C820" s="262"/>
      <c r="D820" s="314"/>
      <c r="E820" s="316"/>
      <c r="F820" s="207"/>
      <c r="G820" s="214"/>
    </row>
    <row r="821" spans="1:7" s="315" customFormat="1" x14ac:dyDescent="0.35">
      <c r="A821" s="314"/>
      <c r="B821" s="220" t="s">
        <v>520</v>
      </c>
      <c r="C821" s="262"/>
      <c r="D821" s="314"/>
      <c r="E821" s="321" t="s">
        <v>15</v>
      </c>
      <c r="F821" s="322">
        <f>SUM(F787:F820)</f>
        <v>4940620</v>
      </c>
      <c r="G821" s="214"/>
    </row>
    <row r="822" spans="1:7" s="315" customFormat="1" x14ac:dyDescent="0.3">
      <c r="A822" s="314"/>
      <c r="B822" s="220" t="s">
        <v>740</v>
      </c>
      <c r="C822" s="262"/>
      <c r="D822" s="314"/>
      <c r="E822" s="316"/>
      <c r="F822" s="323"/>
      <c r="G822" s="214"/>
    </row>
    <row r="823" spans="1:7" s="315" customFormat="1" x14ac:dyDescent="0.35">
      <c r="A823" s="314"/>
      <c r="B823" s="317" t="s">
        <v>741</v>
      </c>
      <c r="C823" s="262"/>
      <c r="D823" s="314"/>
      <c r="E823" s="316"/>
      <c r="F823" s="323"/>
      <c r="G823" s="214"/>
    </row>
    <row r="824" spans="1:7" s="315" customFormat="1" x14ac:dyDescent="0.35">
      <c r="A824" s="314"/>
      <c r="B824" s="317"/>
      <c r="C824" s="262"/>
      <c r="D824" s="314"/>
      <c r="E824" s="316"/>
      <c r="F824" s="323"/>
      <c r="G824" s="214"/>
    </row>
    <row r="825" spans="1:7" s="315" customFormat="1" ht="105" x14ac:dyDescent="0.35">
      <c r="A825" s="314" t="s">
        <v>2</v>
      </c>
      <c r="B825" s="340" t="s">
        <v>748</v>
      </c>
      <c r="C825" s="336">
        <f>10+16+17</f>
        <v>43</v>
      </c>
      <c r="D825" s="314" t="s">
        <v>185</v>
      </c>
      <c r="E825" s="324">
        <v>450000</v>
      </c>
      <c r="F825" s="337">
        <f>E825*C825</f>
        <v>19350000</v>
      </c>
      <c r="G825" s="214"/>
    </row>
    <row r="826" spans="1:7" s="315" customFormat="1" ht="105" x14ac:dyDescent="0.35">
      <c r="A826" s="314" t="s">
        <v>4</v>
      </c>
      <c r="B826" s="340" t="s">
        <v>755</v>
      </c>
      <c r="C826" s="336">
        <v>1</v>
      </c>
      <c r="D826" s="314" t="s">
        <v>185</v>
      </c>
      <c r="E826" s="324">
        <v>390000</v>
      </c>
      <c r="F826" s="337">
        <f>E826*C826</f>
        <v>390000</v>
      </c>
      <c r="G826" s="214"/>
    </row>
    <row r="827" spans="1:7" s="315" customFormat="1" ht="105" x14ac:dyDescent="0.35">
      <c r="A827" s="314" t="s">
        <v>5</v>
      </c>
      <c r="B827" s="340" t="s">
        <v>756</v>
      </c>
      <c r="C827" s="336">
        <v>3</v>
      </c>
      <c r="D827" s="314" t="s">
        <v>185</v>
      </c>
      <c r="E827" s="324">
        <v>284000</v>
      </c>
      <c r="F827" s="337">
        <f>E827*C827</f>
        <v>852000</v>
      </c>
      <c r="G827" s="214"/>
    </row>
    <row r="828" spans="1:7" s="315" customFormat="1" ht="90" x14ac:dyDescent="0.35">
      <c r="A828" s="314" t="s">
        <v>6</v>
      </c>
      <c r="B828" s="340" t="s">
        <v>749</v>
      </c>
      <c r="C828" s="336">
        <v>37</v>
      </c>
      <c r="D828" s="314" t="s">
        <v>185</v>
      </c>
      <c r="E828" s="324">
        <v>125000</v>
      </c>
      <c r="F828" s="337">
        <f>E828*C828</f>
        <v>4625000</v>
      </c>
      <c r="G828" s="214"/>
    </row>
    <row r="829" spans="1:7" s="315" customFormat="1" ht="45.75" x14ac:dyDescent="0.35">
      <c r="A829" s="314" t="s">
        <v>7</v>
      </c>
      <c r="B829" s="325" t="s">
        <v>742</v>
      </c>
      <c r="C829" s="326">
        <v>2</v>
      </c>
      <c r="D829" s="314" t="s">
        <v>185</v>
      </c>
      <c r="E829" s="324">
        <v>225000</v>
      </c>
      <c r="F829" s="337">
        <f>E829*C829</f>
        <v>450000</v>
      </c>
      <c r="G829" s="214"/>
    </row>
    <row r="830" spans="1:7" s="315" customFormat="1" ht="15" x14ac:dyDescent="0.3">
      <c r="A830" s="314" t="s">
        <v>8</v>
      </c>
      <c r="B830" s="315" t="s">
        <v>341</v>
      </c>
      <c r="C830" s="327">
        <v>37</v>
      </c>
      <c r="D830" s="314" t="s">
        <v>185</v>
      </c>
      <c r="E830" s="316">
        <v>65000</v>
      </c>
      <c r="F830" s="323">
        <f>C830*E830</f>
        <v>2405000</v>
      </c>
      <c r="G830" s="214"/>
    </row>
    <row r="831" spans="1:7" s="315" customFormat="1" ht="15" x14ac:dyDescent="0.3">
      <c r="A831" s="314" t="s">
        <v>9</v>
      </c>
      <c r="B831" s="315" t="s">
        <v>743</v>
      </c>
      <c r="C831" s="327">
        <v>37</v>
      </c>
      <c r="D831" s="314" t="s">
        <v>185</v>
      </c>
      <c r="E831" s="328">
        <v>198000</v>
      </c>
      <c r="F831" s="323">
        <f>C831*E831</f>
        <v>7326000</v>
      </c>
      <c r="G831" s="214"/>
    </row>
    <row r="832" spans="1:7" s="315" customFormat="1" x14ac:dyDescent="0.3">
      <c r="A832" s="314" t="s">
        <v>10</v>
      </c>
      <c r="B832" s="329" t="s">
        <v>744</v>
      </c>
      <c r="C832" s="262">
        <v>37</v>
      </c>
      <c r="D832" s="314" t="s">
        <v>185</v>
      </c>
      <c r="E832" s="324">
        <v>65000</v>
      </c>
      <c r="F832" s="207">
        <f>E832*C832</f>
        <v>2405000</v>
      </c>
      <c r="G832" s="214"/>
    </row>
    <row r="833" spans="1:8" s="338" customFormat="1" ht="30" x14ac:dyDescent="0.3">
      <c r="A833" s="341" t="s">
        <v>11</v>
      </c>
      <c r="B833" s="342" t="s">
        <v>750</v>
      </c>
      <c r="C833" s="343">
        <v>43</v>
      </c>
      <c r="D833" s="314" t="s">
        <v>185</v>
      </c>
      <c r="E833" s="344">
        <v>18000</v>
      </c>
      <c r="F833" s="345">
        <f>E833*C833</f>
        <v>774000</v>
      </c>
    </row>
    <row r="834" spans="1:8" s="338" customFormat="1" x14ac:dyDescent="0.25">
      <c r="A834" s="341"/>
      <c r="B834" s="342"/>
      <c r="C834" s="343"/>
      <c r="D834" s="341"/>
      <c r="E834" s="344"/>
      <c r="F834" s="344"/>
    </row>
    <row r="835" spans="1:8" s="338" customFormat="1" ht="30" x14ac:dyDescent="0.3">
      <c r="A835" s="341" t="s">
        <v>12</v>
      </c>
      <c r="B835" s="342" t="s">
        <v>751</v>
      </c>
      <c r="C835" s="343">
        <v>43</v>
      </c>
      <c r="D835" s="314" t="s">
        <v>185</v>
      </c>
      <c r="E835" s="344">
        <v>2300</v>
      </c>
      <c r="F835" s="345">
        <f>E835*C835</f>
        <v>98900</v>
      </c>
    </row>
    <row r="836" spans="1:8" s="338" customFormat="1" x14ac:dyDescent="0.25">
      <c r="A836" s="341"/>
      <c r="B836" s="342"/>
      <c r="C836" s="343"/>
      <c r="D836" s="341"/>
      <c r="E836" s="344"/>
      <c r="F836" s="344"/>
    </row>
    <row r="837" spans="1:8" s="338" customFormat="1" ht="30" x14ac:dyDescent="0.3">
      <c r="A837" s="341" t="s">
        <v>13</v>
      </c>
      <c r="B837" s="342" t="s">
        <v>752</v>
      </c>
      <c r="C837" s="343">
        <v>43</v>
      </c>
      <c r="D837" s="314" t="s">
        <v>185</v>
      </c>
      <c r="E837" s="344">
        <v>45000</v>
      </c>
      <c r="F837" s="345">
        <f>E837*C837</f>
        <v>1935000</v>
      </c>
    </row>
    <row r="838" spans="1:8" s="338" customFormat="1" x14ac:dyDescent="0.25">
      <c r="A838" s="341"/>
      <c r="B838" s="342"/>
      <c r="C838" s="343"/>
      <c r="D838" s="341"/>
      <c r="E838" s="344"/>
      <c r="F838" s="345"/>
    </row>
    <row r="839" spans="1:8" s="338" customFormat="1" x14ac:dyDescent="0.3">
      <c r="A839" s="341" t="s">
        <v>14</v>
      </c>
      <c r="B839" s="342" t="s">
        <v>753</v>
      </c>
      <c r="C839" s="343">
        <v>43</v>
      </c>
      <c r="D839" s="314" t="s">
        <v>185</v>
      </c>
      <c r="E839" s="344">
        <v>35000</v>
      </c>
      <c r="F839" s="345">
        <f>E839*C839</f>
        <v>1505000</v>
      </c>
    </row>
    <row r="840" spans="1:8" s="338" customFormat="1" ht="11.65" customHeight="1" x14ac:dyDescent="0.25">
      <c r="A840" s="341"/>
      <c r="B840" s="342"/>
      <c r="C840" s="343"/>
      <c r="D840" s="341"/>
      <c r="E840" s="344"/>
      <c r="F840" s="344"/>
    </row>
    <row r="841" spans="1:8" s="338" customFormat="1" x14ac:dyDescent="0.3">
      <c r="A841" s="341" t="s">
        <v>15</v>
      </c>
      <c r="B841" s="342" t="s">
        <v>754</v>
      </c>
      <c r="C841" s="343">
        <v>37</v>
      </c>
      <c r="D841" s="314" t="s">
        <v>185</v>
      </c>
      <c r="E841" s="344">
        <v>25000</v>
      </c>
      <c r="F841" s="345">
        <f>E841*C841</f>
        <v>925000</v>
      </c>
    </row>
    <row r="842" spans="1:8" s="315" customFormat="1" ht="30" x14ac:dyDescent="0.3">
      <c r="A842" s="314" t="s">
        <v>16</v>
      </c>
      <c r="B842" s="339" t="s">
        <v>757</v>
      </c>
      <c r="C842" s="262">
        <v>1</v>
      </c>
      <c r="D842" s="314" t="s">
        <v>185</v>
      </c>
      <c r="E842" s="324">
        <v>143000</v>
      </c>
      <c r="F842" s="207">
        <f>E842*C842</f>
        <v>143000</v>
      </c>
      <c r="G842" s="214"/>
    </row>
    <row r="843" spans="1:8" s="214" customFormat="1" ht="45" x14ac:dyDescent="0.3">
      <c r="A843" s="206" t="s">
        <v>17</v>
      </c>
      <c r="B843" s="218" t="s">
        <v>762</v>
      </c>
      <c r="C843" s="262"/>
      <c r="D843" s="206" t="s">
        <v>758</v>
      </c>
      <c r="E843" s="320"/>
      <c r="F843" s="289">
        <f>20000*43</f>
        <v>860000</v>
      </c>
      <c r="G843" s="330"/>
      <c r="H843" s="319"/>
    </row>
    <row r="844" spans="1:8" s="214" customFormat="1" x14ac:dyDescent="0.3">
      <c r="A844" s="206" t="s">
        <v>26</v>
      </c>
      <c r="B844" s="218" t="s">
        <v>761</v>
      </c>
      <c r="C844" s="262"/>
      <c r="D844" s="206" t="s">
        <v>579</v>
      </c>
      <c r="E844" s="320"/>
      <c r="F844" s="289">
        <v>875000</v>
      </c>
      <c r="G844" s="330"/>
      <c r="H844" s="319"/>
    </row>
    <row r="845" spans="1:8" s="214" customFormat="1" x14ac:dyDescent="0.3">
      <c r="A845" s="206"/>
      <c r="B845" s="264" t="s">
        <v>361</v>
      </c>
      <c r="C845" s="262"/>
      <c r="D845" s="206"/>
      <c r="E845" s="320"/>
      <c r="F845" s="289"/>
      <c r="G845" s="330"/>
      <c r="H845" s="319"/>
    </row>
    <row r="846" spans="1:8" s="214" customFormat="1" x14ac:dyDescent="0.3">
      <c r="A846" s="206"/>
      <c r="B846" s="218" t="s">
        <v>810</v>
      </c>
      <c r="C846" s="262"/>
      <c r="D846" s="206"/>
      <c r="E846" s="320"/>
      <c r="F846" s="289"/>
      <c r="G846" s="330"/>
      <c r="H846" s="319"/>
    </row>
    <row r="847" spans="1:8" s="214" customFormat="1" x14ac:dyDescent="0.3">
      <c r="A847" s="206" t="s">
        <v>26</v>
      </c>
      <c r="B847" s="218" t="s">
        <v>363</v>
      </c>
      <c r="C847" s="262">
        <f>55*6</f>
        <v>330</v>
      </c>
      <c r="D847" s="206" t="s">
        <v>22</v>
      </c>
      <c r="E847" s="320">
        <v>3125</v>
      </c>
      <c r="F847" s="289">
        <f>C847*E847</f>
        <v>1031250</v>
      </c>
      <c r="G847" s="330"/>
      <c r="H847" s="319"/>
    </row>
    <row r="848" spans="1:8" s="214" customFormat="1" x14ac:dyDescent="0.25">
      <c r="A848" s="206" t="s">
        <v>27</v>
      </c>
      <c r="B848" s="218" t="s">
        <v>0</v>
      </c>
      <c r="C848" s="331"/>
      <c r="D848" s="206"/>
      <c r="E848" s="328"/>
      <c r="F848" s="332"/>
    </row>
    <row r="849" spans="1:6" s="315" customFormat="1" ht="15" x14ac:dyDescent="0.3">
      <c r="A849" s="314"/>
      <c r="C849" s="331"/>
      <c r="D849" s="314"/>
      <c r="E849" s="316"/>
      <c r="F849" s="323"/>
    </row>
    <row r="850" spans="1:6" s="315" customFormat="1" x14ac:dyDescent="0.35">
      <c r="A850" s="314"/>
      <c r="B850" s="220" t="s">
        <v>520</v>
      </c>
      <c r="C850" s="331"/>
      <c r="D850" s="314"/>
      <c r="E850" s="321" t="s">
        <v>15</v>
      </c>
      <c r="F850" s="322">
        <f>SUM(F825:F849)</f>
        <v>45950150</v>
      </c>
    </row>
    <row r="851" spans="1:6" s="315" customFormat="1" x14ac:dyDescent="0.35">
      <c r="A851" s="314"/>
      <c r="B851" s="220"/>
      <c r="C851" s="331"/>
      <c r="D851" s="314"/>
      <c r="E851" s="321"/>
      <c r="F851" s="322"/>
    </row>
    <row r="852" spans="1:6" s="315" customFormat="1" x14ac:dyDescent="0.35">
      <c r="A852" s="314"/>
      <c r="B852" s="220"/>
      <c r="C852" s="331"/>
      <c r="D852" s="314"/>
      <c r="E852" s="321"/>
      <c r="F852" s="322"/>
    </row>
    <row r="853" spans="1:6" s="214" customFormat="1" x14ac:dyDescent="0.25">
      <c r="A853" s="206"/>
      <c r="B853" s="220" t="s">
        <v>740</v>
      </c>
      <c r="C853" s="331"/>
      <c r="D853" s="206"/>
      <c r="E853" s="333"/>
      <c r="F853" s="332"/>
    </row>
    <row r="854" spans="1:6" s="214" customFormat="1" x14ac:dyDescent="0.25">
      <c r="A854" s="206"/>
      <c r="B854" s="220"/>
      <c r="C854" s="331"/>
      <c r="D854" s="206"/>
      <c r="E854" s="333"/>
      <c r="F854" s="332"/>
    </row>
    <row r="855" spans="1:6" s="214" customFormat="1" x14ac:dyDescent="0.25">
      <c r="A855" s="206"/>
      <c r="B855" s="220"/>
      <c r="C855" s="331"/>
      <c r="D855" s="206"/>
      <c r="E855" s="333"/>
      <c r="F855" s="332"/>
    </row>
    <row r="856" spans="1:6" s="214" customFormat="1" x14ac:dyDescent="0.25">
      <c r="A856" s="206"/>
      <c r="B856" s="220"/>
      <c r="C856" s="331"/>
      <c r="D856" s="206"/>
      <c r="E856" s="333"/>
      <c r="F856" s="332"/>
    </row>
    <row r="857" spans="1:6" s="214" customFormat="1" x14ac:dyDescent="0.25">
      <c r="A857" s="206"/>
      <c r="B857" s="220"/>
      <c r="C857" s="331"/>
      <c r="D857" s="206"/>
      <c r="E857" s="333"/>
      <c r="F857" s="332"/>
    </row>
    <row r="858" spans="1:6" s="214" customFormat="1" x14ac:dyDescent="0.25">
      <c r="A858" s="206"/>
      <c r="B858" s="220"/>
      <c r="C858" s="331"/>
      <c r="D858" s="206"/>
      <c r="E858" s="333"/>
      <c r="F858" s="332"/>
    </row>
    <row r="859" spans="1:6" s="214" customFormat="1" x14ac:dyDescent="0.25">
      <c r="A859" s="206"/>
      <c r="B859" s="220"/>
      <c r="C859" s="331"/>
      <c r="D859" s="206"/>
      <c r="E859" s="333"/>
      <c r="F859" s="332"/>
    </row>
    <row r="860" spans="1:6" s="214" customFormat="1" x14ac:dyDescent="0.25">
      <c r="A860" s="206"/>
      <c r="B860" s="220"/>
      <c r="C860" s="331"/>
      <c r="D860" s="206"/>
      <c r="E860" s="333"/>
      <c r="F860" s="332"/>
    </row>
    <row r="861" spans="1:6" s="214" customFormat="1" ht="18.75" customHeight="1" x14ac:dyDescent="0.25">
      <c r="A861" s="206"/>
      <c r="B861" s="210" t="s">
        <v>531</v>
      </c>
      <c r="C861" s="311"/>
      <c r="D861" s="209"/>
      <c r="E861" s="312"/>
      <c r="F861" s="313"/>
    </row>
    <row r="862" spans="1:6" s="214" customFormat="1" ht="18.75" customHeight="1" x14ac:dyDescent="0.25">
      <c r="A862" s="206"/>
      <c r="B862" s="210"/>
      <c r="C862" s="311"/>
      <c r="D862" s="209"/>
      <c r="E862" s="312"/>
      <c r="F862" s="313"/>
    </row>
    <row r="863" spans="1:6" s="214" customFormat="1" ht="17.25" customHeight="1" x14ac:dyDescent="0.25">
      <c r="A863" s="206"/>
      <c r="B863" s="231" t="s">
        <v>745</v>
      </c>
      <c r="C863" s="311"/>
      <c r="D863" s="209"/>
      <c r="E863" s="333">
        <f>F821</f>
        <v>4940620</v>
      </c>
      <c r="F863" s="313"/>
    </row>
    <row r="864" spans="1:6" s="214" customFormat="1" ht="17.25" customHeight="1" x14ac:dyDescent="0.25">
      <c r="A864" s="206"/>
      <c r="B864" s="231" t="s">
        <v>467</v>
      </c>
      <c r="C864" s="311"/>
      <c r="D864" s="209"/>
      <c r="E864" s="333">
        <f>F850</f>
        <v>45950150</v>
      </c>
      <c r="F864" s="313"/>
    </row>
    <row r="865" spans="1:8" s="214" customFormat="1" ht="17.25" customHeight="1" x14ac:dyDescent="0.25">
      <c r="A865" s="206"/>
      <c r="B865" s="231"/>
      <c r="C865" s="311"/>
      <c r="D865" s="209"/>
      <c r="E865" s="333"/>
      <c r="F865" s="313"/>
    </row>
    <row r="866" spans="1:8" s="214" customFormat="1" ht="17.25" customHeight="1" x14ac:dyDescent="0.25">
      <c r="A866" s="206"/>
      <c r="B866" s="231"/>
      <c r="C866" s="311"/>
      <c r="D866" s="209"/>
      <c r="E866" s="333"/>
      <c r="F866" s="313"/>
    </row>
    <row r="867" spans="1:8" s="214" customFormat="1" ht="17.25" customHeight="1" x14ac:dyDescent="0.25">
      <c r="A867" s="206"/>
      <c r="B867" s="231"/>
      <c r="C867" s="311"/>
      <c r="D867" s="209"/>
      <c r="E867" s="333"/>
      <c r="F867" s="313"/>
    </row>
    <row r="868" spans="1:8" s="214" customFormat="1" ht="17.25" customHeight="1" x14ac:dyDescent="0.25">
      <c r="A868" s="206"/>
      <c r="B868" s="231"/>
      <c r="C868" s="311"/>
      <c r="D868" s="209"/>
      <c r="E868" s="333"/>
      <c r="F868" s="313"/>
    </row>
    <row r="869" spans="1:8" s="214" customFormat="1" ht="17.25" customHeight="1" x14ac:dyDescent="0.25">
      <c r="A869" s="206"/>
      <c r="B869" s="210" t="s">
        <v>658</v>
      </c>
      <c r="C869" s="311"/>
      <c r="D869" s="209"/>
      <c r="E869" s="333"/>
      <c r="F869" s="313"/>
    </row>
    <row r="870" spans="1:8" s="214" customFormat="1" ht="17.25" customHeight="1" x14ac:dyDescent="0.25">
      <c r="A870" s="206"/>
      <c r="B870" s="220" t="s">
        <v>638</v>
      </c>
      <c r="C870" s="311"/>
      <c r="D870" s="209"/>
      <c r="E870" s="312" t="s">
        <v>15</v>
      </c>
      <c r="F870" s="313">
        <f>SUM(E863:E864)</f>
        <v>50890770</v>
      </c>
      <c r="H870" s="334"/>
    </row>
    <row r="871" spans="1:8" customFormat="1" ht="18.75" x14ac:dyDescent="0.25">
      <c r="A871" s="197"/>
      <c r="B871" s="292" t="s">
        <v>609</v>
      </c>
      <c r="C871" s="202"/>
      <c r="D871" s="197"/>
      <c r="E871" s="299"/>
      <c r="F871" s="201"/>
    </row>
    <row r="872" spans="1:8" customFormat="1" ht="16.5" customHeight="1" x14ac:dyDescent="0.25">
      <c r="A872" s="197"/>
      <c r="B872" s="202"/>
      <c r="C872" s="202"/>
      <c r="D872" s="197"/>
      <c r="E872" s="299"/>
      <c r="F872" s="201"/>
    </row>
    <row r="873" spans="1:8" customFormat="1" ht="17.25" customHeight="1" x14ac:dyDescent="0.25">
      <c r="A873" s="197"/>
      <c r="B873" s="300" t="s">
        <v>659</v>
      </c>
      <c r="C873" s="202"/>
      <c r="D873" s="197"/>
      <c r="E873" s="299"/>
      <c r="F873" s="201"/>
    </row>
    <row r="874" spans="1:8" s="346" customFormat="1" ht="33" x14ac:dyDescent="0.35">
      <c r="A874" s="354" t="s">
        <v>2</v>
      </c>
      <c r="B874" s="355" t="s">
        <v>763</v>
      </c>
      <c r="C874" s="356"/>
      <c r="D874" s="356"/>
      <c r="E874" s="356"/>
      <c r="F874" s="356"/>
      <c r="G874" s="346">
        <v>4</v>
      </c>
    </row>
    <row r="875" spans="1:8" s="346" customFormat="1" x14ac:dyDescent="0.35">
      <c r="A875" s="354" t="s">
        <v>811</v>
      </c>
      <c r="B875" s="354" t="s">
        <v>764</v>
      </c>
      <c r="C875" s="354" t="s">
        <v>765</v>
      </c>
      <c r="D875" s="354" t="s">
        <v>773</v>
      </c>
      <c r="E875" s="354" t="s">
        <v>767</v>
      </c>
      <c r="F875" s="354" t="s">
        <v>768</v>
      </c>
    </row>
    <row r="876" spans="1:8" s="346" customFormat="1" ht="45" x14ac:dyDescent="0.3">
      <c r="A876" s="357">
        <v>1</v>
      </c>
      <c r="B876" s="358" t="s">
        <v>812</v>
      </c>
      <c r="C876" s="359" t="s">
        <v>371</v>
      </c>
      <c r="D876" s="359">
        <v>40</v>
      </c>
      <c r="E876" s="360">
        <v>26700</v>
      </c>
      <c r="F876" s="360">
        <f>D876*E876</f>
        <v>1068000</v>
      </c>
      <c r="G876" s="346">
        <v>10</v>
      </c>
      <c r="H876" s="346">
        <f>G876*$G$874</f>
        <v>40</v>
      </c>
    </row>
    <row r="877" spans="1:8" s="346" customFormat="1" ht="15.75" x14ac:dyDescent="0.3">
      <c r="A877" s="357">
        <v>2</v>
      </c>
      <c r="B877" s="361" t="s">
        <v>372</v>
      </c>
      <c r="C877" s="359" t="s">
        <v>373</v>
      </c>
      <c r="D877" s="359">
        <v>24</v>
      </c>
      <c r="E877" s="360">
        <v>2800</v>
      </c>
      <c r="F877" s="360">
        <f t="shared" ref="F877:F908" si="5">D877*E877</f>
        <v>67200</v>
      </c>
      <c r="G877" s="346">
        <v>6</v>
      </c>
      <c r="H877" s="346">
        <f t="shared" ref="H877:H940" si="6">G877*$G$874</f>
        <v>24</v>
      </c>
    </row>
    <row r="878" spans="1:8" s="346" customFormat="1" ht="15.75" x14ac:dyDescent="0.3">
      <c r="A878" s="357">
        <v>3</v>
      </c>
      <c r="B878" s="361" t="s">
        <v>374</v>
      </c>
      <c r="C878" s="359" t="s">
        <v>375</v>
      </c>
      <c r="D878" s="359">
        <v>24</v>
      </c>
      <c r="E878" s="360">
        <v>240</v>
      </c>
      <c r="F878" s="360">
        <f t="shared" si="5"/>
        <v>5760</v>
      </c>
      <c r="G878" s="346">
        <v>6</v>
      </c>
      <c r="H878" s="346">
        <f t="shared" si="6"/>
        <v>24</v>
      </c>
    </row>
    <row r="879" spans="1:8" s="346" customFormat="1" ht="15.75" x14ac:dyDescent="0.3">
      <c r="A879" s="357">
        <v>4</v>
      </c>
      <c r="B879" s="361" t="s">
        <v>376</v>
      </c>
      <c r="C879" s="359" t="s">
        <v>375</v>
      </c>
      <c r="D879" s="359">
        <v>120</v>
      </c>
      <c r="E879" s="360">
        <f>E878</f>
        <v>240</v>
      </c>
      <c r="F879" s="360">
        <f t="shared" si="5"/>
        <v>28800</v>
      </c>
      <c r="G879" s="346">
        <v>30</v>
      </c>
      <c r="H879" s="346">
        <f t="shared" si="6"/>
        <v>120</v>
      </c>
    </row>
    <row r="880" spans="1:8" s="346" customFormat="1" ht="15.75" x14ac:dyDescent="0.3">
      <c r="A880" s="357">
        <v>5</v>
      </c>
      <c r="B880" s="361" t="s">
        <v>377</v>
      </c>
      <c r="C880" s="359" t="s">
        <v>373</v>
      </c>
      <c r="D880" s="359">
        <v>20</v>
      </c>
      <c r="E880" s="360">
        <v>3000</v>
      </c>
      <c r="F880" s="360">
        <f t="shared" si="5"/>
        <v>60000</v>
      </c>
      <c r="G880" s="346">
        <v>5</v>
      </c>
      <c r="H880" s="346">
        <f t="shared" si="6"/>
        <v>20</v>
      </c>
    </row>
    <row r="881" spans="1:8" s="346" customFormat="1" ht="15.75" x14ac:dyDescent="0.3">
      <c r="A881" s="357">
        <v>6</v>
      </c>
      <c r="B881" s="361" t="s">
        <v>378</v>
      </c>
      <c r="C881" s="359" t="s">
        <v>373</v>
      </c>
      <c r="D881" s="359">
        <v>20</v>
      </c>
      <c r="E881" s="360">
        <v>2700</v>
      </c>
      <c r="F881" s="360">
        <f t="shared" si="5"/>
        <v>54000</v>
      </c>
      <c r="G881" s="346">
        <v>5</v>
      </c>
      <c r="H881" s="346">
        <f t="shared" si="6"/>
        <v>20</v>
      </c>
    </row>
    <row r="882" spans="1:8" s="346" customFormat="1" ht="45" x14ac:dyDescent="0.3">
      <c r="A882" s="357">
        <v>7</v>
      </c>
      <c r="B882" s="358" t="s">
        <v>813</v>
      </c>
      <c r="C882" s="359" t="s">
        <v>371</v>
      </c>
      <c r="D882" s="359">
        <v>10</v>
      </c>
      <c r="E882" s="360">
        <v>28000</v>
      </c>
      <c r="F882" s="360">
        <f t="shared" si="5"/>
        <v>280000</v>
      </c>
      <c r="G882" s="346">
        <v>2.5</v>
      </c>
      <c r="H882" s="346">
        <f t="shared" si="6"/>
        <v>10</v>
      </c>
    </row>
    <row r="883" spans="1:8" s="346" customFormat="1" ht="15.75" x14ac:dyDescent="0.3">
      <c r="A883" s="357">
        <v>8</v>
      </c>
      <c r="B883" s="361" t="s">
        <v>380</v>
      </c>
      <c r="C883" s="359" t="s">
        <v>373</v>
      </c>
      <c r="D883" s="359">
        <v>4</v>
      </c>
      <c r="E883" s="360">
        <v>3000</v>
      </c>
      <c r="F883" s="360">
        <f t="shared" si="5"/>
        <v>12000</v>
      </c>
      <c r="G883" s="346">
        <v>1</v>
      </c>
      <c r="H883" s="346">
        <f t="shared" si="6"/>
        <v>4</v>
      </c>
    </row>
    <row r="884" spans="1:8" s="346" customFormat="1" ht="15.75" x14ac:dyDescent="0.3">
      <c r="A884" s="357">
        <v>9</v>
      </c>
      <c r="B884" s="361" t="s">
        <v>381</v>
      </c>
      <c r="C884" s="359" t="s">
        <v>373</v>
      </c>
      <c r="D884" s="359">
        <v>4</v>
      </c>
      <c r="E884" s="360">
        <v>2300</v>
      </c>
      <c r="F884" s="360">
        <f t="shared" si="5"/>
        <v>9200</v>
      </c>
      <c r="G884" s="346">
        <v>1</v>
      </c>
      <c r="H884" s="346">
        <f t="shared" si="6"/>
        <v>4</v>
      </c>
    </row>
    <row r="885" spans="1:8" s="346" customFormat="1" ht="15.75" x14ac:dyDescent="0.3">
      <c r="A885" s="357">
        <v>10</v>
      </c>
      <c r="B885" s="361" t="s">
        <v>382</v>
      </c>
      <c r="C885" s="359" t="s">
        <v>373</v>
      </c>
      <c r="D885" s="359">
        <v>96</v>
      </c>
      <c r="E885" s="360">
        <v>1800</v>
      </c>
      <c r="F885" s="360">
        <f t="shared" si="5"/>
        <v>172800</v>
      </c>
      <c r="G885" s="346">
        <v>24</v>
      </c>
      <c r="H885" s="346">
        <f t="shared" si="6"/>
        <v>96</v>
      </c>
    </row>
    <row r="886" spans="1:8" s="346" customFormat="1" ht="15.75" x14ac:dyDescent="0.3">
      <c r="A886" s="357">
        <v>11</v>
      </c>
      <c r="B886" s="361" t="s">
        <v>383</v>
      </c>
      <c r="C886" s="359" t="s">
        <v>375</v>
      </c>
      <c r="D886" s="359">
        <v>96</v>
      </c>
      <c r="E886" s="360">
        <v>2900</v>
      </c>
      <c r="F886" s="360">
        <f t="shared" si="5"/>
        <v>278400</v>
      </c>
      <c r="G886" s="346">
        <v>24</v>
      </c>
      <c r="H886" s="346">
        <f t="shared" si="6"/>
        <v>96</v>
      </c>
    </row>
    <row r="887" spans="1:8" s="346" customFormat="1" ht="30" x14ac:dyDescent="0.3">
      <c r="A887" s="357">
        <v>12</v>
      </c>
      <c r="B887" s="361" t="s">
        <v>384</v>
      </c>
      <c r="C887" s="359" t="s">
        <v>375</v>
      </c>
      <c r="D887" s="359">
        <v>80</v>
      </c>
      <c r="E887" s="360">
        <v>450</v>
      </c>
      <c r="F887" s="360">
        <f t="shared" si="5"/>
        <v>36000</v>
      </c>
      <c r="G887" s="346">
        <v>20</v>
      </c>
      <c r="H887" s="346">
        <f t="shared" si="6"/>
        <v>80</v>
      </c>
    </row>
    <row r="888" spans="1:8" s="346" customFormat="1" ht="30" x14ac:dyDescent="0.3">
      <c r="A888" s="357">
        <v>13</v>
      </c>
      <c r="B888" s="361" t="s">
        <v>385</v>
      </c>
      <c r="C888" s="359" t="s">
        <v>375</v>
      </c>
      <c r="D888" s="359">
        <v>12</v>
      </c>
      <c r="E888" s="360">
        <v>3100</v>
      </c>
      <c r="F888" s="360">
        <f t="shared" si="5"/>
        <v>37200</v>
      </c>
      <c r="G888" s="346">
        <v>3</v>
      </c>
      <c r="H888" s="346">
        <f t="shared" si="6"/>
        <v>12</v>
      </c>
    </row>
    <row r="889" spans="1:8" s="346" customFormat="1" ht="30" x14ac:dyDescent="0.3">
      <c r="A889" s="357">
        <v>14</v>
      </c>
      <c r="B889" s="361" t="s">
        <v>386</v>
      </c>
      <c r="C889" s="359" t="s">
        <v>375</v>
      </c>
      <c r="D889" s="359">
        <v>8</v>
      </c>
      <c r="E889" s="360">
        <f>E888</f>
        <v>3100</v>
      </c>
      <c r="F889" s="360">
        <f t="shared" si="5"/>
        <v>24800</v>
      </c>
      <c r="G889" s="346">
        <v>2</v>
      </c>
      <c r="H889" s="346">
        <f t="shared" si="6"/>
        <v>8</v>
      </c>
    </row>
    <row r="890" spans="1:8" s="346" customFormat="1" ht="30" x14ac:dyDescent="0.3">
      <c r="A890" s="359">
        <v>15</v>
      </c>
      <c r="B890" s="361" t="s">
        <v>387</v>
      </c>
      <c r="C890" s="359" t="s">
        <v>375</v>
      </c>
      <c r="D890" s="359">
        <v>8</v>
      </c>
      <c r="E890" s="360">
        <v>2100</v>
      </c>
      <c r="F890" s="360">
        <f t="shared" si="5"/>
        <v>16800</v>
      </c>
      <c r="G890" s="346">
        <v>2</v>
      </c>
      <c r="H890" s="346">
        <f t="shared" si="6"/>
        <v>8</v>
      </c>
    </row>
    <row r="891" spans="1:8" s="346" customFormat="1" ht="30" x14ac:dyDescent="0.3">
      <c r="A891" s="359">
        <v>16</v>
      </c>
      <c r="B891" s="361" t="s">
        <v>388</v>
      </c>
      <c r="C891" s="359" t="s">
        <v>375</v>
      </c>
      <c r="D891" s="359">
        <v>8</v>
      </c>
      <c r="E891" s="360">
        <v>4700</v>
      </c>
      <c r="F891" s="360">
        <f t="shared" si="5"/>
        <v>37600</v>
      </c>
      <c r="G891" s="346">
        <v>2</v>
      </c>
      <c r="H891" s="346">
        <f t="shared" si="6"/>
        <v>8</v>
      </c>
    </row>
    <row r="892" spans="1:8" s="346" customFormat="1" ht="30" x14ac:dyDescent="0.3">
      <c r="A892" s="359">
        <v>17</v>
      </c>
      <c r="B892" s="361" t="s">
        <v>389</v>
      </c>
      <c r="C892" s="359" t="s">
        <v>390</v>
      </c>
      <c r="D892" s="359">
        <v>56</v>
      </c>
      <c r="E892" s="360">
        <v>3000</v>
      </c>
      <c r="F892" s="360">
        <f t="shared" si="5"/>
        <v>168000</v>
      </c>
      <c r="G892" s="346">
        <v>14</v>
      </c>
      <c r="H892" s="346">
        <f t="shared" si="6"/>
        <v>56</v>
      </c>
    </row>
    <row r="893" spans="1:8" s="346" customFormat="1" ht="45" x14ac:dyDescent="0.3">
      <c r="A893" s="359">
        <v>18</v>
      </c>
      <c r="B893" s="361" t="s">
        <v>391</v>
      </c>
      <c r="C893" s="359" t="s">
        <v>392</v>
      </c>
      <c r="D893" s="359">
        <v>4</v>
      </c>
      <c r="E893" s="360">
        <v>27900</v>
      </c>
      <c r="F893" s="360">
        <f t="shared" si="5"/>
        <v>111600</v>
      </c>
      <c r="G893" s="346">
        <v>1</v>
      </c>
      <c r="H893" s="346">
        <f t="shared" si="6"/>
        <v>4</v>
      </c>
    </row>
    <row r="894" spans="1:8" s="346" customFormat="1" ht="15.75" x14ac:dyDescent="0.3">
      <c r="A894" s="359">
        <v>19</v>
      </c>
      <c r="B894" s="361" t="s">
        <v>393</v>
      </c>
      <c r="C894" s="359" t="s">
        <v>373</v>
      </c>
      <c r="D894" s="359">
        <v>4</v>
      </c>
      <c r="E894" s="360">
        <v>3000</v>
      </c>
      <c r="F894" s="360">
        <f t="shared" si="5"/>
        <v>12000</v>
      </c>
      <c r="G894" s="346">
        <v>1</v>
      </c>
      <c r="H894" s="346">
        <f t="shared" si="6"/>
        <v>4</v>
      </c>
    </row>
    <row r="895" spans="1:8" s="346" customFormat="1" ht="15.75" x14ac:dyDescent="0.3">
      <c r="A895" s="359">
        <v>20</v>
      </c>
      <c r="B895" s="361" t="s">
        <v>394</v>
      </c>
      <c r="C895" s="359" t="s">
        <v>373</v>
      </c>
      <c r="D895" s="359">
        <v>4</v>
      </c>
      <c r="E895" s="360">
        <f>E894</f>
        <v>3000</v>
      </c>
      <c r="F895" s="360">
        <f t="shared" si="5"/>
        <v>12000</v>
      </c>
      <c r="G895" s="346">
        <v>1</v>
      </c>
      <c r="H895" s="346">
        <f t="shared" si="6"/>
        <v>4</v>
      </c>
    </row>
    <row r="896" spans="1:8" s="346" customFormat="1" ht="30" x14ac:dyDescent="0.3">
      <c r="A896" s="359">
        <v>21</v>
      </c>
      <c r="B896" s="361" t="s">
        <v>395</v>
      </c>
      <c r="C896" s="359" t="s">
        <v>396</v>
      </c>
      <c r="D896" s="359">
        <v>12</v>
      </c>
      <c r="E896" s="360">
        <v>6200</v>
      </c>
      <c r="F896" s="360">
        <f t="shared" si="5"/>
        <v>74400</v>
      </c>
      <c r="G896" s="346">
        <v>3</v>
      </c>
      <c r="H896" s="346">
        <f t="shared" si="6"/>
        <v>12</v>
      </c>
    </row>
    <row r="897" spans="1:8" s="346" customFormat="1" ht="30" x14ac:dyDescent="0.3">
      <c r="A897" s="359">
        <v>22</v>
      </c>
      <c r="B897" s="361" t="s">
        <v>397</v>
      </c>
      <c r="C897" s="359" t="s">
        <v>396</v>
      </c>
      <c r="D897" s="359">
        <v>24</v>
      </c>
      <c r="E897" s="360">
        <v>2400</v>
      </c>
      <c r="F897" s="360">
        <f t="shared" si="5"/>
        <v>57600</v>
      </c>
      <c r="G897" s="346">
        <v>6</v>
      </c>
      <c r="H897" s="346">
        <f t="shared" si="6"/>
        <v>24</v>
      </c>
    </row>
    <row r="898" spans="1:8" s="346" customFormat="1" ht="15.75" x14ac:dyDescent="0.3">
      <c r="A898" s="362">
        <v>23</v>
      </c>
      <c r="B898" s="361" t="s">
        <v>398</v>
      </c>
      <c r="C898" s="359" t="s">
        <v>399</v>
      </c>
      <c r="D898" s="359">
        <v>12</v>
      </c>
      <c r="E898" s="360">
        <v>5500</v>
      </c>
      <c r="F898" s="360">
        <f t="shared" si="5"/>
        <v>66000</v>
      </c>
      <c r="G898" s="346">
        <v>3</v>
      </c>
      <c r="H898" s="346">
        <f t="shared" si="6"/>
        <v>12</v>
      </c>
    </row>
    <row r="899" spans="1:8" s="346" customFormat="1" ht="15.75" x14ac:dyDescent="0.3">
      <c r="A899" s="359">
        <v>24</v>
      </c>
      <c r="B899" s="361" t="s">
        <v>814</v>
      </c>
      <c r="C899" s="359"/>
      <c r="D899" s="359"/>
      <c r="E899" s="360"/>
      <c r="F899" s="360">
        <v>480000</v>
      </c>
      <c r="H899" s="346">
        <f t="shared" si="6"/>
        <v>0</v>
      </c>
    </row>
    <row r="900" spans="1:8" s="346" customFormat="1" x14ac:dyDescent="0.35">
      <c r="A900" s="359"/>
      <c r="B900" s="363" t="s">
        <v>520</v>
      </c>
      <c r="C900" s="359"/>
      <c r="D900" s="359"/>
      <c r="E900" s="360"/>
      <c r="F900" s="364">
        <f>SUM(F876:F899)</f>
        <v>3170160</v>
      </c>
      <c r="H900" s="346">
        <f t="shared" si="6"/>
        <v>0</v>
      </c>
    </row>
    <row r="901" spans="1:8" s="346" customFormat="1" x14ac:dyDescent="0.35">
      <c r="A901" s="359"/>
      <c r="B901" s="365"/>
      <c r="C901" s="359"/>
      <c r="D901" s="359"/>
      <c r="E901" s="360"/>
      <c r="F901" s="366"/>
      <c r="H901" s="346">
        <f t="shared" si="6"/>
        <v>0</v>
      </c>
    </row>
    <row r="902" spans="1:8" s="346" customFormat="1" x14ac:dyDescent="0.35">
      <c r="A902" s="367" t="s">
        <v>4</v>
      </c>
      <c r="B902" s="355" t="s">
        <v>769</v>
      </c>
      <c r="C902" s="354" t="s">
        <v>765</v>
      </c>
      <c r="D902" s="354" t="s">
        <v>773</v>
      </c>
      <c r="E902" s="354" t="s">
        <v>767</v>
      </c>
      <c r="F902" s="354" t="s">
        <v>768</v>
      </c>
      <c r="G902" s="346" t="s">
        <v>766</v>
      </c>
      <c r="H902" s="346" t="e">
        <f t="shared" si="6"/>
        <v>#VALUE!</v>
      </c>
    </row>
    <row r="903" spans="1:8" s="346" customFormat="1" ht="45" x14ac:dyDescent="0.3">
      <c r="A903" s="359">
        <v>1</v>
      </c>
      <c r="B903" s="361" t="s">
        <v>815</v>
      </c>
      <c r="C903" s="359" t="s">
        <v>770</v>
      </c>
      <c r="D903" s="359">
        <v>12</v>
      </c>
      <c r="E903" s="360">
        <v>52000</v>
      </c>
      <c r="F903" s="360">
        <f t="shared" si="5"/>
        <v>624000</v>
      </c>
      <c r="G903" s="346">
        <v>3</v>
      </c>
      <c r="H903" s="346">
        <f t="shared" si="6"/>
        <v>12</v>
      </c>
    </row>
    <row r="904" spans="1:8" s="346" customFormat="1" ht="15.75" x14ac:dyDescent="0.3">
      <c r="A904" s="359">
        <v>2</v>
      </c>
      <c r="B904" s="361" t="s">
        <v>816</v>
      </c>
      <c r="C904" s="359" t="s">
        <v>771</v>
      </c>
      <c r="D904" s="359">
        <v>120</v>
      </c>
      <c r="E904" s="360">
        <v>2000</v>
      </c>
      <c r="F904" s="360">
        <f t="shared" si="5"/>
        <v>240000</v>
      </c>
      <c r="G904" s="346">
        <v>30</v>
      </c>
      <c r="H904" s="346">
        <f t="shared" si="6"/>
        <v>120</v>
      </c>
    </row>
    <row r="905" spans="1:8" s="346" customFormat="1" ht="15.75" x14ac:dyDescent="0.3">
      <c r="A905" s="359">
        <v>3</v>
      </c>
      <c r="B905" s="361" t="s">
        <v>817</v>
      </c>
      <c r="C905" s="359" t="s">
        <v>375</v>
      </c>
      <c r="D905" s="359">
        <v>120</v>
      </c>
      <c r="E905" s="360">
        <v>300</v>
      </c>
      <c r="F905" s="360">
        <f t="shared" si="5"/>
        <v>36000</v>
      </c>
      <c r="G905" s="346">
        <v>30</v>
      </c>
      <c r="H905" s="346">
        <f t="shared" si="6"/>
        <v>120</v>
      </c>
    </row>
    <row r="906" spans="1:8" s="346" customFormat="1" ht="15.75" x14ac:dyDescent="0.3">
      <c r="A906" s="359">
        <v>4</v>
      </c>
      <c r="B906" s="361" t="s">
        <v>818</v>
      </c>
      <c r="C906" s="359" t="s">
        <v>375</v>
      </c>
      <c r="D906" s="359">
        <v>60</v>
      </c>
      <c r="E906" s="360">
        <v>300</v>
      </c>
      <c r="F906" s="360">
        <f t="shared" si="5"/>
        <v>18000</v>
      </c>
      <c r="G906" s="346">
        <v>15</v>
      </c>
      <c r="H906" s="346">
        <f t="shared" si="6"/>
        <v>60</v>
      </c>
    </row>
    <row r="907" spans="1:8" s="346" customFormat="1" ht="30" x14ac:dyDescent="0.3">
      <c r="A907" s="359">
        <v>5</v>
      </c>
      <c r="B907" s="361" t="s">
        <v>389</v>
      </c>
      <c r="C907" s="359" t="s">
        <v>390</v>
      </c>
      <c r="D907" s="359">
        <v>8</v>
      </c>
      <c r="E907" s="360">
        <v>2500</v>
      </c>
      <c r="F907" s="360">
        <f t="shared" si="5"/>
        <v>20000</v>
      </c>
      <c r="G907" s="346">
        <v>2</v>
      </c>
      <c r="H907" s="346">
        <f t="shared" si="6"/>
        <v>8</v>
      </c>
    </row>
    <row r="908" spans="1:8" s="346" customFormat="1" ht="15.75" x14ac:dyDescent="0.3">
      <c r="A908" s="359">
        <v>6</v>
      </c>
      <c r="B908" s="361" t="s">
        <v>819</v>
      </c>
      <c r="C908" s="359" t="s">
        <v>399</v>
      </c>
      <c r="D908" s="359">
        <v>4</v>
      </c>
      <c r="E908" s="360">
        <v>5500</v>
      </c>
      <c r="F908" s="360">
        <f t="shared" si="5"/>
        <v>22000</v>
      </c>
      <c r="G908" s="346">
        <v>1</v>
      </c>
      <c r="H908" s="346">
        <f t="shared" si="6"/>
        <v>4</v>
      </c>
    </row>
    <row r="909" spans="1:8" s="346" customFormat="1" ht="15.75" x14ac:dyDescent="0.3">
      <c r="A909" s="359"/>
      <c r="B909" s="361" t="s">
        <v>814</v>
      </c>
      <c r="C909" s="359"/>
      <c r="D909" s="359"/>
      <c r="E909" s="360"/>
      <c r="F909" s="360">
        <v>180000</v>
      </c>
      <c r="H909" s="346">
        <f t="shared" si="6"/>
        <v>0</v>
      </c>
    </row>
    <row r="910" spans="1:8" s="346" customFormat="1" x14ac:dyDescent="0.35">
      <c r="A910" s="359"/>
      <c r="B910" s="363" t="s">
        <v>520</v>
      </c>
      <c r="C910" s="359"/>
      <c r="D910" s="359"/>
      <c r="E910" s="360"/>
      <c r="F910" s="364">
        <f>SUM(F903:F909)</f>
        <v>1140000</v>
      </c>
      <c r="H910" s="346">
        <f t="shared" si="6"/>
        <v>0</v>
      </c>
    </row>
    <row r="911" spans="1:8" s="346" customFormat="1" x14ac:dyDescent="0.35">
      <c r="A911" s="359"/>
      <c r="B911" s="365"/>
      <c r="C911" s="359"/>
      <c r="D911" s="359"/>
      <c r="E911" s="360"/>
      <c r="F911" s="366"/>
      <c r="H911" s="346">
        <f t="shared" si="6"/>
        <v>0</v>
      </c>
    </row>
    <row r="912" spans="1:8" s="346" customFormat="1" x14ac:dyDescent="0.35">
      <c r="A912" s="359"/>
      <c r="B912" s="368"/>
      <c r="C912" s="359"/>
      <c r="D912" s="359"/>
      <c r="E912" s="360"/>
      <c r="F912" s="366"/>
      <c r="H912" s="346">
        <f t="shared" si="6"/>
        <v>0</v>
      </c>
    </row>
    <row r="913" spans="1:8" s="346" customFormat="1" ht="99" x14ac:dyDescent="0.35">
      <c r="A913" s="367" t="s">
        <v>5</v>
      </c>
      <c r="B913" s="355" t="s">
        <v>777</v>
      </c>
      <c r="C913" s="359"/>
      <c r="D913" s="359"/>
      <c r="E913" s="360"/>
      <c r="F913" s="360"/>
      <c r="H913" s="346">
        <f t="shared" si="6"/>
        <v>0</v>
      </c>
    </row>
    <row r="914" spans="1:8" s="346" customFormat="1" ht="45" x14ac:dyDescent="0.3">
      <c r="A914" s="359">
        <v>1</v>
      </c>
      <c r="B914" s="358" t="s">
        <v>820</v>
      </c>
      <c r="C914" s="359" t="s">
        <v>371</v>
      </c>
      <c r="D914" s="359">
        <v>19</v>
      </c>
      <c r="E914" s="360">
        <f>E876</f>
        <v>26700</v>
      </c>
      <c r="F914" s="360">
        <f>D914*E914</f>
        <v>507300</v>
      </c>
      <c r="G914" s="346">
        <v>3</v>
      </c>
      <c r="H914" s="346">
        <f t="shared" si="6"/>
        <v>12</v>
      </c>
    </row>
    <row r="915" spans="1:8" s="346" customFormat="1" ht="15.75" x14ac:dyDescent="0.3">
      <c r="A915" s="359">
        <v>2</v>
      </c>
      <c r="B915" s="361" t="s">
        <v>372</v>
      </c>
      <c r="C915" s="359" t="s">
        <v>373</v>
      </c>
      <c r="D915" s="359">
        <v>6</v>
      </c>
      <c r="E915" s="360">
        <f>E877</f>
        <v>2800</v>
      </c>
      <c r="F915" s="360">
        <f t="shared" ref="F915:F927" si="7">D915*E915</f>
        <v>16800</v>
      </c>
      <c r="G915" s="346">
        <v>1</v>
      </c>
      <c r="H915" s="346">
        <f t="shared" si="6"/>
        <v>4</v>
      </c>
    </row>
    <row r="916" spans="1:8" s="346" customFormat="1" ht="15.75" x14ac:dyDescent="0.3">
      <c r="A916" s="359">
        <v>3</v>
      </c>
      <c r="B916" s="361" t="s">
        <v>377</v>
      </c>
      <c r="C916" s="359" t="s">
        <v>373</v>
      </c>
      <c r="D916" s="359">
        <v>2</v>
      </c>
      <c r="E916" s="360">
        <f>E880</f>
        <v>3000</v>
      </c>
      <c r="F916" s="360">
        <f t="shared" si="7"/>
        <v>6000</v>
      </c>
      <c r="G916" s="346">
        <v>0.25</v>
      </c>
      <c r="H916" s="346">
        <f t="shared" si="6"/>
        <v>1</v>
      </c>
    </row>
    <row r="917" spans="1:8" s="346" customFormat="1" ht="45" x14ac:dyDescent="0.3">
      <c r="A917" s="359">
        <v>4</v>
      </c>
      <c r="B917" s="358" t="s">
        <v>813</v>
      </c>
      <c r="C917" s="359" t="s">
        <v>371</v>
      </c>
      <c r="D917" s="359">
        <v>5</v>
      </c>
      <c r="E917" s="360">
        <f>E882</f>
        <v>28000</v>
      </c>
      <c r="F917" s="360">
        <f t="shared" si="7"/>
        <v>140000</v>
      </c>
      <c r="G917" s="346">
        <v>1</v>
      </c>
      <c r="H917" s="346">
        <f t="shared" si="6"/>
        <v>4</v>
      </c>
    </row>
    <row r="918" spans="1:8" s="346" customFormat="1" ht="15.75" x14ac:dyDescent="0.3">
      <c r="A918" s="359">
        <v>5</v>
      </c>
      <c r="B918" s="361" t="s">
        <v>380</v>
      </c>
      <c r="C918" s="359" t="s">
        <v>373</v>
      </c>
      <c r="D918" s="359">
        <v>1</v>
      </c>
      <c r="E918" s="360">
        <f>E883</f>
        <v>3000</v>
      </c>
      <c r="F918" s="360">
        <f t="shared" si="7"/>
        <v>3000</v>
      </c>
      <c r="G918" s="346">
        <v>0.25</v>
      </c>
      <c r="H918" s="346">
        <f t="shared" si="6"/>
        <v>1</v>
      </c>
    </row>
    <row r="919" spans="1:8" s="346" customFormat="1" ht="30" x14ac:dyDescent="0.3">
      <c r="A919" s="362">
        <v>6</v>
      </c>
      <c r="B919" s="361" t="s">
        <v>384</v>
      </c>
      <c r="C919" s="359" t="s">
        <v>375</v>
      </c>
      <c r="D919" s="359">
        <v>80</v>
      </c>
      <c r="E919" s="360">
        <f>E887</f>
        <v>450</v>
      </c>
      <c r="F919" s="360">
        <f t="shared" si="7"/>
        <v>36000</v>
      </c>
      <c r="G919" s="346">
        <v>20</v>
      </c>
      <c r="H919" s="346">
        <f t="shared" si="6"/>
        <v>80</v>
      </c>
    </row>
    <row r="920" spans="1:8" s="346" customFormat="1" ht="15.75" x14ac:dyDescent="0.3">
      <c r="A920" s="362">
        <v>7</v>
      </c>
      <c r="B920" s="361" t="s">
        <v>382</v>
      </c>
      <c r="C920" s="359" t="s">
        <v>373</v>
      </c>
      <c r="D920" s="359">
        <v>8</v>
      </c>
      <c r="E920" s="360">
        <f>E885</f>
        <v>1800</v>
      </c>
      <c r="F920" s="360">
        <f t="shared" si="7"/>
        <v>14400</v>
      </c>
      <c r="G920" s="346">
        <v>2</v>
      </c>
      <c r="H920" s="346">
        <f t="shared" si="6"/>
        <v>8</v>
      </c>
    </row>
    <row r="921" spans="1:8" s="346" customFormat="1" ht="30" x14ac:dyDescent="0.3">
      <c r="A921" s="362">
        <v>8</v>
      </c>
      <c r="B921" s="361" t="s">
        <v>821</v>
      </c>
      <c r="C921" s="359" t="s">
        <v>375</v>
      </c>
      <c r="D921" s="359">
        <v>80</v>
      </c>
      <c r="E921" s="360">
        <v>580</v>
      </c>
      <c r="F921" s="360">
        <f t="shared" si="7"/>
        <v>46400</v>
      </c>
      <c r="G921" s="346">
        <v>20</v>
      </c>
      <c r="H921" s="346">
        <f t="shared" si="6"/>
        <v>80</v>
      </c>
    </row>
    <row r="922" spans="1:8" s="346" customFormat="1" ht="30" x14ac:dyDescent="0.3">
      <c r="A922" s="362">
        <v>9</v>
      </c>
      <c r="B922" s="361" t="s">
        <v>386</v>
      </c>
      <c r="C922" s="359" t="s">
        <v>375</v>
      </c>
      <c r="D922" s="359">
        <v>24</v>
      </c>
      <c r="E922" s="360">
        <f>E889</f>
        <v>3100</v>
      </c>
      <c r="F922" s="360">
        <f t="shared" si="7"/>
        <v>74400</v>
      </c>
      <c r="G922" s="346">
        <v>6</v>
      </c>
      <c r="H922" s="346">
        <f t="shared" si="6"/>
        <v>24</v>
      </c>
    </row>
    <row r="923" spans="1:8" s="346" customFormat="1" ht="30" x14ac:dyDescent="0.3">
      <c r="A923" s="362"/>
      <c r="B923" s="361" t="s">
        <v>822</v>
      </c>
      <c r="C923" s="359" t="s">
        <v>375</v>
      </c>
      <c r="D923" s="359">
        <v>8</v>
      </c>
      <c r="E923" s="360">
        <f>E890</f>
        <v>2100</v>
      </c>
      <c r="F923" s="360">
        <f t="shared" si="7"/>
        <v>16800</v>
      </c>
      <c r="G923" s="346">
        <v>2</v>
      </c>
      <c r="H923" s="346">
        <f t="shared" si="6"/>
        <v>8</v>
      </c>
    </row>
    <row r="924" spans="1:8" s="346" customFormat="1" ht="30" x14ac:dyDescent="0.3">
      <c r="A924" s="362">
        <v>10</v>
      </c>
      <c r="B924" s="361" t="s">
        <v>389</v>
      </c>
      <c r="C924" s="359" t="s">
        <v>390</v>
      </c>
      <c r="D924" s="359">
        <v>12</v>
      </c>
      <c r="E924" s="360">
        <f>E907</f>
        <v>2500</v>
      </c>
      <c r="F924" s="360">
        <f t="shared" si="7"/>
        <v>30000</v>
      </c>
      <c r="G924" s="346">
        <v>3</v>
      </c>
      <c r="H924" s="346">
        <f t="shared" si="6"/>
        <v>12</v>
      </c>
    </row>
    <row r="925" spans="1:8" s="346" customFormat="1" ht="15.75" x14ac:dyDescent="0.3">
      <c r="A925" s="362"/>
      <c r="B925" s="361" t="s">
        <v>393</v>
      </c>
      <c r="C925" s="359" t="s">
        <v>373</v>
      </c>
      <c r="D925" s="359">
        <v>4</v>
      </c>
      <c r="E925" s="360">
        <f>E894</f>
        <v>3000</v>
      </c>
      <c r="F925" s="360">
        <f t="shared" si="7"/>
        <v>12000</v>
      </c>
      <c r="G925" s="346">
        <v>1</v>
      </c>
      <c r="H925" s="346">
        <f t="shared" si="6"/>
        <v>4</v>
      </c>
    </row>
    <row r="926" spans="1:8" s="346" customFormat="1" ht="15.75" x14ac:dyDescent="0.3">
      <c r="A926" s="362">
        <v>11</v>
      </c>
      <c r="B926" s="361" t="s">
        <v>394</v>
      </c>
      <c r="C926" s="359" t="s">
        <v>373</v>
      </c>
      <c r="D926" s="359">
        <v>4</v>
      </c>
      <c r="E926" s="360">
        <f>E925</f>
        <v>3000</v>
      </c>
      <c r="F926" s="360">
        <f t="shared" si="7"/>
        <v>12000</v>
      </c>
      <c r="G926" s="346">
        <v>1</v>
      </c>
      <c r="H926" s="346">
        <f t="shared" si="6"/>
        <v>4</v>
      </c>
    </row>
    <row r="927" spans="1:8" s="346" customFormat="1" ht="45" x14ac:dyDescent="0.3">
      <c r="A927" s="362">
        <v>12</v>
      </c>
      <c r="B927" s="361" t="s">
        <v>391</v>
      </c>
      <c r="C927" s="359" t="s">
        <v>392</v>
      </c>
      <c r="D927" s="359">
        <v>4</v>
      </c>
      <c r="E927" s="360">
        <f>E893</f>
        <v>27900</v>
      </c>
      <c r="F927" s="360">
        <f t="shared" si="7"/>
        <v>111600</v>
      </c>
      <c r="G927" s="346">
        <v>1</v>
      </c>
      <c r="H927" s="346">
        <f t="shared" si="6"/>
        <v>4</v>
      </c>
    </row>
    <row r="928" spans="1:8" s="346" customFormat="1" x14ac:dyDescent="0.35">
      <c r="A928" s="362"/>
      <c r="B928" s="361" t="s">
        <v>814</v>
      </c>
      <c r="C928" s="359"/>
      <c r="D928" s="359"/>
      <c r="E928" s="360"/>
      <c r="F928" s="369">
        <v>200000</v>
      </c>
      <c r="H928" s="346">
        <f t="shared" si="6"/>
        <v>0</v>
      </c>
    </row>
    <row r="929" spans="1:8" s="346" customFormat="1" x14ac:dyDescent="0.35">
      <c r="A929" s="362"/>
      <c r="B929" s="363" t="s">
        <v>520</v>
      </c>
      <c r="C929" s="359"/>
      <c r="D929" s="359"/>
      <c r="E929" s="360"/>
      <c r="F929" s="364">
        <f>SUM(F914:F928)</f>
        <v>1226700</v>
      </c>
      <c r="H929" s="346">
        <f t="shared" si="6"/>
        <v>0</v>
      </c>
    </row>
    <row r="930" spans="1:8" s="346" customFormat="1" x14ac:dyDescent="0.35">
      <c r="A930" s="362"/>
      <c r="B930" s="361"/>
      <c r="C930" s="359"/>
      <c r="D930" s="359"/>
      <c r="E930" s="360"/>
      <c r="F930" s="369"/>
      <c r="H930" s="346">
        <f t="shared" si="6"/>
        <v>0</v>
      </c>
    </row>
    <row r="931" spans="1:8" s="346" customFormat="1" x14ac:dyDescent="0.35">
      <c r="A931" s="367" t="s">
        <v>6</v>
      </c>
      <c r="B931" s="355" t="s">
        <v>778</v>
      </c>
      <c r="C931" s="367" t="s">
        <v>765</v>
      </c>
      <c r="D931" s="367" t="s">
        <v>773</v>
      </c>
      <c r="E931" s="364" t="s">
        <v>767</v>
      </c>
      <c r="F931" s="364" t="s">
        <v>768</v>
      </c>
      <c r="G931" s="346" t="s">
        <v>766</v>
      </c>
      <c r="H931" s="346" t="e">
        <f t="shared" si="6"/>
        <v>#VALUE!</v>
      </c>
    </row>
    <row r="932" spans="1:8" s="346" customFormat="1" x14ac:dyDescent="0.35">
      <c r="A932" s="359"/>
      <c r="B932" s="355" t="s">
        <v>403</v>
      </c>
      <c r="C932" s="359"/>
      <c r="D932" s="367"/>
      <c r="E932" s="360"/>
      <c r="F932" s="364"/>
      <c r="H932" s="346">
        <f t="shared" si="6"/>
        <v>0</v>
      </c>
    </row>
    <row r="933" spans="1:8" s="346" customFormat="1" ht="15.75" x14ac:dyDescent="0.3">
      <c r="A933" s="359">
        <v>1</v>
      </c>
      <c r="B933" s="361" t="s">
        <v>823</v>
      </c>
      <c r="C933" s="359" t="s">
        <v>392</v>
      </c>
      <c r="D933" s="359">
        <v>52</v>
      </c>
      <c r="E933" s="360">
        <v>21500</v>
      </c>
      <c r="F933" s="360">
        <f>D933*E933</f>
        <v>1118000</v>
      </c>
      <c r="G933" s="346">
        <v>13</v>
      </c>
      <c r="H933" s="346">
        <f t="shared" si="6"/>
        <v>52</v>
      </c>
    </row>
    <row r="934" spans="1:8" s="346" customFormat="1" ht="15.75" x14ac:dyDescent="0.3">
      <c r="A934" s="359">
        <v>2</v>
      </c>
      <c r="B934" s="361" t="s">
        <v>824</v>
      </c>
      <c r="C934" s="359" t="s">
        <v>392</v>
      </c>
      <c r="D934" s="359">
        <v>52</v>
      </c>
      <c r="E934" s="360">
        <f>E933</f>
        <v>21500</v>
      </c>
      <c r="F934" s="360">
        <f t="shared" ref="F934:F949" si="8">D934*E934</f>
        <v>1118000</v>
      </c>
      <c r="G934" s="346">
        <v>10</v>
      </c>
      <c r="H934" s="346">
        <f t="shared" si="6"/>
        <v>40</v>
      </c>
    </row>
    <row r="935" spans="1:8" s="346" customFormat="1" ht="15.75" x14ac:dyDescent="0.3">
      <c r="A935" s="359">
        <v>3</v>
      </c>
      <c r="B935" s="361" t="s">
        <v>825</v>
      </c>
      <c r="C935" s="359" t="s">
        <v>392</v>
      </c>
      <c r="D935" s="359">
        <v>52</v>
      </c>
      <c r="E935" s="360">
        <f>E934</f>
        <v>21500</v>
      </c>
      <c r="F935" s="360">
        <f t="shared" si="8"/>
        <v>1118000</v>
      </c>
      <c r="G935" s="346">
        <v>8.5</v>
      </c>
      <c r="H935" s="346">
        <f t="shared" si="6"/>
        <v>34</v>
      </c>
    </row>
    <row r="936" spans="1:8" s="346" customFormat="1" ht="15.75" x14ac:dyDescent="0.3">
      <c r="A936" s="359">
        <v>4</v>
      </c>
      <c r="B936" s="361" t="s">
        <v>407</v>
      </c>
      <c r="C936" s="359" t="s">
        <v>392</v>
      </c>
      <c r="D936" s="359">
        <v>28</v>
      </c>
      <c r="E936" s="360">
        <v>35700</v>
      </c>
      <c r="F936" s="360">
        <f t="shared" si="8"/>
        <v>999600</v>
      </c>
      <c r="G936" s="346">
        <v>7</v>
      </c>
      <c r="H936" s="346">
        <f t="shared" si="6"/>
        <v>28</v>
      </c>
    </row>
    <row r="937" spans="1:8" s="346" customFormat="1" ht="15.75" x14ac:dyDescent="0.3">
      <c r="A937" s="359">
        <v>5</v>
      </c>
      <c r="B937" s="361" t="s">
        <v>408</v>
      </c>
      <c r="C937" s="359" t="s">
        <v>392</v>
      </c>
      <c r="D937" s="359">
        <v>28</v>
      </c>
      <c r="E937" s="360">
        <f>E936</f>
        <v>35700</v>
      </c>
      <c r="F937" s="360">
        <f t="shared" si="8"/>
        <v>999600</v>
      </c>
      <c r="G937" s="346">
        <v>7</v>
      </c>
      <c r="H937" s="346">
        <f t="shared" si="6"/>
        <v>28</v>
      </c>
    </row>
    <row r="938" spans="1:8" s="346" customFormat="1" ht="15.75" x14ac:dyDescent="0.3">
      <c r="A938" s="359">
        <v>6</v>
      </c>
      <c r="B938" s="361" t="s">
        <v>409</v>
      </c>
      <c r="C938" s="359" t="s">
        <v>392</v>
      </c>
      <c r="D938" s="359">
        <v>2</v>
      </c>
      <c r="E938" s="360">
        <f>E937</f>
        <v>35700</v>
      </c>
      <c r="F938" s="360">
        <f t="shared" si="8"/>
        <v>71400</v>
      </c>
      <c r="G938" s="346">
        <v>0.5</v>
      </c>
      <c r="H938" s="346">
        <f t="shared" si="6"/>
        <v>2</v>
      </c>
    </row>
    <row r="939" spans="1:8" s="346" customFormat="1" ht="15.75" x14ac:dyDescent="0.3">
      <c r="A939" s="359">
        <v>7</v>
      </c>
      <c r="B939" s="361" t="s">
        <v>410</v>
      </c>
      <c r="C939" s="359" t="s">
        <v>392</v>
      </c>
      <c r="D939" s="359">
        <v>12</v>
      </c>
      <c r="E939" s="360">
        <v>60000</v>
      </c>
      <c r="F939" s="360">
        <f t="shared" si="8"/>
        <v>720000</v>
      </c>
      <c r="G939" s="346">
        <v>1.5</v>
      </c>
      <c r="H939" s="346">
        <f t="shared" si="6"/>
        <v>6</v>
      </c>
    </row>
    <row r="940" spans="1:8" s="346" customFormat="1" ht="15.75" x14ac:dyDescent="0.3">
      <c r="A940" s="359">
        <v>8</v>
      </c>
      <c r="B940" s="361" t="s">
        <v>411</v>
      </c>
      <c r="C940" s="359" t="s">
        <v>392</v>
      </c>
      <c r="D940" s="359">
        <v>12</v>
      </c>
      <c r="E940" s="360">
        <f>E939</f>
        <v>60000</v>
      </c>
      <c r="F940" s="360">
        <f t="shared" si="8"/>
        <v>720000</v>
      </c>
      <c r="G940" s="346">
        <v>1.5</v>
      </c>
      <c r="H940" s="346">
        <f t="shared" si="6"/>
        <v>6</v>
      </c>
    </row>
    <row r="941" spans="1:8" s="346" customFormat="1" ht="15.75" x14ac:dyDescent="0.3">
      <c r="A941" s="359">
        <v>9</v>
      </c>
      <c r="B941" s="361" t="s">
        <v>412</v>
      </c>
      <c r="C941" s="359" t="s">
        <v>392</v>
      </c>
      <c r="D941" s="359">
        <v>5</v>
      </c>
      <c r="E941" s="360">
        <v>156000</v>
      </c>
      <c r="F941" s="360">
        <f t="shared" si="8"/>
        <v>780000</v>
      </c>
      <c r="G941" s="346">
        <v>1</v>
      </c>
      <c r="H941" s="346">
        <f t="shared" ref="H941:H1004" si="9">G941*$G$874</f>
        <v>4</v>
      </c>
    </row>
    <row r="942" spans="1:8" s="346" customFormat="1" ht="15.75" x14ac:dyDescent="0.3">
      <c r="A942" s="359">
        <v>10</v>
      </c>
      <c r="B942" s="368" t="s">
        <v>413</v>
      </c>
      <c r="C942" s="359" t="s">
        <v>392</v>
      </c>
      <c r="D942" s="359">
        <v>5</v>
      </c>
      <c r="E942" s="360">
        <f>E941</f>
        <v>156000</v>
      </c>
      <c r="F942" s="360">
        <f t="shared" si="8"/>
        <v>780000</v>
      </c>
      <c r="G942" s="346">
        <v>1</v>
      </c>
      <c r="H942" s="346">
        <f t="shared" si="9"/>
        <v>4</v>
      </c>
    </row>
    <row r="943" spans="1:8" s="346" customFormat="1" ht="15.75" x14ac:dyDescent="0.3">
      <c r="A943" s="359">
        <v>11</v>
      </c>
      <c r="B943" s="361" t="s">
        <v>414</v>
      </c>
      <c r="C943" s="359" t="s">
        <v>392</v>
      </c>
      <c r="D943" s="359">
        <v>5</v>
      </c>
      <c r="E943" s="360">
        <f>E942</f>
        <v>156000</v>
      </c>
      <c r="F943" s="360">
        <f t="shared" si="8"/>
        <v>780000</v>
      </c>
      <c r="G943" s="346">
        <v>1</v>
      </c>
      <c r="H943" s="346">
        <f t="shared" si="9"/>
        <v>4</v>
      </c>
    </row>
    <row r="944" spans="1:8" s="346" customFormat="1" ht="15.75" x14ac:dyDescent="0.3">
      <c r="A944" s="359">
        <v>12</v>
      </c>
      <c r="B944" s="361" t="s">
        <v>415</v>
      </c>
      <c r="C944" s="359" t="s">
        <v>392</v>
      </c>
      <c r="D944" s="359">
        <v>5</v>
      </c>
      <c r="E944" s="360">
        <f>E943</f>
        <v>156000</v>
      </c>
      <c r="F944" s="360">
        <f t="shared" si="8"/>
        <v>780000</v>
      </c>
      <c r="G944" s="346">
        <v>1</v>
      </c>
      <c r="H944" s="346">
        <f t="shared" si="9"/>
        <v>4</v>
      </c>
    </row>
    <row r="945" spans="1:8" s="346" customFormat="1" ht="60" x14ac:dyDescent="0.3">
      <c r="A945" s="359">
        <v>13</v>
      </c>
      <c r="B945" s="361" t="s">
        <v>826</v>
      </c>
      <c r="C945" s="359" t="s">
        <v>417</v>
      </c>
      <c r="D945" s="359">
        <v>8</v>
      </c>
      <c r="E945" s="360">
        <v>35000</v>
      </c>
      <c r="F945" s="360">
        <f t="shared" si="8"/>
        <v>280000</v>
      </c>
      <c r="G945" s="346">
        <v>2</v>
      </c>
      <c r="H945" s="346">
        <f t="shared" si="9"/>
        <v>8</v>
      </c>
    </row>
    <row r="946" spans="1:8" s="346" customFormat="1" ht="45" x14ac:dyDescent="0.3">
      <c r="A946" s="359">
        <v>14</v>
      </c>
      <c r="B946" s="361" t="s">
        <v>827</v>
      </c>
      <c r="C946" s="359" t="s">
        <v>417</v>
      </c>
      <c r="D946" s="359">
        <v>4</v>
      </c>
      <c r="E946" s="360">
        <v>54000</v>
      </c>
      <c r="F946" s="360">
        <f t="shared" si="8"/>
        <v>216000</v>
      </c>
      <c r="G946" s="346">
        <v>1</v>
      </c>
      <c r="H946" s="346">
        <f t="shared" si="9"/>
        <v>4</v>
      </c>
    </row>
    <row r="947" spans="1:8" s="346" customFormat="1" ht="45" x14ac:dyDescent="0.3">
      <c r="A947" s="359">
        <v>15</v>
      </c>
      <c r="B947" s="361" t="s">
        <v>828</v>
      </c>
      <c r="C947" s="359" t="s">
        <v>417</v>
      </c>
      <c r="D947" s="359">
        <v>4</v>
      </c>
      <c r="E947" s="360">
        <v>51000</v>
      </c>
      <c r="F947" s="360">
        <f t="shared" si="8"/>
        <v>204000</v>
      </c>
      <c r="G947" s="346">
        <v>1</v>
      </c>
      <c r="H947" s="346">
        <f t="shared" si="9"/>
        <v>4</v>
      </c>
    </row>
    <row r="948" spans="1:8" s="346" customFormat="1" ht="30" x14ac:dyDescent="0.3">
      <c r="A948" s="359">
        <v>16</v>
      </c>
      <c r="B948" s="361" t="s">
        <v>829</v>
      </c>
      <c r="C948" s="359" t="s">
        <v>417</v>
      </c>
      <c r="D948" s="359">
        <v>8</v>
      </c>
      <c r="E948" s="360">
        <v>24000</v>
      </c>
      <c r="F948" s="360">
        <f t="shared" si="8"/>
        <v>192000</v>
      </c>
      <c r="G948" s="346">
        <v>2</v>
      </c>
      <c r="H948" s="346">
        <f t="shared" si="9"/>
        <v>8</v>
      </c>
    </row>
    <row r="949" spans="1:8" s="346" customFormat="1" ht="45" x14ac:dyDescent="0.3">
      <c r="A949" s="359">
        <v>17</v>
      </c>
      <c r="B949" s="361" t="s">
        <v>391</v>
      </c>
      <c r="C949" s="359" t="s">
        <v>392</v>
      </c>
      <c r="D949" s="359">
        <v>4</v>
      </c>
      <c r="E949" s="360">
        <f>E948</f>
        <v>24000</v>
      </c>
      <c r="F949" s="360">
        <f t="shared" si="8"/>
        <v>96000</v>
      </c>
      <c r="G949" s="346">
        <v>1</v>
      </c>
      <c r="H949" s="346">
        <f t="shared" si="9"/>
        <v>4</v>
      </c>
    </row>
    <row r="950" spans="1:8" s="346" customFormat="1" ht="15.75" x14ac:dyDescent="0.3">
      <c r="A950" s="359"/>
      <c r="B950" s="361" t="s">
        <v>814</v>
      </c>
      <c r="C950" s="359"/>
      <c r="D950" s="359"/>
      <c r="E950" s="360"/>
      <c r="F950" s="360">
        <v>400000</v>
      </c>
      <c r="H950" s="346">
        <f t="shared" si="9"/>
        <v>0</v>
      </c>
    </row>
    <row r="951" spans="1:8" s="346" customFormat="1" x14ac:dyDescent="0.35">
      <c r="A951" s="359"/>
      <c r="B951" s="363" t="s">
        <v>520</v>
      </c>
      <c r="C951" s="359"/>
      <c r="D951" s="359"/>
      <c r="E951" s="360"/>
      <c r="F951" s="364">
        <f>SUM(F933:F950)</f>
        <v>11372600</v>
      </c>
      <c r="H951" s="346">
        <f t="shared" si="9"/>
        <v>0</v>
      </c>
    </row>
    <row r="952" spans="1:8" s="346" customFormat="1" x14ac:dyDescent="0.35">
      <c r="A952" s="359"/>
      <c r="B952" s="365"/>
      <c r="C952" s="359"/>
      <c r="D952" s="359"/>
      <c r="E952" s="360"/>
      <c r="F952" s="360"/>
      <c r="H952" s="346">
        <f t="shared" si="9"/>
        <v>0</v>
      </c>
    </row>
    <row r="953" spans="1:8" s="346" customFormat="1" ht="99" x14ac:dyDescent="0.35">
      <c r="A953" s="367" t="s">
        <v>7</v>
      </c>
      <c r="B953" s="355" t="s">
        <v>772</v>
      </c>
      <c r="C953" s="359"/>
      <c r="D953" s="359"/>
      <c r="E953" s="360"/>
      <c r="F953" s="360"/>
      <c r="H953" s="346">
        <f t="shared" si="9"/>
        <v>0</v>
      </c>
    </row>
    <row r="954" spans="1:8" s="346" customFormat="1" x14ac:dyDescent="0.35">
      <c r="A954" s="367"/>
      <c r="B954" s="354" t="s">
        <v>764</v>
      </c>
      <c r="C954" s="359" t="s">
        <v>765</v>
      </c>
      <c r="D954" s="359" t="s">
        <v>773</v>
      </c>
      <c r="E954" s="360" t="s">
        <v>767</v>
      </c>
      <c r="F954" s="360" t="s">
        <v>768</v>
      </c>
      <c r="G954" s="346" t="s">
        <v>773</v>
      </c>
      <c r="H954" s="346" t="e">
        <f t="shared" si="9"/>
        <v>#VALUE!</v>
      </c>
    </row>
    <row r="955" spans="1:8" s="346" customFormat="1" ht="60" x14ac:dyDescent="0.3">
      <c r="A955" s="359">
        <v>1</v>
      </c>
      <c r="B955" s="361" t="s">
        <v>830</v>
      </c>
      <c r="C955" s="359" t="s">
        <v>774</v>
      </c>
      <c r="D955" s="359">
        <v>4</v>
      </c>
      <c r="E955" s="360">
        <v>48000</v>
      </c>
      <c r="F955" s="360">
        <f>D955*E955</f>
        <v>192000</v>
      </c>
      <c r="G955" s="346">
        <v>1</v>
      </c>
      <c r="H955" s="346">
        <f t="shared" si="9"/>
        <v>4</v>
      </c>
    </row>
    <row r="956" spans="1:8" s="346" customFormat="1" ht="30" x14ac:dyDescent="0.3">
      <c r="A956" s="359">
        <v>2</v>
      </c>
      <c r="B956" s="361" t="s">
        <v>831</v>
      </c>
      <c r="C956" s="359" t="s">
        <v>774</v>
      </c>
      <c r="D956" s="359">
        <v>4</v>
      </c>
      <c r="E956" s="360">
        <v>42000</v>
      </c>
      <c r="F956" s="360">
        <f t="shared" ref="F956:F966" si="10">D956*E956</f>
        <v>168000</v>
      </c>
      <c r="G956" s="346">
        <v>1</v>
      </c>
      <c r="H956" s="346">
        <f t="shared" si="9"/>
        <v>4</v>
      </c>
    </row>
    <row r="957" spans="1:8" s="346" customFormat="1" ht="45" x14ac:dyDescent="0.3">
      <c r="A957" s="359">
        <v>3</v>
      </c>
      <c r="B957" s="361" t="s">
        <v>832</v>
      </c>
      <c r="C957" s="359" t="s">
        <v>774</v>
      </c>
      <c r="D957" s="359">
        <v>2</v>
      </c>
      <c r="E957" s="360">
        <f>E956</f>
        <v>42000</v>
      </c>
      <c r="F957" s="360">
        <f t="shared" si="10"/>
        <v>84000</v>
      </c>
      <c r="G957" s="346">
        <v>0.5</v>
      </c>
      <c r="H957" s="346">
        <f t="shared" si="9"/>
        <v>2</v>
      </c>
    </row>
    <row r="958" spans="1:8" s="346" customFormat="1" ht="30" x14ac:dyDescent="0.3">
      <c r="A958" s="359">
        <v>4</v>
      </c>
      <c r="B958" s="361" t="s">
        <v>833</v>
      </c>
      <c r="C958" s="359" t="s">
        <v>774</v>
      </c>
      <c r="D958" s="359">
        <v>4</v>
      </c>
      <c r="E958" s="360">
        <v>78000</v>
      </c>
      <c r="F958" s="360">
        <f t="shared" si="10"/>
        <v>312000</v>
      </c>
      <c r="G958" s="346">
        <v>1</v>
      </c>
      <c r="H958" s="346">
        <f t="shared" si="9"/>
        <v>4</v>
      </c>
    </row>
    <row r="959" spans="1:8" s="346" customFormat="1" ht="30" x14ac:dyDescent="0.3">
      <c r="A959" s="359">
        <v>5</v>
      </c>
      <c r="B959" s="361" t="s">
        <v>834</v>
      </c>
      <c r="C959" s="359" t="s">
        <v>774</v>
      </c>
      <c r="D959" s="359">
        <v>4</v>
      </c>
      <c r="E959" s="360">
        <f>E958</f>
        <v>78000</v>
      </c>
      <c r="F959" s="360">
        <f t="shared" si="10"/>
        <v>312000</v>
      </c>
      <c r="G959" s="346">
        <v>1</v>
      </c>
      <c r="H959" s="346">
        <f t="shared" si="9"/>
        <v>4</v>
      </c>
    </row>
    <row r="960" spans="1:8" s="346" customFormat="1" ht="30" x14ac:dyDescent="0.3">
      <c r="A960" s="359">
        <v>6</v>
      </c>
      <c r="B960" s="361" t="s">
        <v>835</v>
      </c>
      <c r="C960" s="359" t="s">
        <v>392</v>
      </c>
      <c r="D960" s="359">
        <v>8</v>
      </c>
      <c r="E960" s="360">
        <v>45000</v>
      </c>
      <c r="F960" s="360">
        <f t="shared" si="10"/>
        <v>360000</v>
      </c>
      <c r="G960" s="346">
        <v>2</v>
      </c>
      <c r="H960" s="346">
        <f t="shared" si="9"/>
        <v>8</v>
      </c>
    </row>
    <row r="961" spans="1:8" s="346" customFormat="1" ht="15.75" x14ac:dyDescent="0.3">
      <c r="A961" s="359">
        <v>7</v>
      </c>
      <c r="B961" s="361" t="s">
        <v>836</v>
      </c>
      <c r="C961" s="359" t="s">
        <v>392</v>
      </c>
      <c r="D961" s="359">
        <v>6</v>
      </c>
      <c r="E961" s="360">
        <f>E960</f>
        <v>45000</v>
      </c>
      <c r="F961" s="360">
        <f t="shared" si="10"/>
        <v>270000</v>
      </c>
      <c r="G961" s="346">
        <v>1.5</v>
      </c>
      <c r="H961" s="346">
        <f t="shared" si="9"/>
        <v>6</v>
      </c>
    </row>
    <row r="962" spans="1:8" s="346" customFormat="1" ht="45" x14ac:dyDescent="0.3">
      <c r="A962" s="359">
        <v>8</v>
      </c>
      <c r="B962" s="361" t="s">
        <v>837</v>
      </c>
      <c r="C962" s="359" t="s">
        <v>375</v>
      </c>
      <c r="D962" s="359">
        <v>28</v>
      </c>
      <c r="E962" s="360">
        <v>25000</v>
      </c>
      <c r="F962" s="360">
        <f t="shared" si="10"/>
        <v>700000</v>
      </c>
      <c r="G962" s="346">
        <v>7</v>
      </c>
      <c r="H962" s="346">
        <f t="shared" si="9"/>
        <v>28</v>
      </c>
    </row>
    <row r="963" spans="1:8" s="346" customFormat="1" ht="30" x14ac:dyDescent="0.3">
      <c r="A963" s="359">
        <v>9</v>
      </c>
      <c r="B963" s="361" t="s">
        <v>838</v>
      </c>
      <c r="C963" s="359" t="s">
        <v>375</v>
      </c>
      <c r="D963" s="359">
        <v>4</v>
      </c>
      <c r="E963" s="360">
        <v>43000</v>
      </c>
      <c r="F963" s="360">
        <f t="shared" si="10"/>
        <v>172000</v>
      </c>
      <c r="G963" s="346">
        <v>1</v>
      </c>
      <c r="H963" s="346">
        <f t="shared" si="9"/>
        <v>4</v>
      </c>
    </row>
    <row r="964" spans="1:8" s="346" customFormat="1" ht="30" x14ac:dyDescent="0.3">
      <c r="A964" s="359">
        <v>10</v>
      </c>
      <c r="B964" s="361" t="s">
        <v>839</v>
      </c>
      <c r="C964" s="359" t="s">
        <v>375</v>
      </c>
      <c r="D964" s="359">
        <v>8</v>
      </c>
      <c r="E964" s="360">
        <v>25000</v>
      </c>
      <c r="F964" s="360">
        <f t="shared" si="10"/>
        <v>200000</v>
      </c>
      <c r="G964" s="346">
        <v>2</v>
      </c>
      <c r="H964" s="346">
        <f t="shared" si="9"/>
        <v>8</v>
      </c>
    </row>
    <row r="965" spans="1:8" s="346" customFormat="1" ht="45" x14ac:dyDescent="0.3">
      <c r="A965" s="359">
        <v>11</v>
      </c>
      <c r="B965" s="361" t="s">
        <v>840</v>
      </c>
      <c r="C965" s="359" t="s">
        <v>375</v>
      </c>
      <c r="D965" s="359">
        <v>8</v>
      </c>
      <c r="E965" s="360">
        <v>12000</v>
      </c>
      <c r="F965" s="360">
        <f t="shared" si="10"/>
        <v>96000</v>
      </c>
      <c r="G965" s="346">
        <v>2</v>
      </c>
      <c r="H965" s="346">
        <f t="shared" si="9"/>
        <v>8</v>
      </c>
    </row>
    <row r="966" spans="1:8" s="346" customFormat="1" ht="45" x14ac:dyDescent="0.3">
      <c r="A966" s="359">
        <v>12</v>
      </c>
      <c r="B966" s="361" t="s">
        <v>841</v>
      </c>
      <c r="C966" s="359" t="s">
        <v>375</v>
      </c>
      <c r="D966" s="359">
        <v>4</v>
      </c>
      <c r="E966" s="360">
        <v>280000</v>
      </c>
      <c r="F966" s="360">
        <f t="shared" si="10"/>
        <v>1120000</v>
      </c>
      <c r="G966" s="346">
        <v>1</v>
      </c>
      <c r="H966" s="346">
        <f t="shared" si="9"/>
        <v>4</v>
      </c>
    </row>
    <row r="967" spans="1:8" s="346" customFormat="1" ht="15.75" x14ac:dyDescent="0.3">
      <c r="A967" s="362"/>
      <c r="B967" s="368"/>
      <c r="C967" s="359"/>
      <c r="D967" s="359"/>
      <c r="E967" s="360"/>
      <c r="F967" s="360"/>
      <c r="H967" s="346">
        <f t="shared" si="9"/>
        <v>0</v>
      </c>
    </row>
    <row r="968" spans="1:8" s="346" customFormat="1" ht="15.75" x14ac:dyDescent="0.3">
      <c r="A968" s="359"/>
      <c r="B968" s="361" t="s">
        <v>814</v>
      </c>
      <c r="C968" s="359"/>
      <c r="D968" s="359"/>
      <c r="E968" s="360"/>
      <c r="F968" s="360">
        <v>300000</v>
      </c>
      <c r="H968" s="346">
        <f t="shared" si="9"/>
        <v>0</v>
      </c>
    </row>
    <row r="969" spans="1:8" s="346" customFormat="1" x14ac:dyDescent="0.35">
      <c r="A969" s="359"/>
      <c r="B969" s="363" t="s">
        <v>520</v>
      </c>
      <c r="C969" s="359"/>
      <c r="D969" s="359"/>
      <c r="E969" s="360"/>
      <c r="F969" s="364">
        <f>SUM(F955:F968)</f>
        <v>4286000</v>
      </c>
      <c r="H969" s="346">
        <f t="shared" si="9"/>
        <v>0</v>
      </c>
    </row>
    <row r="970" spans="1:8" s="346" customFormat="1" x14ac:dyDescent="0.35">
      <c r="A970" s="359"/>
      <c r="B970" s="355"/>
      <c r="C970" s="359"/>
      <c r="D970" s="359"/>
      <c r="E970" s="360"/>
      <c r="F970" s="369"/>
      <c r="H970" s="346">
        <f t="shared" si="9"/>
        <v>0</v>
      </c>
    </row>
    <row r="971" spans="1:8" s="346" customFormat="1" ht="33" x14ac:dyDescent="0.35">
      <c r="A971" s="367" t="s">
        <v>8</v>
      </c>
      <c r="B971" s="355" t="s">
        <v>775</v>
      </c>
      <c r="C971" s="367" t="s">
        <v>765</v>
      </c>
      <c r="D971" s="367" t="s">
        <v>773</v>
      </c>
      <c r="E971" s="364" t="s">
        <v>767</v>
      </c>
      <c r="F971" s="364" t="s">
        <v>768</v>
      </c>
      <c r="G971" s="346" t="s">
        <v>766</v>
      </c>
      <c r="H971" s="346" t="e">
        <f t="shared" si="9"/>
        <v>#VALUE!</v>
      </c>
    </row>
    <row r="972" spans="1:8" s="346" customFormat="1" ht="45" x14ac:dyDescent="0.3">
      <c r="A972" s="359">
        <v>1</v>
      </c>
      <c r="B972" s="370" t="s">
        <v>842</v>
      </c>
      <c r="C972" s="314" t="s">
        <v>375</v>
      </c>
      <c r="D972" s="359">
        <v>88</v>
      </c>
      <c r="E972" s="371">
        <v>3450</v>
      </c>
      <c r="F972" s="360">
        <f>D972*E972</f>
        <v>303600</v>
      </c>
      <c r="G972" s="346">
        <v>22</v>
      </c>
      <c r="H972" s="346">
        <f t="shared" si="9"/>
        <v>88</v>
      </c>
    </row>
    <row r="973" spans="1:8" s="346" customFormat="1" ht="45" x14ac:dyDescent="0.3">
      <c r="A973" s="359">
        <v>2</v>
      </c>
      <c r="B973" s="370" t="s">
        <v>843</v>
      </c>
      <c r="C973" s="314" t="s">
        <v>375</v>
      </c>
      <c r="D973" s="359">
        <v>88</v>
      </c>
      <c r="E973" s="371">
        <v>5150</v>
      </c>
      <c r="F973" s="360">
        <f t="shared" ref="F973:F1004" si="11">D973*E973</f>
        <v>453200</v>
      </c>
      <c r="G973" s="346">
        <v>22</v>
      </c>
      <c r="H973" s="346">
        <f t="shared" si="9"/>
        <v>88</v>
      </c>
    </row>
    <row r="974" spans="1:8" s="346" customFormat="1" ht="45" x14ac:dyDescent="0.3">
      <c r="A974" s="359">
        <v>3</v>
      </c>
      <c r="B974" s="370" t="s">
        <v>844</v>
      </c>
      <c r="C974" s="314" t="s">
        <v>375</v>
      </c>
      <c r="D974" s="359">
        <v>88</v>
      </c>
      <c r="E974" s="371">
        <v>6700</v>
      </c>
      <c r="F974" s="360">
        <f t="shared" si="11"/>
        <v>589600</v>
      </c>
      <c r="G974" s="346">
        <v>22</v>
      </c>
      <c r="H974" s="346">
        <f t="shared" si="9"/>
        <v>88</v>
      </c>
    </row>
    <row r="975" spans="1:8" s="346" customFormat="1" ht="45" x14ac:dyDescent="0.3">
      <c r="A975" s="359">
        <v>5</v>
      </c>
      <c r="B975" s="370" t="s">
        <v>845</v>
      </c>
      <c r="C975" s="314" t="s">
        <v>375</v>
      </c>
      <c r="D975" s="359">
        <v>28</v>
      </c>
      <c r="E975" s="371">
        <v>11950</v>
      </c>
      <c r="F975" s="360">
        <f t="shared" si="11"/>
        <v>334600</v>
      </c>
      <c r="G975" s="346">
        <v>7</v>
      </c>
      <c r="H975" s="346">
        <f t="shared" si="9"/>
        <v>28</v>
      </c>
    </row>
    <row r="976" spans="1:8" s="346" customFormat="1" ht="30" x14ac:dyDescent="0.3">
      <c r="A976" s="359">
        <v>6</v>
      </c>
      <c r="B976" s="372" t="s">
        <v>846</v>
      </c>
      <c r="C976" s="314" t="s">
        <v>375</v>
      </c>
      <c r="D976" s="359">
        <v>40</v>
      </c>
      <c r="E976" s="371">
        <v>4000</v>
      </c>
      <c r="F976" s="360">
        <f t="shared" si="11"/>
        <v>160000</v>
      </c>
      <c r="G976" s="346">
        <v>10</v>
      </c>
      <c r="H976" s="346">
        <f t="shared" si="9"/>
        <v>40</v>
      </c>
    </row>
    <row r="977" spans="1:8" s="346" customFormat="1" ht="30" x14ac:dyDescent="0.3">
      <c r="A977" s="359">
        <v>8</v>
      </c>
      <c r="B977" s="372" t="s">
        <v>847</v>
      </c>
      <c r="C977" s="314" t="s">
        <v>375</v>
      </c>
      <c r="D977" s="359">
        <v>12</v>
      </c>
      <c r="E977" s="371">
        <v>3400</v>
      </c>
      <c r="F977" s="360">
        <f t="shared" si="11"/>
        <v>40800</v>
      </c>
      <c r="G977" s="346">
        <v>3</v>
      </c>
      <c r="H977" s="346">
        <f t="shared" si="9"/>
        <v>12</v>
      </c>
    </row>
    <row r="978" spans="1:8" s="346" customFormat="1" ht="45" x14ac:dyDescent="0.3">
      <c r="A978" s="359">
        <v>9</v>
      </c>
      <c r="B978" s="372" t="s">
        <v>848</v>
      </c>
      <c r="C978" s="314" t="s">
        <v>375</v>
      </c>
      <c r="D978" s="359">
        <v>152</v>
      </c>
      <c r="E978" s="371">
        <v>8031</v>
      </c>
      <c r="F978" s="360">
        <f>D978*E978</f>
        <v>1220712</v>
      </c>
      <c r="G978" s="346">
        <v>38</v>
      </c>
      <c r="H978" s="346">
        <f t="shared" si="9"/>
        <v>152</v>
      </c>
    </row>
    <row r="979" spans="1:8" s="346" customFormat="1" ht="30" x14ac:dyDescent="0.3">
      <c r="A979" s="359">
        <v>10</v>
      </c>
      <c r="B979" s="372" t="s">
        <v>849</v>
      </c>
      <c r="C979" s="314" t="s">
        <v>375</v>
      </c>
      <c r="D979" s="359">
        <v>4</v>
      </c>
      <c r="E979" s="371">
        <v>6500</v>
      </c>
      <c r="F979" s="360">
        <f t="shared" si="11"/>
        <v>26000</v>
      </c>
      <c r="G979" s="346">
        <v>1</v>
      </c>
      <c r="H979" s="346">
        <f t="shared" si="9"/>
        <v>4</v>
      </c>
    </row>
    <row r="980" spans="1:8" s="346" customFormat="1" ht="105" x14ac:dyDescent="0.3">
      <c r="A980" s="359">
        <v>11</v>
      </c>
      <c r="B980" s="372" t="s">
        <v>850</v>
      </c>
      <c r="C980" s="314" t="s">
        <v>375</v>
      </c>
      <c r="D980" s="359">
        <v>72</v>
      </c>
      <c r="E980" s="371">
        <v>6500</v>
      </c>
      <c r="F980" s="360">
        <f t="shared" si="11"/>
        <v>468000</v>
      </c>
      <c r="G980" s="346">
        <v>18</v>
      </c>
      <c r="H980" s="346">
        <f t="shared" si="9"/>
        <v>72</v>
      </c>
    </row>
    <row r="981" spans="1:8" s="346" customFormat="1" ht="105" x14ac:dyDescent="0.3">
      <c r="A981" s="359">
        <v>12</v>
      </c>
      <c r="B981" s="372" t="s">
        <v>851</v>
      </c>
      <c r="C981" s="314" t="s">
        <v>375</v>
      </c>
      <c r="D981" s="359">
        <v>4</v>
      </c>
      <c r="E981" s="371">
        <v>7800</v>
      </c>
      <c r="F981" s="360">
        <f t="shared" si="11"/>
        <v>31200</v>
      </c>
      <c r="G981" s="346">
        <v>1</v>
      </c>
      <c r="H981" s="346">
        <f t="shared" si="9"/>
        <v>4</v>
      </c>
    </row>
    <row r="982" spans="1:8" s="346" customFormat="1" ht="75" x14ac:dyDescent="0.3">
      <c r="A982" s="359">
        <v>13</v>
      </c>
      <c r="B982" s="372" t="s">
        <v>852</v>
      </c>
      <c r="C982" s="314" t="s">
        <v>375</v>
      </c>
      <c r="D982" s="359">
        <v>40</v>
      </c>
      <c r="E982" s="371">
        <v>18000</v>
      </c>
      <c r="F982" s="360">
        <f t="shared" si="11"/>
        <v>720000</v>
      </c>
      <c r="G982" s="346">
        <v>10</v>
      </c>
      <c r="H982" s="346">
        <f t="shared" si="9"/>
        <v>40</v>
      </c>
    </row>
    <row r="983" spans="1:8" s="346" customFormat="1" ht="75" x14ac:dyDescent="0.3">
      <c r="A983" s="359">
        <v>14</v>
      </c>
      <c r="B983" s="372" t="s">
        <v>853</v>
      </c>
      <c r="C983" s="314" t="s">
        <v>375</v>
      </c>
      <c r="D983" s="359">
        <v>28</v>
      </c>
      <c r="E983" s="371">
        <v>186000</v>
      </c>
      <c r="F983" s="360">
        <f t="shared" si="11"/>
        <v>5208000</v>
      </c>
      <c r="G983" s="346">
        <v>7</v>
      </c>
      <c r="H983" s="346">
        <f t="shared" si="9"/>
        <v>28</v>
      </c>
    </row>
    <row r="984" spans="1:8" s="346" customFormat="1" ht="45" x14ac:dyDescent="0.3">
      <c r="A984" s="359">
        <v>15</v>
      </c>
      <c r="B984" s="372" t="s">
        <v>854</v>
      </c>
      <c r="C984" s="314" t="s">
        <v>375</v>
      </c>
      <c r="D984" s="359">
        <v>72</v>
      </c>
      <c r="E984" s="371">
        <v>98000</v>
      </c>
      <c r="F984" s="360">
        <f t="shared" si="11"/>
        <v>7056000</v>
      </c>
      <c r="G984" s="346">
        <v>18</v>
      </c>
      <c r="H984" s="346">
        <f t="shared" si="9"/>
        <v>72</v>
      </c>
    </row>
    <row r="985" spans="1:8" s="346" customFormat="1" ht="90" x14ac:dyDescent="0.3">
      <c r="A985" s="359">
        <v>16</v>
      </c>
      <c r="B985" s="372" t="s">
        <v>855</v>
      </c>
      <c r="C985" s="314" t="s">
        <v>776</v>
      </c>
      <c r="D985" s="359">
        <v>152</v>
      </c>
      <c r="E985" s="371">
        <v>85000</v>
      </c>
      <c r="F985" s="360">
        <f t="shared" si="11"/>
        <v>12920000</v>
      </c>
      <c r="G985" s="346">
        <v>38</v>
      </c>
      <c r="H985" s="346">
        <f t="shared" si="9"/>
        <v>152</v>
      </c>
    </row>
    <row r="986" spans="1:8" s="346" customFormat="1" ht="30" x14ac:dyDescent="0.3">
      <c r="A986" s="359">
        <v>17</v>
      </c>
      <c r="B986" s="372" t="s">
        <v>856</v>
      </c>
      <c r="C986" s="314" t="s">
        <v>375</v>
      </c>
      <c r="D986" s="359">
        <v>56</v>
      </c>
      <c r="E986" s="371">
        <v>4200</v>
      </c>
      <c r="F986" s="360">
        <f t="shared" si="11"/>
        <v>235200</v>
      </c>
      <c r="G986" s="346">
        <v>14</v>
      </c>
      <c r="H986" s="346">
        <f t="shared" si="9"/>
        <v>56</v>
      </c>
    </row>
    <row r="987" spans="1:8" s="346" customFormat="1" ht="15.75" x14ac:dyDescent="0.3">
      <c r="A987" s="359">
        <v>18</v>
      </c>
      <c r="B987" s="372" t="s">
        <v>857</v>
      </c>
      <c r="C987" s="314" t="s">
        <v>375</v>
      </c>
      <c r="D987" s="359">
        <v>16</v>
      </c>
      <c r="E987" s="371">
        <v>2200</v>
      </c>
      <c r="F987" s="360">
        <f t="shared" si="11"/>
        <v>35200</v>
      </c>
      <c r="G987" s="346">
        <v>4</v>
      </c>
      <c r="H987" s="346">
        <f t="shared" si="9"/>
        <v>16</v>
      </c>
    </row>
    <row r="988" spans="1:8" s="346" customFormat="1" ht="30" x14ac:dyDescent="0.3">
      <c r="A988" s="359">
        <v>19</v>
      </c>
      <c r="B988" s="372" t="s">
        <v>858</v>
      </c>
      <c r="C988" s="314" t="s">
        <v>373</v>
      </c>
      <c r="D988" s="359">
        <v>16</v>
      </c>
      <c r="E988" s="371">
        <v>7500</v>
      </c>
      <c r="F988" s="360">
        <f t="shared" si="11"/>
        <v>120000</v>
      </c>
      <c r="G988" s="346">
        <v>4</v>
      </c>
      <c r="H988" s="346">
        <f t="shared" si="9"/>
        <v>16</v>
      </c>
    </row>
    <row r="989" spans="1:8" s="346" customFormat="1" ht="30" x14ac:dyDescent="0.3">
      <c r="A989" s="359">
        <v>20</v>
      </c>
      <c r="B989" s="372" t="s">
        <v>859</v>
      </c>
      <c r="C989" s="314" t="s">
        <v>373</v>
      </c>
      <c r="D989" s="359">
        <v>8</v>
      </c>
      <c r="E989" s="371">
        <v>1500</v>
      </c>
      <c r="F989" s="360">
        <f t="shared" si="11"/>
        <v>12000</v>
      </c>
      <c r="G989" s="346">
        <v>2</v>
      </c>
      <c r="H989" s="346">
        <f t="shared" si="9"/>
        <v>8</v>
      </c>
    </row>
    <row r="990" spans="1:8" s="346" customFormat="1" ht="15.75" x14ac:dyDescent="0.3">
      <c r="A990" s="359">
        <v>21</v>
      </c>
      <c r="B990" s="372" t="s">
        <v>860</v>
      </c>
      <c r="C990" s="314" t="s">
        <v>375</v>
      </c>
      <c r="D990" s="359">
        <v>56</v>
      </c>
      <c r="E990" s="371">
        <v>200</v>
      </c>
      <c r="F990" s="360">
        <f t="shared" si="11"/>
        <v>11200</v>
      </c>
      <c r="G990" s="346">
        <v>14</v>
      </c>
      <c r="H990" s="346">
        <f t="shared" si="9"/>
        <v>56</v>
      </c>
    </row>
    <row r="991" spans="1:8" s="346" customFormat="1" ht="15.75" x14ac:dyDescent="0.3">
      <c r="A991" s="359">
        <v>22</v>
      </c>
      <c r="B991" s="372" t="s">
        <v>861</v>
      </c>
      <c r="C991" s="314" t="s">
        <v>375</v>
      </c>
      <c r="D991" s="359">
        <v>8</v>
      </c>
      <c r="E991" s="371">
        <v>400</v>
      </c>
      <c r="F991" s="360">
        <f t="shared" si="11"/>
        <v>3200</v>
      </c>
      <c r="G991" s="346">
        <v>2</v>
      </c>
      <c r="H991" s="346">
        <f t="shared" si="9"/>
        <v>8</v>
      </c>
    </row>
    <row r="992" spans="1:8" s="346" customFormat="1" ht="15.75" x14ac:dyDescent="0.3">
      <c r="A992" s="359">
        <v>23</v>
      </c>
      <c r="B992" s="372" t="s">
        <v>862</v>
      </c>
      <c r="C992" s="314" t="s">
        <v>375</v>
      </c>
      <c r="D992" s="359">
        <v>8</v>
      </c>
      <c r="E992" s="371">
        <v>200</v>
      </c>
      <c r="F992" s="360">
        <f t="shared" si="11"/>
        <v>1600</v>
      </c>
      <c r="G992" s="346">
        <v>2</v>
      </c>
      <c r="H992" s="346">
        <f t="shared" si="9"/>
        <v>8</v>
      </c>
    </row>
    <row r="993" spans="1:8" s="346" customFormat="1" ht="15.75" x14ac:dyDescent="0.3">
      <c r="A993" s="359">
        <v>24</v>
      </c>
      <c r="B993" s="372" t="s">
        <v>863</v>
      </c>
      <c r="C993" s="314" t="s">
        <v>375</v>
      </c>
      <c r="D993" s="359">
        <v>4</v>
      </c>
      <c r="E993" s="371">
        <v>800</v>
      </c>
      <c r="F993" s="360">
        <f t="shared" si="11"/>
        <v>3200</v>
      </c>
      <c r="G993" s="346">
        <v>1</v>
      </c>
      <c r="H993" s="346">
        <f t="shared" si="9"/>
        <v>4</v>
      </c>
    </row>
    <row r="994" spans="1:8" s="346" customFormat="1" ht="30" x14ac:dyDescent="0.3">
      <c r="A994" s="359">
        <v>25</v>
      </c>
      <c r="B994" s="372" t="s">
        <v>864</v>
      </c>
      <c r="C994" s="314" t="s">
        <v>375</v>
      </c>
      <c r="D994" s="359">
        <v>32</v>
      </c>
      <c r="E994" s="371">
        <v>300</v>
      </c>
      <c r="F994" s="360">
        <f t="shared" si="11"/>
        <v>9600</v>
      </c>
      <c r="G994" s="346">
        <v>8</v>
      </c>
      <c r="H994" s="346">
        <f t="shared" si="9"/>
        <v>32</v>
      </c>
    </row>
    <row r="995" spans="1:8" s="346" customFormat="1" ht="30" x14ac:dyDescent="0.3">
      <c r="A995" s="359">
        <v>26</v>
      </c>
      <c r="B995" s="372" t="s">
        <v>865</v>
      </c>
      <c r="C995" s="314" t="s">
        <v>375</v>
      </c>
      <c r="D995" s="359">
        <v>8</v>
      </c>
      <c r="E995" s="371">
        <v>22000</v>
      </c>
      <c r="F995" s="360">
        <f t="shared" si="11"/>
        <v>176000</v>
      </c>
      <c r="G995" s="346">
        <v>2</v>
      </c>
      <c r="H995" s="346">
        <f t="shared" si="9"/>
        <v>8</v>
      </c>
    </row>
    <row r="996" spans="1:8" s="346" customFormat="1" ht="45" x14ac:dyDescent="0.3">
      <c r="A996" s="359">
        <v>27</v>
      </c>
      <c r="B996" s="372" t="s">
        <v>866</v>
      </c>
      <c r="C996" s="314" t="s">
        <v>375</v>
      </c>
      <c r="D996" s="359">
        <v>24</v>
      </c>
      <c r="E996" s="371">
        <f>E995</f>
        <v>22000</v>
      </c>
      <c r="F996" s="360">
        <f t="shared" si="11"/>
        <v>528000</v>
      </c>
      <c r="G996" s="346">
        <v>6</v>
      </c>
      <c r="H996" s="346">
        <f t="shared" si="9"/>
        <v>24</v>
      </c>
    </row>
    <row r="997" spans="1:8" s="346" customFormat="1" ht="45" x14ac:dyDescent="0.3">
      <c r="A997" s="359">
        <v>28</v>
      </c>
      <c r="B997" s="372" t="s">
        <v>867</v>
      </c>
      <c r="C997" s="314" t="s">
        <v>375</v>
      </c>
      <c r="D997" s="359">
        <v>32</v>
      </c>
      <c r="E997" s="371">
        <f>E996</f>
        <v>22000</v>
      </c>
      <c r="F997" s="360">
        <f t="shared" si="11"/>
        <v>704000</v>
      </c>
      <c r="G997" s="346">
        <v>8</v>
      </c>
      <c r="H997" s="346">
        <f t="shared" si="9"/>
        <v>32</v>
      </c>
    </row>
    <row r="998" spans="1:8" s="346" customFormat="1" ht="45" x14ac:dyDescent="0.3">
      <c r="A998" s="359">
        <v>29</v>
      </c>
      <c r="B998" s="372" t="s">
        <v>868</v>
      </c>
      <c r="C998" s="314" t="s">
        <v>375</v>
      </c>
      <c r="D998" s="359">
        <v>8</v>
      </c>
      <c r="E998" s="371">
        <v>10000</v>
      </c>
      <c r="F998" s="360">
        <f t="shared" si="11"/>
        <v>80000</v>
      </c>
      <c r="G998" s="346">
        <v>2</v>
      </c>
      <c r="H998" s="346">
        <f t="shared" si="9"/>
        <v>8</v>
      </c>
    </row>
    <row r="999" spans="1:8" s="346" customFormat="1" ht="45" x14ac:dyDescent="0.3">
      <c r="A999" s="359">
        <v>30</v>
      </c>
      <c r="B999" s="372" t="s">
        <v>869</v>
      </c>
      <c r="C999" s="314" t="s">
        <v>375</v>
      </c>
      <c r="D999" s="359">
        <v>8</v>
      </c>
      <c r="E999" s="371">
        <v>11950</v>
      </c>
      <c r="F999" s="360">
        <f t="shared" si="11"/>
        <v>95600</v>
      </c>
      <c r="G999" s="346">
        <v>2</v>
      </c>
      <c r="H999" s="346">
        <f t="shared" si="9"/>
        <v>8</v>
      </c>
    </row>
    <row r="1000" spans="1:8" s="346" customFormat="1" ht="135" x14ac:dyDescent="0.3">
      <c r="A1000" s="359">
        <v>31</v>
      </c>
      <c r="B1000" s="372" t="s">
        <v>870</v>
      </c>
      <c r="C1000" s="314" t="s">
        <v>375</v>
      </c>
      <c r="D1000" s="359">
        <v>40</v>
      </c>
      <c r="E1000" s="371">
        <v>7800</v>
      </c>
      <c r="F1000" s="360">
        <f t="shared" si="11"/>
        <v>312000</v>
      </c>
      <c r="G1000" s="346">
        <v>10</v>
      </c>
      <c r="H1000" s="346">
        <f t="shared" si="9"/>
        <v>40</v>
      </c>
    </row>
    <row r="1001" spans="1:8" s="346" customFormat="1" ht="151.5" x14ac:dyDescent="0.3">
      <c r="A1001" s="359">
        <v>32</v>
      </c>
      <c r="B1001" s="372" t="s">
        <v>871</v>
      </c>
      <c r="C1001" s="314" t="s">
        <v>375</v>
      </c>
      <c r="D1001" s="359">
        <v>24</v>
      </c>
      <c r="E1001" s="371">
        <v>12000</v>
      </c>
      <c r="F1001" s="360">
        <f t="shared" si="11"/>
        <v>288000</v>
      </c>
      <c r="G1001" s="346">
        <v>6</v>
      </c>
      <c r="H1001" s="346">
        <f t="shared" si="9"/>
        <v>24</v>
      </c>
    </row>
    <row r="1002" spans="1:8" s="346" customFormat="1" ht="136.5" x14ac:dyDescent="0.3">
      <c r="A1002" s="359">
        <v>33</v>
      </c>
      <c r="B1002" s="372" t="s">
        <v>872</v>
      </c>
      <c r="C1002" s="314" t="s">
        <v>375</v>
      </c>
      <c r="D1002" s="359">
        <v>40</v>
      </c>
      <c r="E1002" s="371">
        <v>16500</v>
      </c>
      <c r="F1002" s="360">
        <f t="shared" si="11"/>
        <v>660000</v>
      </c>
      <c r="G1002" s="346">
        <v>10</v>
      </c>
      <c r="H1002" s="346">
        <f t="shared" si="9"/>
        <v>40</v>
      </c>
    </row>
    <row r="1003" spans="1:8" s="346" customFormat="1" ht="105" x14ac:dyDescent="0.3">
      <c r="A1003" s="359">
        <v>34</v>
      </c>
      <c r="B1003" s="372" t="s">
        <v>873</v>
      </c>
      <c r="C1003" s="314" t="s">
        <v>375</v>
      </c>
      <c r="D1003" s="359">
        <v>32</v>
      </c>
      <c r="E1003" s="371">
        <v>18000</v>
      </c>
      <c r="F1003" s="360">
        <f t="shared" si="11"/>
        <v>576000</v>
      </c>
      <c r="G1003" s="346">
        <v>8</v>
      </c>
      <c r="H1003" s="346">
        <f t="shared" si="9"/>
        <v>32</v>
      </c>
    </row>
    <row r="1004" spans="1:8" s="346" customFormat="1" ht="45" x14ac:dyDescent="0.3">
      <c r="A1004" s="359">
        <v>35</v>
      </c>
      <c r="B1004" s="372" t="s">
        <v>874</v>
      </c>
      <c r="C1004" s="314" t="s">
        <v>375</v>
      </c>
      <c r="D1004" s="359">
        <v>24</v>
      </c>
      <c r="E1004" s="371">
        <v>29500</v>
      </c>
      <c r="F1004" s="360">
        <f t="shared" si="11"/>
        <v>708000</v>
      </c>
      <c r="G1004" s="346">
        <v>6</v>
      </c>
      <c r="H1004" s="346">
        <f t="shared" si="9"/>
        <v>24</v>
      </c>
    </row>
    <row r="1005" spans="1:8" s="346" customFormat="1" ht="15.75" x14ac:dyDescent="0.3">
      <c r="A1005" s="349"/>
      <c r="B1005" s="361" t="s">
        <v>814</v>
      </c>
      <c r="C1005" s="347"/>
      <c r="D1005" s="347"/>
      <c r="E1005" s="348"/>
      <c r="F1005" s="352">
        <v>540000</v>
      </c>
    </row>
    <row r="1006" spans="1:8" s="346" customFormat="1" x14ac:dyDescent="0.35">
      <c r="A1006" s="349"/>
      <c r="B1006" s="363" t="s">
        <v>520</v>
      </c>
      <c r="C1006" s="347"/>
      <c r="D1006" s="347"/>
      <c r="E1006" s="348"/>
      <c r="F1006" s="352">
        <f>SUM(F972:F1005)</f>
        <v>34630512</v>
      </c>
    </row>
    <row r="1007" spans="1:8" s="346" customFormat="1" ht="15" x14ac:dyDescent="0.25">
      <c r="A1007" s="349"/>
      <c r="B1007" s="350"/>
      <c r="C1007" s="347"/>
      <c r="D1007" s="347"/>
      <c r="E1007" s="348"/>
      <c r="F1007" s="353"/>
    </row>
    <row r="1008" spans="1:8" s="346" customFormat="1" x14ac:dyDescent="0.35">
      <c r="A1008" s="349" t="s">
        <v>2</v>
      </c>
      <c r="B1008" s="367" t="s">
        <v>779</v>
      </c>
      <c r="C1008" s="347"/>
      <c r="D1008" s="347"/>
      <c r="E1008" s="348"/>
      <c r="F1008" s="351"/>
    </row>
    <row r="1009" spans="1:7" s="346" customFormat="1" ht="30" x14ac:dyDescent="0.3">
      <c r="A1009" s="349"/>
      <c r="B1009" s="361" t="s">
        <v>763</v>
      </c>
      <c r="C1009" s="347"/>
      <c r="D1009" s="347"/>
      <c r="E1009" s="348"/>
      <c r="F1009" s="352">
        <f>F900</f>
        <v>3170160</v>
      </c>
    </row>
    <row r="1010" spans="1:7" s="346" customFormat="1" ht="15.75" x14ac:dyDescent="0.3">
      <c r="A1010" s="349"/>
      <c r="B1010" s="361" t="s">
        <v>769</v>
      </c>
      <c r="C1010" s="347"/>
      <c r="D1010" s="347"/>
      <c r="E1010" s="348"/>
      <c r="F1010" s="352">
        <f>F910</f>
        <v>1140000</v>
      </c>
    </row>
    <row r="1011" spans="1:7" s="346" customFormat="1" ht="90" x14ac:dyDescent="0.3">
      <c r="A1011" s="349"/>
      <c r="B1011" s="361" t="s">
        <v>777</v>
      </c>
      <c r="C1011" s="347"/>
      <c r="D1011" s="347"/>
      <c r="E1011" s="348"/>
      <c r="F1011" s="352">
        <f>F929</f>
        <v>1226700</v>
      </c>
    </row>
    <row r="1012" spans="1:7" s="346" customFormat="1" ht="15.75" x14ac:dyDescent="0.3">
      <c r="A1012" s="349"/>
      <c r="B1012" s="361" t="s">
        <v>778</v>
      </c>
      <c r="C1012" s="347"/>
      <c r="D1012" s="347"/>
      <c r="E1012" s="348"/>
      <c r="F1012" s="352">
        <f>F951</f>
        <v>11372600</v>
      </c>
    </row>
    <row r="1013" spans="1:7" s="346" customFormat="1" ht="75" x14ac:dyDescent="0.3">
      <c r="A1013" s="349"/>
      <c r="B1013" s="361" t="s">
        <v>780</v>
      </c>
      <c r="C1013" s="347"/>
      <c r="D1013" s="347"/>
      <c r="E1013" s="348"/>
      <c r="F1013" s="352">
        <f>F969</f>
        <v>4286000</v>
      </c>
    </row>
    <row r="1014" spans="1:7" s="346" customFormat="1" ht="23.45" customHeight="1" x14ac:dyDescent="0.3">
      <c r="A1014" s="349"/>
      <c r="B1014" s="361" t="s">
        <v>775</v>
      </c>
      <c r="C1014" s="347"/>
      <c r="D1014" s="347"/>
      <c r="E1014" s="348"/>
      <c r="F1014" s="352">
        <f>F1006</f>
        <v>34630512</v>
      </c>
    </row>
    <row r="1015" spans="1:7" customFormat="1" ht="18.75" x14ac:dyDescent="0.25">
      <c r="A1015" s="197"/>
      <c r="B1015" s="300" t="s">
        <v>659</v>
      </c>
      <c r="C1015" s="202"/>
      <c r="D1015" s="197"/>
      <c r="E1015" s="299"/>
      <c r="F1015" s="201"/>
    </row>
    <row r="1016" spans="1:7" customFormat="1" ht="18" x14ac:dyDescent="0.35">
      <c r="A1016" s="297"/>
      <c r="B1016" s="293" t="s">
        <v>520</v>
      </c>
      <c r="C1016" s="298"/>
      <c r="D1016" s="297"/>
      <c r="E1016" s="308" t="s">
        <v>15</v>
      </c>
      <c r="F1016" s="301">
        <f>SUM(F1009:F1015)</f>
        <v>55825972</v>
      </c>
    </row>
    <row r="1017" spans="1:7" x14ac:dyDescent="0.25">
      <c r="B1017" s="211"/>
    </row>
    <row r="1018" spans="1:7" x14ac:dyDescent="0.25">
      <c r="B1018" s="211"/>
    </row>
    <row r="1019" spans="1:7" ht="19.5" customHeight="1" x14ac:dyDescent="0.25">
      <c r="B1019" s="211" t="s">
        <v>450</v>
      </c>
    </row>
    <row r="1020" spans="1:7" x14ac:dyDescent="0.25">
      <c r="F1020" s="273"/>
      <c r="G1020" s="273"/>
    </row>
    <row r="1021" spans="1:7" ht="15.75" customHeight="1" x14ac:dyDescent="0.25">
      <c r="B1021" s="218" t="s">
        <v>533</v>
      </c>
      <c r="E1021" s="304">
        <f>F100</f>
        <v>18109553.13076923</v>
      </c>
      <c r="F1021" s="274"/>
      <c r="G1021" s="274"/>
    </row>
    <row r="1022" spans="1:7" x14ac:dyDescent="0.25">
      <c r="F1022" s="274"/>
      <c r="G1022" s="274"/>
    </row>
    <row r="1023" spans="1:7" x14ac:dyDescent="0.25">
      <c r="B1023" s="214" t="s">
        <v>108</v>
      </c>
      <c r="E1023" s="304">
        <f>F148</f>
        <v>7943336.4733333336</v>
      </c>
      <c r="F1023" s="274"/>
      <c r="G1023" s="274"/>
    </row>
    <row r="1024" spans="1:7" x14ac:dyDescent="0.25">
      <c r="F1024" s="274"/>
      <c r="G1024" s="274"/>
    </row>
    <row r="1025" spans="2:7" x14ac:dyDescent="0.25">
      <c r="B1025" s="214" t="s">
        <v>453</v>
      </c>
      <c r="E1025" s="304">
        <f>F192</f>
        <v>10989300</v>
      </c>
      <c r="F1025" s="274"/>
      <c r="G1025" s="274"/>
    </row>
    <row r="1026" spans="2:7" x14ac:dyDescent="0.25">
      <c r="C1026" s="275"/>
      <c r="D1026" s="276"/>
      <c r="F1026" s="274"/>
      <c r="G1026" s="274"/>
    </row>
    <row r="1027" spans="2:7" x14ac:dyDescent="0.25">
      <c r="B1027" s="214" t="s">
        <v>125</v>
      </c>
      <c r="E1027" s="304">
        <f>F237</f>
        <v>1767560</v>
      </c>
      <c r="F1027" s="274"/>
      <c r="G1027" s="274"/>
    </row>
    <row r="1028" spans="2:7" ht="18" customHeight="1" x14ac:dyDescent="0.25">
      <c r="C1028" s="275"/>
      <c r="D1028" s="276"/>
      <c r="F1028" s="274"/>
      <c r="G1028" s="274"/>
    </row>
    <row r="1029" spans="2:7" x14ac:dyDescent="0.25">
      <c r="B1029" s="214" t="s">
        <v>163</v>
      </c>
      <c r="E1029" s="304">
        <f>F375</f>
        <v>5071720</v>
      </c>
      <c r="F1029" s="274"/>
      <c r="G1029" s="274"/>
    </row>
    <row r="1030" spans="2:7" x14ac:dyDescent="0.25">
      <c r="C1030" s="275"/>
      <c r="D1030" s="276"/>
      <c r="F1030" s="274"/>
      <c r="G1030" s="274"/>
    </row>
    <row r="1031" spans="2:7" x14ac:dyDescent="0.25">
      <c r="B1031" s="214" t="s">
        <v>195</v>
      </c>
      <c r="E1031" s="304">
        <f>F516</f>
        <v>4545514.3</v>
      </c>
      <c r="F1031" s="274"/>
      <c r="G1031" s="274"/>
    </row>
    <row r="1032" spans="2:7" x14ac:dyDescent="0.25">
      <c r="F1032" s="274"/>
      <c r="G1032" s="274"/>
    </row>
    <row r="1033" spans="2:7" x14ac:dyDescent="0.25">
      <c r="B1033" s="214" t="s">
        <v>602</v>
      </c>
      <c r="E1033" s="304">
        <f>F561</f>
        <v>87188760</v>
      </c>
      <c r="F1033" s="274"/>
      <c r="G1033" s="274"/>
    </row>
    <row r="1034" spans="2:7" x14ac:dyDescent="0.25">
      <c r="F1034" s="274"/>
      <c r="G1034" s="274"/>
    </row>
    <row r="1035" spans="2:7" x14ac:dyDescent="0.25">
      <c r="B1035" s="214" t="s">
        <v>210</v>
      </c>
      <c r="E1035" s="304">
        <f>F608</f>
        <v>3807971.4</v>
      </c>
      <c r="F1035" s="274"/>
      <c r="G1035" s="274"/>
    </row>
    <row r="1036" spans="2:7" x14ac:dyDescent="0.25">
      <c r="F1036" s="274"/>
      <c r="G1036" s="274"/>
    </row>
    <row r="1037" spans="2:7" x14ac:dyDescent="0.25">
      <c r="B1037" s="214" t="s">
        <v>607</v>
      </c>
      <c r="E1037" s="304">
        <f>F629</f>
        <v>5620000</v>
      </c>
      <c r="F1037" s="274"/>
      <c r="G1037" s="274"/>
    </row>
    <row r="1038" spans="2:7" x14ac:dyDescent="0.25">
      <c r="C1038" s="275"/>
      <c r="D1038" s="276"/>
      <c r="F1038" s="274"/>
      <c r="G1038" s="274"/>
    </row>
    <row r="1039" spans="2:7" x14ac:dyDescent="0.25">
      <c r="B1039" s="214" t="s">
        <v>236</v>
      </c>
      <c r="E1039" s="304">
        <f>F666</f>
        <v>7639576</v>
      </c>
      <c r="F1039" s="274"/>
      <c r="G1039" s="274"/>
    </row>
    <row r="1040" spans="2:7" x14ac:dyDescent="0.25">
      <c r="F1040" s="274"/>
      <c r="G1040" s="274"/>
    </row>
    <row r="1041" spans="2:9" x14ac:dyDescent="0.25">
      <c r="B1041" s="214" t="s">
        <v>689</v>
      </c>
      <c r="E1041" s="304">
        <f>F745</f>
        <v>6548284</v>
      </c>
      <c r="F1041" s="274"/>
      <c r="G1041" s="274"/>
    </row>
    <row r="1042" spans="2:9" x14ac:dyDescent="0.25">
      <c r="F1042" s="274"/>
      <c r="G1042" s="274"/>
    </row>
    <row r="1043" spans="2:9" x14ac:dyDescent="0.25">
      <c r="B1043" s="214" t="s">
        <v>690</v>
      </c>
      <c r="E1043" s="304">
        <f>F783</f>
        <v>7824500</v>
      </c>
      <c r="F1043" s="274"/>
      <c r="G1043" s="274"/>
    </row>
    <row r="1044" spans="2:9" x14ac:dyDescent="0.25">
      <c r="F1044" s="274"/>
      <c r="G1044" s="274"/>
    </row>
    <row r="1045" spans="2:9" x14ac:dyDescent="0.25">
      <c r="B1045" s="214" t="s">
        <v>658</v>
      </c>
      <c r="E1045" s="304">
        <f>F870</f>
        <v>50890770</v>
      </c>
      <c r="F1045" s="274"/>
      <c r="G1045" s="274"/>
    </row>
    <row r="1046" spans="2:9" x14ac:dyDescent="0.25">
      <c r="C1046" s="275"/>
      <c r="D1046" s="276"/>
      <c r="F1046" s="274"/>
      <c r="G1046" s="274"/>
    </row>
    <row r="1047" spans="2:9" x14ac:dyDescent="0.25">
      <c r="B1047" s="214" t="s">
        <v>659</v>
      </c>
      <c r="C1047" s="277"/>
      <c r="E1047" s="304">
        <f>F1016</f>
        <v>55825972</v>
      </c>
      <c r="F1047" s="274"/>
      <c r="G1047" s="274"/>
    </row>
    <row r="1048" spans="2:9" x14ac:dyDescent="0.25">
      <c r="C1048" s="277"/>
      <c r="F1048" s="274"/>
      <c r="G1048" s="274"/>
    </row>
    <row r="1049" spans="2:9" x14ac:dyDescent="0.25">
      <c r="B1049" s="278" t="s">
        <v>691</v>
      </c>
      <c r="C1049" s="279"/>
      <c r="D1049" s="280"/>
      <c r="E1049" s="309"/>
      <c r="F1049" s="274"/>
      <c r="G1049" s="274"/>
    </row>
    <row r="1050" spans="2:9" ht="17.25" customHeight="1" x14ac:dyDescent="0.25">
      <c r="B1050" s="220" t="s">
        <v>660</v>
      </c>
      <c r="D1050" s="276" t="s">
        <v>20</v>
      </c>
      <c r="E1050" s="310"/>
      <c r="F1050" s="222">
        <f>SUM(E1021:E1049)</f>
        <v>273772817.30410254</v>
      </c>
      <c r="G1050" s="222"/>
    </row>
    <row r="1051" spans="2:9" ht="19.5" customHeight="1" x14ac:dyDescent="0.25">
      <c r="B1051" s="220" t="s">
        <v>692</v>
      </c>
      <c r="F1051" s="281">
        <f>F1050*5%</f>
        <v>13688640.865205128</v>
      </c>
      <c r="G1051" s="222"/>
    </row>
    <row r="1052" spans="2:9" ht="19.5" customHeight="1" x14ac:dyDescent="0.25">
      <c r="B1052" s="220" t="s">
        <v>474</v>
      </c>
      <c r="F1052" s="222">
        <f>SUM(F1050:F1051)</f>
        <v>287461458.16930765</v>
      </c>
      <c r="G1052" s="222"/>
    </row>
    <row r="1053" spans="2:9" ht="19.5" customHeight="1" x14ac:dyDescent="0.25">
      <c r="B1053" s="220" t="s">
        <v>693</v>
      </c>
      <c r="F1053" s="222">
        <f>F1052*5%</f>
        <v>14373072.908465384</v>
      </c>
      <c r="G1053" s="222"/>
    </row>
    <row r="1054" spans="2:9" ht="19.5" customHeight="1" x14ac:dyDescent="0.25">
      <c r="B1054" s="220"/>
      <c r="F1054" s="282">
        <f>SUM(F1052:F1053)</f>
        <v>301834531.07777303</v>
      </c>
      <c r="G1054" s="222"/>
    </row>
    <row r="1055" spans="2:9" x14ac:dyDescent="0.25">
      <c r="B1055" s="220" t="s">
        <v>477</v>
      </c>
      <c r="F1055" s="281">
        <f>F1054*7.5%</f>
        <v>22637589.830832977</v>
      </c>
      <c r="G1055" s="222"/>
      <c r="I1055" s="302"/>
    </row>
    <row r="1056" spans="2:9" ht="17.25" customHeight="1" thickBot="1" x14ac:dyDescent="0.3">
      <c r="B1056" s="210" t="s">
        <v>694</v>
      </c>
      <c r="E1056" s="303" t="s">
        <v>15</v>
      </c>
      <c r="F1056" s="283">
        <f>SUM(F1054:F1055)</f>
        <v>324472120.90860599</v>
      </c>
      <c r="G1056" s="222"/>
    </row>
    <row r="1057" spans="2:5" ht="17.25" customHeight="1" thickTop="1" x14ac:dyDescent="0.25">
      <c r="B1057" s="220" t="s">
        <v>695</v>
      </c>
    </row>
    <row r="1058" spans="2:5" ht="17.25" customHeight="1" x14ac:dyDescent="0.25">
      <c r="B1058" s="220"/>
    </row>
    <row r="1059" spans="2:5" ht="17.25" customHeight="1" x14ac:dyDescent="0.25">
      <c r="B1059" s="220" t="s">
        <v>471</v>
      </c>
      <c r="C1059" s="221">
        <v>2270</v>
      </c>
      <c r="D1059" s="209" t="s">
        <v>472</v>
      </c>
    </row>
    <row r="1060" spans="2:5" ht="20.45" customHeight="1" x14ac:dyDescent="0.25">
      <c r="B1060" s="220" t="s">
        <v>661</v>
      </c>
      <c r="E1060" s="303">
        <f>F1056/C1059</f>
        <v>142939.26031216123</v>
      </c>
    </row>
    <row r="1061" spans="2:5" ht="17.25" customHeight="1" x14ac:dyDescent="0.25">
      <c r="B1061" s="220" t="s">
        <v>875</v>
      </c>
      <c r="E1061" s="303">
        <f>F1056/4</f>
        <v>81118030.227151498</v>
      </c>
    </row>
    <row r="1062" spans="2:5" ht="17.25" customHeight="1" x14ac:dyDescent="0.25">
      <c r="B1062" s="218"/>
    </row>
    <row r="1063" spans="2:5" ht="17.25" customHeight="1" x14ac:dyDescent="0.25"/>
    <row r="1064" spans="2:5" ht="17.25" customHeight="1" x14ac:dyDescent="0.25"/>
    <row r="1065" spans="2:5" ht="17.25" customHeight="1" x14ac:dyDescent="0.25"/>
    <row r="1066" spans="2:5" ht="17.25" customHeight="1" x14ac:dyDescent="0.25"/>
    <row r="1077" spans="1:7" x14ac:dyDescent="0.25">
      <c r="B1077" s="214" t="s">
        <v>696</v>
      </c>
    </row>
    <row r="1080" spans="1:7" s="223" customFormat="1" x14ac:dyDescent="0.25">
      <c r="A1080" s="206"/>
      <c r="B1080" s="214"/>
      <c r="C1080" s="205"/>
      <c r="D1080" s="206"/>
      <c r="E1080" s="304"/>
      <c r="F1080" s="207"/>
      <c r="G1080" s="207"/>
    </row>
    <row r="1081" spans="1:7" s="223" customFormat="1" x14ac:dyDescent="0.25">
      <c r="A1081" s="206"/>
      <c r="B1081" s="214"/>
      <c r="C1081" s="205"/>
      <c r="D1081" s="206"/>
      <c r="E1081" s="304"/>
      <c r="F1081" s="207"/>
      <c r="G1081" s="207"/>
    </row>
    <row r="1082" spans="1:7" s="223" customFormat="1" x14ac:dyDescent="0.25">
      <c r="A1082" s="206"/>
      <c r="B1082" s="214"/>
      <c r="C1082" s="205"/>
      <c r="D1082" s="206"/>
      <c r="E1082" s="304"/>
      <c r="F1082" s="207"/>
      <c r="G1082" s="207"/>
    </row>
    <row r="1083" spans="1:7" s="223" customFormat="1" x14ac:dyDescent="0.25">
      <c r="A1083" s="206"/>
      <c r="B1083" s="214"/>
      <c r="C1083" s="205"/>
      <c r="D1083" s="206"/>
      <c r="E1083" s="304"/>
      <c r="F1083" s="207"/>
      <c r="G1083" s="207"/>
    </row>
    <row r="1084" spans="1:7" s="223" customFormat="1" x14ac:dyDescent="0.25">
      <c r="A1084" s="206"/>
      <c r="B1084" s="214"/>
      <c r="C1084" s="205"/>
      <c r="D1084" s="206"/>
      <c r="E1084" s="304"/>
      <c r="F1084" s="207"/>
      <c r="G1084" s="207"/>
    </row>
    <row r="1085" spans="1:7" s="223" customFormat="1" x14ac:dyDescent="0.25">
      <c r="A1085" s="206"/>
      <c r="B1085" s="214"/>
      <c r="C1085" s="205"/>
      <c r="D1085" s="206"/>
      <c r="E1085" s="304"/>
      <c r="F1085" s="207"/>
      <c r="G1085" s="207"/>
    </row>
    <row r="1109" spans="1:7" s="223" customFormat="1" x14ac:dyDescent="0.25">
      <c r="A1109" s="206"/>
      <c r="B1109" s="214"/>
      <c r="C1109" s="205"/>
      <c r="D1109" s="206"/>
      <c r="E1109" s="304"/>
      <c r="F1109" s="207"/>
      <c r="G1109" s="207"/>
    </row>
    <row r="1110" spans="1:7" ht="21" customHeight="1" x14ac:dyDescent="0.25"/>
    <row r="1147" spans="1:7" s="223" customFormat="1" x14ac:dyDescent="0.25">
      <c r="A1147" s="206"/>
      <c r="B1147" s="214"/>
      <c r="C1147" s="205"/>
      <c r="D1147" s="206"/>
      <c r="E1147" s="304"/>
      <c r="F1147" s="207"/>
      <c r="G1147" s="207"/>
    </row>
    <row r="1148" spans="1:7" s="223" customFormat="1" x14ac:dyDescent="0.25">
      <c r="A1148" s="206"/>
      <c r="B1148" s="214"/>
      <c r="C1148" s="205"/>
      <c r="D1148" s="206"/>
      <c r="E1148" s="304"/>
      <c r="F1148" s="207"/>
      <c r="G1148" s="207"/>
    </row>
    <row r="1179" spans="1:7" s="223" customFormat="1" x14ac:dyDescent="0.25">
      <c r="A1179" s="206"/>
      <c r="B1179" s="214"/>
      <c r="C1179" s="205"/>
      <c r="D1179" s="206"/>
      <c r="E1179" s="304"/>
      <c r="F1179" s="207"/>
      <c r="G1179" s="207"/>
    </row>
    <row r="1180" spans="1:7" s="223" customFormat="1" x14ac:dyDescent="0.25">
      <c r="A1180" s="206"/>
      <c r="B1180" s="214"/>
      <c r="C1180" s="205"/>
      <c r="D1180" s="206"/>
      <c r="E1180" s="304"/>
      <c r="F1180" s="207"/>
      <c r="G1180" s="207"/>
    </row>
  </sheetData>
  <printOptions gridLines="1"/>
  <pageMargins left="0.75" right="0.75" top="1" bottom="1" header="0.5" footer="0.5"/>
  <pageSetup paperSize="9" scale="58" orientation="portrait" horizontalDpi="300" verticalDpi="300" r:id="rId1"/>
  <headerFooter alignWithMargins="0">
    <oddHeader>&amp;LGUEST HOUSE, GWARINPA</oddHeader>
    <oddFooter>&amp;R&amp;"Comic Sans MS,Bold Italic"Page /&amp;P</oddFooter>
  </headerFooter>
  <rowBreaks count="29" manualBreakCount="29">
    <brk id="30" max="16383" man="1"/>
    <brk id="57" max="16383" man="1"/>
    <brk id="100" max="16383" man="1"/>
    <brk id="148" max="16383" man="1"/>
    <brk id="192" max="16383" man="1"/>
    <brk id="237" max="16383" man="1"/>
    <brk id="283" max="16383" man="1"/>
    <brk id="329" max="16383" man="1"/>
    <brk id="375" max="16383" man="1"/>
    <brk id="426" max="5" man="1"/>
    <brk id="471" max="16383" man="1"/>
    <brk id="516" max="16383" man="1"/>
    <brk id="561" max="16383" man="1"/>
    <brk id="608" max="16383" man="1"/>
    <brk id="629" max="16383" man="1"/>
    <brk id="666" max="16383" man="1"/>
    <brk id="709" max="16383" man="1"/>
    <brk id="745" max="16383" man="1"/>
    <brk id="783" max="16383" man="1"/>
    <brk id="822" max="5" man="1"/>
    <brk id="850" max="5" man="1"/>
    <brk id="870" max="16383" man="1"/>
    <brk id="900" max="5" man="1"/>
    <brk id="910" max="5" man="1"/>
    <brk id="929" max="16383" man="1"/>
    <brk id="951" max="16383" man="1"/>
    <brk id="969" max="16383" man="1"/>
    <brk id="1006" max="16383" man="1"/>
    <brk id="1016"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C21AA-AB4D-41D7-8E3A-296100521803}">
  <dimension ref="A2:E47"/>
  <sheetViews>
    <sheetView topLeftCell="A34" workbookViewId="0">
      <selection activeCell="D41" sqref="D41"/>
    </sheetView>
  </sheetViews>
  <sheetFormatPr defaultRowHeight="15" x14ac:dyDescent="0.25"/>
  <cols>
    <col min="2" max="2" width="28.5703125" customWidth="1"/>
    <col min="3" max="3" width="9.5703125" bestFit="1" customWidth="1"/>
    <col min="4" max="4" width="10.5703125" bestFit="1" customWidth="1"/>
    <col min="5" max="5" width="16.85546875" bestFit="1" customWidth="1"/>
  </cols>
  <sheetData>
    <row r="2" spans="1:4" ht="21" x14ac:dyDescent="0.35">
      <c r="C2" s="667" t="s">
        <v>1132</v>
      </c>
    </row>
    <row r="3" spans="1:4" x14ac:dyDescent="0.25">
      <c r="D3" s="666" t="s">
        <v>1131</v>
      </c>
    </row>
    <row r="4" spans="1:4" x14ac:dyDescent="0.25">
      <c r="B4" t="s">
        <v>1130</v>
      </c>
      <c r="D4" s="656">
        <v>45000</v>
      </c>
    </row>
    <row r="6" spans="1:4" x14ac:dyDescent="0.25">
      <c r="A6" s="658">
        <v>1</v>
      </c>
      <c r="B6" s="657" t="s">
        <v>1129</v>
      </c>
      <c r="D6" s="666" t="s">
        <v>1128</v>
      </c>
    </row>
    <row r="7" spans="1:4" x14ac:dyDescent="0.25">
      <c r="B7" t="s">
        <v>1127</v>
      </c>
    </row>
    <row r="8" spans="1:4" x14ac:dyDescent="0.25">
      <c r="A8" t="s">
        <v>2</v>
      </c>
      <c r="B8" t="s">
        <v>1120</v>
      </c>
      <c r="D8" s="656">
        <v>7629.29</v>
      </c>
    </row>
    <row r="10" spans="1:4" x14ac:dyDescent="0.25">
      <c r="A10" t="s">
        <v>4</v>
      </c>
      <c r="B10" t="s">
        <v>1126</v>
      </c>
      <c r="D10" s="656">
        <v>14364.19</v>
      </c>
    </row>
    <row r="12" spans="1:4" x14ac:dyDescent="0.25">
      <c r="A12" t="s">
        <v>5</v>
      </c>
      <c r="B12" t="s">
        <v>1125</v>
      </c>
      <c r="D12" s="656">
        <v>14664.72</v>
      </c>
    </row>
    <row r="14" spans="1:4" x14ac:dyDescent="0.25">
      <c r="A14" t="s">
        <v>6</v>
      </c>
      <c r="B14" t="s">
        <v>1124</v>
      </c>
      <c r="D14" s="656">
        <v>19239.64</v>
      </c>
    </row>
    <row r="16" spans="1:4" x14ac:dyDescent="0.25">
      <c r="A16" t="s">
        <v>7</v>
      </c>
      <c r="B16" t="s">
        <v>1123</v>
      </c>
      <c r="D16" s="656">
        <v>10029.68</v>
      </c>
    </row>
    <row r="17" spans="2:5" x14ac:dyDescent="0.25">
      <c r="B17" s="661" t="s">
        <v>1122</v>
      </c>
      <c r="D17" s="665">
        <f>SUM(D8:D16)</f>
        <v>65927.51999999999</v>
      </c>
    </row>
    <row r="19" spans="2:5" x14ac:dyDescent="0.25">
      <c r="B19" s="664" t="s">
        <v>1121</v>
      </c>
    </row>
    <row r="20" spans="2:5" x14ac:dyDescent="0.25">
      <c r="B20" s="663" t="s">
        <v>1120</v>
      </c>
    </row>
    <row r="22" spans="2:5" x14ac:dyDescent="0.25">
      <c r="B22" t="s">
        <v>1119</v>
      </c>
      <c r="E22" s="662">
        <v>480</v>
      </c>
    </row>
    <row r="24" spans="2:5" x14ac:dyDescent="0.25">
      <c r="B24" t="s">
        <v>1118</v>
      </c>
      <c r="D24" s="658">
        <v>138.72</v>
      </c>
    </row>
    <row r="25" spans="2:5" x14ac:dyDescent="0.25">
      <c r="B25" t="s">
        <v>1117</v>
      </c>
      <c r="D25" s="658">
        <v>53.74</v>
      </c>
    </row>
    <row r="26" spans="2:5" x14ac:dyDescent="0.25">
      <c r="B26" s="661" t="s">
        <v>1116</v>
      </c>
      <c r="D26" s="660">
        <f>SUM(D24:D25)</f>
        <v>192.46</v>
      </c>
    </row>
    <row r="27" spans="2:5" x14ac:dyDescent="0.25">
      <c r="B27" t="s">
        <v>1115</v>
      </c>
      <c r="E27" s="659">
        <f>D26/E22*100</f>
        <v>40.095833333333339</v>
      </c>
    </row>
    <row r="30" spans="2:5" x14ac:dyDescent="0.25">
      <c r="B30" t="s">
        <v>1114</v>
      </c>
      <c r="E30" s="659">
        <f>D17*0.401</f>
        <v>26436.935519999999</v>
      </c>
    </row>
    <row r="32" spans="2:5" ht="15.75" thickBot="1" x14ac:dyDescent="0.3">
      <c r="B32" t="s">
        <v>1112</v>
      </c>
      <c r="E32" s="655">
        <f>E30*D4</f>
        <v>1189662098.3999999</v>
      </c>
    </row>
    <row r="33" spans="1:5" ht="15.75" thickTop="1" x14ac:dyDescent="0.25"/>
    <row r="35" spans="1:5" x14ac:dyDescent="0.25">
      <c r="A35" s="658">
        <v>2</v>
      </c>
      <c r="B35" s="657" t="s">
        <v>1012</v>
      </c>
    </row>
    <row r="37" spans="1:5" x14ac:dyDescent="0.25">
      <c r="B37" t="s">
        <v>1113</v>
      </c>
      <c r="D37" s="656">
        <v>56313.13</v>
      </c>
    </row>
    <row r="38" spans="1:5" x14ac:dyDescent="0.25">
      <c r="B38" s="661" t="s">
        <v>3</v>
      </c>
      <c r="C38" s="668">
        <v>1924</v>
      </c>
    </row>
    <row r="39" spans="1:5" x14ac:dyDescent="0.25">
      <c r="B39" t="s">
        <v>1134</v>
      </c>
      <c r="C39" s="662">
        <v>15</v>
      </c>
    </row>
    <row r="41" spans="1:5" x14ac:dyDescent="0.25">
      <c r="B41" t="s">
        <v>1133</v>
      </c>
      <c r="D41" s="659">
        <f>C38*C39</f>
        <v>28860</v>
      </c>
    </row>
    <row r="44" spans="1:5" x14ac:dyDescent="0.25">
      <c r="B44" t="s">
        <v>1135</v>
      </c>
      <c r="D44" s="669">
        <f>D37+D41</f>
        <v>85173.13</v>
      </c>
    </row>
    <row r="46" spans="1:5" ht="15.75" thickBot="1" x14ac:dyDescent="0.3">
      <c r="B46" t="s">
        <v>1112</v>
      </c>
      <c r="E46" s="655">
        <f>D44*D4</f>
        <v>3832790850</v>
      </c>
    </row>
    <row r="47" spans="1:5" ht="15.75" thickTop="1" x14ac:dyDescent="0.25"/>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765D-4ADF-4743-968B-E2E4F04643B1}">
  <dimension ref="A1:F971"/>
  <sheetViews>
    <sheetView view="pageBreakPreview" zoomScale="98" zoomScaleNormal="136" zoomScaleSheetLayoutView="98" workbookViewId="0">
      <selection activeCell="F5" sqref="F5"/>
    </sheetView>
  </sheetViews>
  <sheetFormatPr defaultColWidth="8.85546875" defaultRowHeight="12.75" x14ac:dyDescent="0.2"/>
  <cols>
    <col min="1" max="1" width="7.140625" style="458" customWidth="1"/>
    <col min="2" max="2" width="34.7109375" style="461" customWidth="1"/>
    <col min="3" max="3" width="5.42578125" style="460" bestFit="1" customWidth="1"/>
    <col min="4" max="5" width="14.5703125" style="461" customWidth="1"/>
    <col min="6" max="6" width="26.5703125" style="458" customWidth="1"/>
    <col min="7" max="16384" width="8.85546875" style="463"/>
  </cols>
  <sheetData>
    <row r="1" spans="1:6" s="452" customFormat="1" ht="34.5" customHeight="1" thickBot="1" x14ac:dyDescent="0.25">
      <c r="A1" s="448" t="s">
        <v>947</v>
      </c>
      <c r="B1" s="449" t="s">
        <v>913</v>
      </c>
      <c r="C1" s="450" t="s">
        <v>765</v>
      </c>
      <c r="D1" s="449" t="s">
        <v>1056</v>
      </c>
      <c r="E1" s="449" t="s">
        <v>1057</v>
      </c>
      <c r="F1" s="451" t="s">
        <v>948</v>
      </c>
    </row>
    <row r="2" spans="1:6" s="457" customFormat="1" ht="9.75" customHeight="1" x14ac:dyDescent="0.2">
      <c r="A2" s="453"/>
      <c r="B2" s="454"/>
      <c r="C2" s="455"/>
      <c r="D2" s="454"/>
      <c r="E2" s="454"/>
      <c r="F2" s="456"/>
    </row>
    <row r="3" spans="1:6" s="457" customFormat="1" ht="12" customHeight="1" x14ac:dyDescent="0.2">
      <c r="A3" s="453"/>
      <c r="B3" s="454"/>
      <c r="C3" s="455"/>
      <c r="D3" s="454"/>
      <c r="E3" s="454"/>
      <c r="F3" s="456"/>
    </row>
    <row r="4" spans="1:6" x14ac:dyDescent="0.2">
      <c r="B4" s="459" t="s">
        <v>949</v>
      </c>
      <c r="F4" s="462"/>
    </row>
    <row r="5" spans="1:6" x14ac:dyDescent="0.2">
      <c r="B5" s="459"/>
      <c r="F5" s="462"/>
    </row>
    <row r="6" spans="1:6" x14ac:dyDescent="0.2">
      <c r="B6" s="459"/>
      <c r="F6" s="462"/>
    </row>
    <row r="7" spans="1:6" ht="9.75" customHeight="1" x14ac:dyDescent="0.2">
      <c r="B7" s="459"/>
      <c r="F7" s="462"/>
    </row>
    <row r="8" spans="1:6" ht="12" customHeight="1" x14ac:dyDescent="0.2">
      <c r="B8" s="459"/>
      <c r="F8" s="464"/>
    </row>
    <row r="9" spans="1:6" x14ac:dyDescent="0.2">
      <c r="A9" s="465"/>
      <c r="B9" s="466" t="s">
        <v>950</v>
      </c>
      <c r="F9" s="464"/>
    </row>
    <row r="10" spans="1:6" x14ac:dyDescent="0.2">
      <c r="A10" s="465"/>
      <c r="B10" s="466"/>
      <c r="F10" s="464"/>
    </row>
    <row r="11" spans="1:6" s="472" customFormat="1" x14ac:dyDescent="0.2">
      <c r="A11" s="467"/>
      <c r="B11" s="468"/>
      <c r="C11" s="469"/>
      <c r="D11" s="470"/>
      <c r="E11" s="470"/>
      <c r="F11" s="471"/>
    </row>
    <row r="12" spans="1:6" s="472" customFormat="1" x14ac:dyDescent="0.2">
      <c r="A12" s="467"/>
      <c r="B12" s="468" t="s">
        <v>1005</v>
      </c>
      <c r="C12" s="473">
        <v>112</v>
      </c>
      <c r="D12" s="470">
        <f>'6BD detatched'!F926</f>
        <v>132394513.39734374</v>
      </c>
      <c r="E12" s="470">
        <f>D12</f>
        <v>132394513.39734374</v>
      </c>
      <c r="F12" s="475">
        <f>C12*E12</f>
        <v>14828185500.502499</v>
      </c>
    </row>
    <row r="13" spans="1:6" s="472" customFormat="1" x14ac:dyDescent="0.2">
      <c r="A13" s="467"/>
      <c r="B13" s="468"/>
      <c r="C13" s="469"/>
      <c r="D13" s="470"/>
      <c r="E13" s="470"/>
      <c r="F13" s="471"/>
    </row>
    <row r="14" spans="1:6" s="472" customFormat="1" x14ac:dyDescent="0.2">
      <c r="A14" s="467"/>
      <c r="B14" s="468"/>
      <c r="C14" s="469"/>
      <c r="D14" s="470"/>
      <c r="E14" s="470"/>
      <c r="F14" s="471"/>
    </row>
    <row r="15" spans="1:6" s="472" customFormat="1" x14ac:dyDescent="0.2">
      <c r="A15" s="467"/>
      <c r="B15" s="468" t="s">
        <v>1006</v>
      </c>
      <c r="C15" s="477">
        <v>52</v>
      </c>
      <c r="D15" s="556">
        <f>'4BD SEMI-DETACHED'!F947</f>
        <v>196984041.62259376</v>
      </c>
      <c r="E15" s="556">
        <f>D15/2</f>
        <v>98492020.81129688</v>
      </c>
      <c r="F15" s="475">
        <f>C15*E15</f>
        <v>5121585082.187438</v>
      </c>
    </row>
    <row r="16" spans="1:6" s="472" customFormat="1" x14ac:dyDescent="0.2">
      <c r="A16" s="467"/>
      <c r="B16" s="474"/>
      <c r="C16" s="455"/>
      <c r="D16" s="454"/>
      <c r="E16" s="454"/>
      <c r="F16" s="475"/>
    </row>
    <row r="17" spans="1:6" s="472" customFormat="1" x14ac:dyDescent="0.2">
      <c r="A17" s="467"/>
      <c r="B17" s="474"/>
      <c r="C17" s="455"/>
      <c r="D17" s="454"/>
      <c r="E17" s="454"/>
      <c r="F17" s="475"/>
    </row>
    <row r="18" spans="1:6" s="472" customFormat="1" x14ac:dyDescent="0.2">
      <c r="A18" s="467"/>
      <c r="B18" s="468" t="s">
        <v>1007</v>
      </c>
      <c r="C18" s="477">
        <v>176</v>
      </c>
      <c r="D18" s="556">
        <f>'3BD TERRACE'!F939</f>
        <v>567758344.39714682</v>
      </c>
      <c r="E18" s="556">
        <f>D18/8</f>
        <v>70969793.049643353</v>
      </c>
      <c r="F18" s="475">
        <f>C18*E18</f>
        <v>12490683576.73723</v>
      </c>
    </row>
    <row r="19" spans="1:6" s="472" customFormat="1" x14ac:dyDescent="0.2">
      <c r="A19" s="467"/>
      <c r="B19" s="474"/>
      <c r="C19" s="477"/>
      <c r="D19" s="454"/>
      <c r="E19" s="454"/>
      <c r="F19" s="475"/>
    </row>
    <row r="20" spans="1:6" s="472" customFormat="1" x14ac:dyDescent="0.2">
      <c r="A20" s="467"/>
      <c r="B20" s="474"/>
      <c r="C20" s="477"/>
      <c r="D20" s="454"/>
      <c r="E20" s="454"/>
      <c r="F20" s="475"/>
    </row>
    <row r="21" spans="1:6" s="472" customFormat="1" x14ac:dyDescent="0.2">
      <c r="A21" s="467"/>
      <c r="B21" s="468" t="s">
        <v>1008</v>
      </c>
      <c r="C21" s="477">
        <v>210</v>
      </c>
      <c r="D21" s="556">
        <f>'3BD BLK FLAT'!F929</f>
        <v>368555923.09364063</v>
      </c>
      <c r="E21" s="619">
        <f>D21/6</f>
        <v>61425987.18227344</v>
      </c>
      <c r="F21" s="475">
        <f>C21*E21</f>
        <v>12899457308.277422</v>
      </c>
    </row>
    <row r="22" spans="1:6" s="472" customFormat="1" x14ac:dyDescent="0.2">
      <c r="A22" s="467"/>
      <c r="B22" s="474"/>
      <c r="C22" s="477"/>
      <c r="D22" s="454"/>
      <c r="E22" s="454"/>
      <c r="F22" s="475"/>
    </row>
    <row r="23" spans="1:6" s="472" customFormat="1" x14ac:dyDescent="0.2">
      <c r="A23" s="467"/>
      <c r="B23" s="474"/>
      <c r="C23" s="477"/>
      <c r="D23" s="454"/>
      <c r="E23" s="478"/>
      <c r="F23" s="475"/>
    </row>
    <row r="24" spans="1:6" s="472" customFormat="1" x14ac:dyDescent="0.2">
      <c r="A24" s="467"/>
      <c r="B24" s="468" t="s">
        <v>1009</v>
      </c>
      <c r="C24" s="477">
        <v>114</v>
      </c>
      <c r="D24" s="556">
        <f>'2BD BLK FLAT '!F926</f>
        <v>346206022.98409569</v>
      </c>
      <c r="E24" s="619">
        <f>D24/6</f>
        <v>57701003.830682613</v>
      </c>
      <c r="F24" s="475">
        <f>C24*E24</f>
        <v>6577914436.6978178</v>
      </c>
    </row>
    <row r="25" spans="1:6" s="472" customFormat="1" x14ac:dyDescent="0.2">
      <c r="A25" s="467"/>
      <c r="B25" s="474"/>
      <c r="C25" s="477"/>
      <c r="D25" s="454"/>
      <c r="E25" s="478"/>
      <c r="F25" s="475"/>
    </row>
    <row r="26" spans="1:6" s="472" customFormat="1" x14ac:dyDescent="0.2">
      <c r="A26" s="467"/>
      <c r="B26" s="474"/>
      <c r="C26" s="455"/>
      <c r="D26" s="454"/>
      <c r="E26" s="478"/>
      <c r="F26" s="475"/>
    </row>
    <row r="27" spans="1:6" s="472" customFormat="1" x14ac:dyDescent="0.2">
      <c r="A27" s="467"/>
      <c r="B27" s="468" t="s">
        <v>1085</v>
      </c>
      <c r="C27" s="455"/>
      <c r="D27" s="454"/>
      <c r="E27" s="478"/>
      <c r="F27" s="475">
        <f>'Site office'!E519</f>
        <v>22045604.962499999</v>
      </c>
    </row>
    <row r="28" spans="1:6" s="472" customFormat="1" x14ac:dyDescent="0.2">
      <c r="A28" s="467"/>
      <c r="B28" s="474"/>
      <c r="C28" s="455"/>
      <c r="D28" s="454"/>
      <c r="E28" s="478"/>
      <c r="F28" s="475"/>
    </row>
    <row r="29" spans="1:6" s="472" customFormat="1" x14ac:dyDescent="0.2">
      <c r="A29" s="467"/>
      <c r="B29" s="474"/>
      <c r="C29" s="455"/>
      <c r="D29" s="454"/>
      <c r="E29" s="478"/>
      <c r="F29" s="475"/>
    </row>
    <row r="30" spans="1:6" s="472" customFormat="1" x14ac:dyDescent="0.2">
      <c r="A30" s="467"/>
      <c r="B30" s="468" t="s">
        <v>951</v>
      </c>
      <c r="C30" s="455">
        <v>2</v>
      </c>
      <c r="D30" s="454"/>
      <c r="E30" s="556">
        <f>'GATE HOUSE'!E530</f>
        <v>20358397.434374999</v>
      </c>
      <c r="F30" s="475">
        <f>C30*E30</f>
        <v>40716794.868749999</v>
      </c>
    </row>
    <row r="31" spans="1:6" s="472" customFormat="1" x14ac:dyDescent="0.2">
      <c r="A31" s="467"/>
      <c r="B31" s="476"/>
      <c r="C31" s="477"/>
      <c r="D31" s="478"/>
      <c r="E31" s="478"/>
      <c r="F31" s="479"/>
    </row>
    <row r="32" spans="1:6" s="472" customFormat="1" x14ac:dyDescent="0.2">
      <c r="A32" s="467"/>
      <c r="B32" s="474"/>
      <c r="C32" s="477"/>
      <c r="D32" s="478"/>
      <c r="E32" s="478"/>
      <c r="F32" s="471"/>
    </row>
    <row r="33" spans="1:6" s="472" customFormat="1" x14ac:dyDescent="0.2">
      <c r="A33" s="467"/>
      <c r="B33" s="468" t="s">
        <v>952</v>
      </c>
      <c r="C33" s="477"/>
      <c r="D33" s="478"/>
      <c r="E33" s="478"/>
      <c r="F33" s="475">
        <f>'Fence work '!E177</f>
        <v>207474408.75</v>
      </c>
    </row>
    <row r="34" spans="1:6" s="472" customFormat="1" x14ac:dyDescent="0.2">
      <c r="A34" s="467"/>
      <c r="B34" s="474"/>
      <c r="C34" s="477"/>
      <c r="D34" s="478"/>
      <c r="E34" s="478"/>
      <c r="F34" s="471"/>
    </row>
    <row r="35" spans="1:6" s="472" customFormat="1" ht="22.5" customHeight="1" thickBot="1" x14ac:dyDescent="0.25">
      <c r="A35" s="467"/>
      <c r="B35" s="554" t="s">
        <v>1010</v>
      </c>
      <c r="C35" s="477"/>
      <c r="D35" s="478"/>
      <c r="E35" s="478"/>
      <c r="F35" s="555">
        <f>SUM(F10:F33)</f>
        <v>52188062712.983658</v>
      </c>
    </row>
    <row r="36" spans="1:6" s="472" customFormat="1" ht="12" customHeight="1" thickTop="1" x14ac:dyDescent="0.2">
      <c r="A36" s="467"/>
      <c r="B36" s="476"/>
      <c r="C36" s="477"/>
      <c r="D36" s="478"/>
      <c r="E36" s="478"/>
      <c r="F36" s="479"/>
    </row>
    <row r="37" spans="1:6" s="472" customFormat="1" ht="12" customHeight="1" x14ac:dyDescent="0.2">
      <c r="A37" s="467"/>
      <c r="B37" s="476"/>
      <c r="C37" s="477"/>
      <c r="D37" s="478"/>
      <c r="E37" s="478"/>
      <c r="F37" s="479"/>
    </row>
    <row r="38" spans="1:6" s="472" customFormat="1" ht="12" customHeight="1" x14ac:dyDescent="0.2">
      <c r="A38" s="467"/>
      <c r="B38" s="468" t="s">
        <v>1011</v>
      </c>
      <c r="C38" s="477"/>
      <c r="D38" s="478"/>
      <c r="E38" s="478"/>
      <c r="F38" s="479">
        <f>INFRASTRUCTURE!E32</f>
        <v>1189662098.3999999</v>
      </c>
    </row>
    <row r="39" spans="1:6" s="472" customFormat="1" ht="12" customHeight="1" x14ac:dyDescent="0.2">
      <c r="A39" s="467"/>
      <c r="B39" s="476"/>
      <c r="C39" s="477"/>
      <c r="D39" s="478"/>
      <c r="E39" s="478"/>
      <c r="F39" s="479"/>
    </row>
    <row r="40" spans="1:6" s="472" customFormat="1" ht="12" customHeight="1" x14ac:dyDescent="0.2">
      <c r="A40" s="467"/>
      <c r="B40" s="476"/>
      <c r="C40" s="477"/>
      <c r="D40" s="478"/>
      <c r="E40" s="478"/>
      <c r="F40" s="479"/>
    </row>
    <row r="41" spans="1:6" s="472" customFormat="1" ht="12" customHeight="1" x14ac:dyDescent="0.2">
      <c r="A41" s="467"/>
      <c r="B41" s="474" t="s">
        <v>1012</v>
      </c>
      <c r="C41" s="477"/>
      <c r="D41" s="478"/>
      <c r="E41" s="478"/>
      <c r="F41" s="479">
        <f>INFRASTRUCTURE!E46</f>
        <v>3832790850</v>
      </c>
    </row>
    <row r="42" spans="1:6" s="472" customFormat="1" ht="12" customHeight="1" x14ac:dyDescent="0.2">
      <c r="A42" s="467"/>
      <c r="B42" s="476"/>
      <c r="C42" s="477"/>
      <c r="D42" s="478"/>
      <c r="E42" s="478"/>
      <c r="F42" s="479"/>
    </row>
    <row r="43" spans="1:6" s="472" customFormat="1" ht="12" customHeight="1" x14ac:dyDescent="0.2">
      <c r="A43" s="467"/>
      <c r="B43" s="476"/>
      <c r="C43" s="477"/>
      <c r="D43" s="478"/>
      <c r="E43" s="478"/>
      <c r="F43" s="479"/>
    </row>
    <row r="44" spans="1:6" s="472" customFormat="1" ht="12" customHeight="1" x14ac:dyDescent="0.2">
      <c r="A44" s="467"/>
      <c r="B44" s="476"/>
      <c r="C44" s="477"/>
      <c r="D44" s="478"/>
      <c r="E44" s="478"/>
      <c r="F44" s="479"/>
    </row>
    <row r="45" spans="1:6" s="472" customFormat="1" ht="12" customHeight="1" x14ac:dyDescent="0.2">
      <c r="A45" s="467"/>
      <c r="B45" s="476"/>
      <c r="C45" s="477"/>
      <c r="D45" s="478"/>
      <c r="E45" s="478"/>
      <c r="F45" s="479"/>
    </row>
    <row r="46" spans="1:6" s="472" customFormat="1" ht="12" customHeight="1" x14ac:dyDescent="0.2">
      <c r="A46" s="467"/>
      <c r="B46" s="476"/>
      <c r="C46" s="480"/>
      <c r="D46" s="481"/>
      <c r="E46" s="481"/>
      <c r="F46" s="475"/>
    </row>
    <row r="47" spans="1:6" s="472" customFormat="1" ht="21" customHeight="1" x14ac:dyDescent="0.2">
      <c r="A47" s="467"/>
      <c r="B47" s="548" t="s">
        <v>953</v>
      </c>
      <c r="C47" s="549"/>
      <c r="D47" s="550"/>
      <c r="E47" s="550"/>
      <c r="F47" s="551">
        <f>SUM(F35:F46)</f>
        <v>57210515661.383659</v>
      </c>
    </row>
    <row r="48" spans="1:6" s="546" customFormat="1" ht="12" customHeight="1" x14ac:dyDescent="0.2">
      <c r="A48" s="545"/>
      <c r="B48" s="552"/>
      <c r="C48" s="545"/>
      <c r="D48" s="545"/>
      <c r="E48" s="545"/>
      <c r="F48" s="545"/>
    </row>
    <row r="49" spans="1:6" s="546" customFormat="1" ht="12" customHeight="1" x14ac:dyDescent="0.2">
      <c r="A49" s="545"/>
      <c r="B49" s="545"/>
      <c r="C49" s="545"/>
      <c r="D49" s="545"/>
      <c r="E49" s="545"/>
      <c r="F49" s="545"/>
    </row>
    <row r="50" spans="1:6" s="547" customFormat="1" x14ac:dyDescent="0.2">
      <c r="A50" s="545"/>
      <c r="B50" s="545"/>
      <c r="C50" s="545"/>
      <c r="D50" s="545"/>
      <c r="E50" s="545"/>
      <c r="F50" s="545"/>
    </row>
    <row r="51" spans="1:6" s="547" customFormat="1" x14ac:dyDescent="0.2">
      <c r="A51" s="545"/>
      <c r="B51" s="545"/>
      <c r="C51" s="545"/>
      <c r="D51" s="545"/>
      <c r="E51" s="545"/>
      <c r="F51" s="545"/>
    </row>
    <row r="52" spans="1:6" s="547" customFormat="1" x14ac:dyDescent="0.2">
      <c r="A52" s="545"/>
      <c r="B52" s="545"/>
      <c r="C52" s="545"/>
      <c r="D52" s="545"/>
      <c r="E52" s="545"/>
      <c r="F52" s="545"/>
    </row>
    <row r="53" spans="1:6" s="547" customFormat="1" x14ac:dyDescent="0.2">
      <c r="A53" s="545"/>
      <c r="B53" s="545"/>
      <c r="C53" s="545"/>
      <c r="D53" s="545"/>
      <c r="E53" s="545"/>
      <c r="F53" s="545"/>
    </row>
    <row r="54" spans="1:6" s="547" customFormat="1" x14ac:dyDescent="0.2">
      <c r="A54" s="545"/>
      <c r="B54" s="545"/>
      <c r="C54" s="545"/>
      <c r="D54" s="545"/>
      <c r="E54" s="545"/>
      <c r="F54" s="545"/>
    </row>
    <row r="55" spans="1:6" s="547" customFormat="1" x14ac:dyDescent="0.2">
      <c r="A55" s="545"/>
      <c r="B55" s="545"/>
      <c r="C55" s="545"/>
      <c r="D55" s="545"/>
      <c r="E55" s="545"/>
      <c r="F55" s="545"/>
    </row>
    <row r="56" spans="1:6" s="547" customFormat="1" x14ac:dyDescent="0.2">
      <c r="A56" s="545"/>
      <c r="B56" s="545"/>
      <c r="C56" s="545"/>
      <c r="D56" s="545"/>
      <c r="E56" s="545"/>
      <c r="F56" s="545"/>
    </row>
    <row r="57" spans="1:6" s="547" customFormat="1" x14ac:dyDescent="0.2">
      <c r="A57" s="545"/>
      <c r="B57" s="545"/>
      <c r="C57" s="545"/>
      <c r="D57" s="545"/>
      <c r="E57" s="545"/>
      <c r="F57" s="545"/>
    </row>
    <row r="58" spans="1:6" s="547" customFormat="1" x14ac:dyDescent="0.2">
      <c r="A58" s="545"/>
      <c r="B58" s="545"/>
      <c r="C58" s="545"/>
      <c r="D58" s="545"/>
      <c r="E58" s="545"/>
      <c r="F58" s="545"/>
    </row>
    <row r="59" spans="1:6" s="547" customFormat="1" x14ac:dyDescent="0.2">
      <c r="A59" s="545"/>
      <c r="B59" s="545"/>
      <c r="C59" s="545"/>
      <c r="D59" s="545"/>
      <c r="E59" s="545"/>
      <c r="F59" s="545"/>
    </row>
    <row r="60" spans="1:6" s="547" customFormat="1" x14ac:dyDescent="0.2">
      <c r="A60" s="545"/>
      <c r="B60" s="545"/>
      <c r="C60" s="545"/>
      <c r="D60" s="545"/>
      <c r="E60" s="545"/>
      <c r="F60" s="545"/>
    </row>
    <row r="61" spans="1:6" s="547" customFormat="1" x14ac:dyDescent="0.2">
      <c r="A61" s="545"/>
      <c r="B61" s="545"/>
      <c r="C61" s="545"/>
      <c r="D61" s="545"/>
      <c r="E61" s="545"/>
      <c r="F61" s="545"/>
    </row>
    <row r="62" spans="1:6" s="547" customFormat="1" x14ac:dyDescent="0.2">
      <c r="A62" s="545"/>
      <c r="B62" s="545"/>
      <c r="C62" s="545"/>
      <c r="D62" s="545"/>
      <c r="E62" s="545"/>
      <c r="F62" s="545"/>
    </row>
    <row r="63" spans="1:6" s="547" customFormat="1" x14ac:dyDescent="0.2">
      <c r="A63" s="545"/>
      <c r="B63" s="545"/>
      <c r="C63" s="545"/>
      <c r="D63" s="545"/>
      <c r="E63" s="545"/>
      <c r="F63" s="545"/>
    </row>
    <row r="64" spans="1:6" s="547" customFormat="1" x14ac:dyDescent="0.2">
      <c r="A64" s="545"/>
      <c r="B64" s="545"/>
      <c r="C64" s="545"/>
      <c r="D64" s="545"/>
      <c r="E64" s="545"/>
      <c r="F64" s="545"/>
    </row>
    <row r="65" spans="1:6" s="547" customFormat="1" x14ac:dyDescent="0.2">
      <c r="A65" s="545"/>
      <c r="B65" s="545"/>
      <c r="C65" s="545"/>
      <c r="D65" s="545"/>
      <c r="E65" s="545"/>
      <c r="F65" s="545"/>
    </row>
    <row r="66" spans="1:6" s="547" customFormat="1" x14ac:dyDescent="0.2">
      <c r="A66" s="545"/>
      <c r="B66" s="545"/>
      <c r="C66" s="545"/>
      <c r="D66" s="545"/>
      <c r="E66" s="545"/>
      <c r="F66" s="545"/>
    </row>
    <row r="67" spans="1:6" s="547" customFormat="1" x14ac:dyDescent="0.2">
      <c r="A67" s="545"/>
      <c r="B67" s="545"/>
      <c r="C67" s="545"/>
      <c r="D67" s="545"/>
      <c r="E67" s="545"/>
      <c r="F67" s="545"/>
    </row>
    <row r="68" spans="1:6" s="547" customFormat="1" x14ac:dyDescent="0.2">
      <c r="A68" s="545"/>
      <c r="B68" s="545"/>
      <c r="C68" s="545"/>
      <c r="D68" s="545"/>
      <c r="E68" s="545"/>
      <c r="F68" s="545"/>
    </row>
    <row r="69" spans="1:6" s="547" customFormat="1" x14ac:dyDescent="0.2">
      <c r="A69" s="545"/>
      <c r="B69" s="545"/>
      <c r="C69" s="545"/>
      <c r="D69" s="545"/>
      <c r="E69" s="545"/>
      <c r="F69" s="545"/>
    </row>
    <row r="70" spans="1:6" s="547" customFormat="1" x14ac:dyDescent="0.2">
      <c r="A70" s="545"/>
      <c r="B70" s="545"/>
      <c r="C70" s="545"/>
      <c r="D70" s="545"/>
      <c r="E70" s="545"/>
      <c r="F70" s="545"/>
    </row>
    <row r="71" spans="1:6" s="547" customFormat="1" x14ac:dyDescent="0.2">
      <c r="A71" s="545"/>
      <c r="B71" s="545"/>
      <c r="C71" s="545"/>
      <c r="D71" s="545"/>
      <c r="E71" s="545"/>
      <c r="F71" s="545"/>
    </row>
    <row r="72" spans="1:6" s="547" customFormat="1" x14ac:dyDescent="0.2">
      <c r="A72" s="545"/>
      <c r="B72" s="545"/>
      <c r="C72" s="545"/>
      <c r="D72" s="545"/>
      <c r="E72" s="545"/>
      <c r="F72" s="545"/>
    </row>
    <row r="73" spans="1:6" s="547" customFormat="1" x14ac:dyDescent="0.2">
      <c r="A73" s="545"/>
      <c r="B73" s="545"/>
      <c r="C73" s="545"/>
      <c r="D73" s="545"/>
      <c r="E73" s="545"/>
      <c r="F73" s="545"/>
    </row>
    <row r="74" spans="1:6" s="547" customFormat="1" x14ac:dyDescent="0.2">
      <c r="A74" s="545"/>
      <c r="B74" s="545"/>
      <c r="C74" s="545"/>
      <c r="D74" s="545"/>
      <c r="E74" s="545"/>
      <c r="F74" s="545"/>
    </row>
    <row r="75" spans="1:6" s="547" customFormat="1" x14ac:dyDescent="0.2">
      <c r="A75" s="545"/>
      <c r="B75" s="545"/>
      <c r="C75" s="545"/>
      <c r="D75" s="545"/>
      <c r="E75" s="545"/>
      <c r="F75" s="545"/>
    </row>
    <row r="76" spans="1:6" s="547" customFormat="1" x14ac:dyDescent="0.2">
      <c r="A76" s="545"/>
      <c r="B76" s="545"/>
      <c r="C76" s="545"/>
      <c r="D76" s="545"/>
      <c r="E76" s="545"/>
      <c r="F76" s="545"/>
    </row>
    <row r="77" spans="1:6" s="547" customFormat="1" x14ac:dyDescent="0.2">
      <c r="A77" s="545"/>
      <c r="B77" s="545"/>
      <c r="C77" s="545"/>
      <c r="D77" s="545"/>
      <c r="E77" s="545"/>
      <c r="F77" s="545"/>
    </row>
    <row r="78" spans="1:6" s="547" customFormat="1" x14ac:dyDescent="0.2">
      <c r="A78" s="545"/>
      <c r="B78" s="545"/>
      <c r="C78" s="545"/>
      <c r="D78" s="545"/>
      <c r="E78" s="545"/>
      <c r="F78" s="545"/>
    </row>
    <row r="79" spans="1:6" s="547" customFormat="1" x14ac:dyDescent="0.2">
      <c r="A79" s="545"/>
      <c r="B79" s="545"/>
      <c r="C79" s="545"/>
      <c r="D79" s="545"/>
      <c r="E79" s="545"/>
      <c r="F79" s="545"/>
    </row>
    <row r="80" spans="1:6" s="547" customFormat="1" x14ac:dyDescent="0.2">
      <c r="A80" s="545"/>
      <c r="B80" s="545"/>
      <c r="C80" s="545"/>
      <c r="D80" s="545"/>
      <c r="E80" s="545"/>
      <c r="F80" s="545"/>
    </row>
    <row r="81" spans="1:6" s="547" customFormat="1" x14ac:dyDescent="0.2">
      <c r="A81" s="545"/>
      <c r="B81" s="545"/>
      <c r="C81" s="545"/>
      <c r="D81" s="545"/>
      <c r="E81" s="545"/>
      <c r="F81" s="545"/>
    </row>
    <row r="82" spans="1:6" s="547" customFormat="1" x14ac:dyDescent="0.2">
      <c r="A82" s="545"/>
      <c r="B82" s="545"/>
      <c r="C82" s="545"/>
      <c r="D82" s="545"/>
      <c r="E82" s="545"/>
      <c r="F82" s="545"/>
    </row>
    <row r="83" spans="1:6" s="547" customFormat="1" x14ac:dyDescent="0.2">
      <c r="A83" s="545"/>
      <c r="B83" s="545"/>
      <c r="C83" s="545"/>
      <c r="D83" s="545"/>
      <c r="E83" s="545"/>
      <c r="F83" s="545"/>
    </row>
    <row r="84" spans="1:6" s="547" customFormat="1" x14ac:dyDescent="0.2">
      <c r="A84" s="545"/>
      <c r="B84" s="545"/>
      <c r="C84" s="545"/>
      <c r="D84" s="545"/>
      <c r="E84" s="545"/>
      <c r="F84" s="545"/>
    </row>
    <row r="85" spans="1:6" s="547" customFormat="1" x14ac:dyDescent="0.2">
      <c r="A85" s="545"/>
      <c r="B85" s="545"/>
      <c r="C85" s="545"/>
      <c r="D85" s="545"/>
      <c r="E85" s="545"/>
      <c r="F85" s="545"/>
    </row>
    <row r="86" spans="1:6" s="547" customFormat="1" x14ac:dyDescent="0.2">
      <c r="A86" s="545"/>
      <c r="B86" s="545"/>
      <c r="C86" s="545"/>
      <c r="D86" s="545"/>
      <c r="E86" s="545"/>
      <c r="F86" s="545"/>
    </row>
    <row r="87" spans="1:6" s="547" customFormat="1" x14ac:dyDescent="0.2">
      <c r="A87" s="545"/>
      <c r="B87" s="545"/>
      <c r="C87" s="545"/>
      <c r="D87" s="545"/>
      <c r="E87" s="545"/>
      <c r="F87" s="545"/>
    </row>
    <row r="88" spans="1:6" s="547" customFormat="1" x14ac:dyDescent="0.2">
      <c r="A88" s="545"/>
      <c r="B88" s="545"/>
      <c r="C88" s="545"/>
      <c r="D88" s="545"/>
      <c r="E88" s="545"/>
      <c r="F88" s="545"/>
    </row>
    <row r="89" spans="1:6" s="547" customFormat="1" x14ac:dyDescent="0.2">
      <c r="A89" s="545"/>
      <c r="B89" s="545"/>
      <c r="C89" s="545"/>
      <c r="D89" s="545"/>
      <c r="E89" s="545"/>
      <c r="F89" s="545"/>
    </row>
    <row r="90" spans="1:6" s="547" customFormat="1" x14ac:dyDescent="0.2">
      <c r="A90" s="545"/>
      <c r="B90" s="545"/>
      <c r="C90" s="545"/>
      <c r="D90" s="545"/>
      <c r="E90" s="545"/>
      <c r="F90" s="545"/>
    </row>
    <row r="91" spans="1:6" s="547" customFormat="1" x14ac:dyDescent="0.2">
      <c r="A91" s="545"/>
      <c r="B91" s="545"/>
      <c r="C91" s="545"/>
      <c r="D91" s="545"/>
      <c r="E91" s="545"/>
      <c r="F91" s="545"/>
    </row>
    <row r="92" spans="1:6" s="547" customFormat="1" x14ac:dyDescent="0.2">
      <c r="A92" s="545"/>
      <c r="B92" s="545"/>
      <c r="C92" s="545"/>
      <c r="D92" s="545"/>
      <c r="E92" s="545"/>
      <c r="F92" s="545"/>
    </row>
    <row r="93" spans="1:6" s="547" customFormat="1" x14ac:dyDescent="0.2">
      <c r="A93" s="545"/>
      <c r="B93" s="545"/>
      <c r="C93" s="545"/>
      <c r="D93" s="545"/>
      <c r="E93" s="545"/>
      <c r="F93" s="545"/>
    </row>
    <row r="94" spans="1:6" s="547" customFormat="1" x14ac:dyDescent="0.2">
      <c r="A94" s="545"/>
      <c r="B94" s="545"/>
      <c r="C94" s="545"/>
      <c r="D94" s="545"/>
      <c r="E94" s="545"/>
      <c r="F94" s="545"/>
    </row>
    <row r="95" spans="1:6" s="547" customFormat="1" x14ac:dyDescent="0.2">
      <c r="A95" s="545"/>
      <c r="B95" s="545"/>
      <c r="C95" s="545"/>
      <c r="D95" s="545"/>
      <c r="E95" s="545"/>
      <c r="F95" s="545"/>
    </row>
    <row r="96" spans="1:6" s="547" customFormat="1" x14ac:dyDescent="0.2">
      <c r="A96" s="545"/>
      <c r="B96" s="545"/>
      <c r="C96" s="545"/>
      <c r="D96" s="545"/>
      <c r="E96" s="545"/>
      <c r="F96" s="545"/>
    </row>
    <row r="97" spans="1:6" s="547" customFormat="1" x14ac:dyDescent="0.2">
      <c r="A97" s="545"/>
      <c r="B97" s="545"/>
      <c r="C97" s="545"/>
      <c r="D97" s="545"/>
      <c r="E97" s="545"/>
      <c r="F97" s="545"/>
    </row>
    <row r="98" spans="1:6" s="547" customFormat="1" x14ac:dyDescent="0.2">
      <c r="A98" s="545"/>
      <c r="B98" s="545"/>
      <c r="C98" s="545"/>
      <c r="D98" s="545"/>
      <c r="E98" s="545"/>
      <c r="F98" s="545"/>
    </row>
    <row r="99" spans="1:6" s="547" customFormat="1" x14ac:dyDescent="0.2">
      <c r="A99" s="545"/>
      <c r="B99" s="545"/>
      <c r="C99" s="545"/>
      <c r="D99" s="545"/>
      <c r="E99" s="545"/>
      <c r="F99" s="545"/>
    </row>
    <row r="100" spans="1:6" s="547" customFormat="1" x14ac:dyDescent="0.2">
      <c r="A100" s="545"/>
      <c r="B100" s="545"/>
      <c r="C100" s="545"/>
      <c r="D100" s="545"/>
      <c r="E100" s="545"/>
      <c r="F100" s="545"/>
    </row>
    <row r="101" spans="1:6" s="547" customFormat="1" x14ac:dyDescent="0.2">
      <c r="A101" s="545"/>
      <c r="B101" s="545"/>
      <c r="C101" s="545"/>
      <c r="D101" s="545"/>
      <c r="E101" s="545"/>
      <c r="F101" s="545"/>
    </row>
    <row r="102" spans="1:6" s="547" customFormat="1" x14ac:dyDescent="0.2">
      <c r="A102" s="545"/>
      <c r="B102" s="545"/>
      <c r="C102" s="545"/>
      <c r="D102" s="545"/>
      <c r="E102" s="545"/>
      <c r="F102" s="545"/>
    </row>
    <row r="103" spans="1:6" s="547" customFormat="1" x14ac:dyDescent="0.2">
      <c r="A103" s="545"/>
      <c r="B103" s="545"/>
      <c r="C103" s="545"/>
      <c r="D103" s="545"/>
      <c r="E103" s="545"/>
      <c r="F103" s="545"/>
    </row>
    <row r="104" spans="1:6" s="547" customFormat="1" x14ac:dyDescent="0.2">
      <c r="A104" s="545"/>
      <c r="B104" s="545"/>
      <c r="C104" s="545"/>
      <c r="D104" s="545"/>
      <c r="E104" s="545"/>
      <c r="F104" s="545"/>
    </row>
    <row r="105" spans="1:6" s="547" customFormat="1" x14ac:dyDescent="0.2">
      <c r="A105" s="545"/>
      <c r="B105" s="545"/>
      <c r="C105" s="545"/>
      <c r="D105" s="545"/>
      <c r="E105" s="545"/>
      <c r="F105" s="545"/>
    </row>
    <row r="106" spans="1:6" s="547" customFormat="1" x14ac:dyDescent="0.2">
      <c r="A106" s="545"/>
      <c r="B106" s="545"/>
      <c r="C106" s="545"/>
      <c r="D106" s="545"/>
      <c r="E106" s="545"/>
      <c r="F106" s="545"/>
    </row>
    <row r="107" spans="1:6" s="547" customFormat="1" x14ac:dyDescent="0.2">
      <c r="A107" s="545"/>
      <c r="B107" s="545"/>
      <c r="C107" s="545"/>
      <c r="D107" s="545"/>
      <c r="E107" s="545"/>
      <c r="F107" s="545"/>
    </row>
    <row r="108" spans="1:6" s="547" customFormat="1" x14ac:dyDescent="0.2">
      <c r="A108" s="545"/>
      <c r="B108" s="545"/>
      <c r="C108" s="545"/>
      <c r="D108" s="545"/>
      <c r="E108" s="545"/>
      <c r="F108" s="545"/>
    </row>
    <row r="109" spans="1:6" s="547" customFormat="1" x14ac:dyDescent="0.2">
      <c r="A109" s="545"/>
      <c r="B109" s="545"/>
      <c r="C109" s="545"/>
      <c r="D109" s="545"/>
      <c r="E109" s="545"/>
      <c r="F109" s="545"/>
    </row>
    <row r="110" spans="1:6" s="547" customFormat="1" x14ac:dyDescent="0.2">
      <c r="A110" s="545"/>
      <c r="B110" s="545"/>
      <c r="C110" s="545"/>
      <c r="D110" s="545"/>
      <c r="E110" s="545"/>
      <c r="F110" s="545"/>
    </row>
    <row r="111" spans="1:6" s="547" customFormat="1" x14ac:dyDescent="0.2">
      <c r="A111" s="545"/>
      <c r="B111" s="545"/>
      <c r="C111" s="545"/>
      <c r="D111" s="545"/>
      <c r="E111" s="545"/>
      <c r="F111" s="545"/>
    </row>
    <row r="112" spans="1:6" s="547" customFormat="1" x14ac:dyDescent="0.2">
      <c r="A112" s="545"/>
      <c r="B112" s="545"/>
      <c r="C112" s="545"/>
      <c r="D112" s="545"/>
      <c r="E112" s="545"/>
      <c r="F112" s="545"/>
    </row>
    <row r="113" spans="1:6" s="547" customFormat="1" x14ac:dyDescent="0.2">
      <c r="A113" s="545"/>
      <c r="B113" s="545"/>
      <c r="C113" s="545"/>
      <c r="D113" s="545"/>
      <c r="E113" s="545"/>
      <c r="F113" s="545"/>
    </row>
    <row r="114" spans="1:6" s="547" customFormat="1" x14ac:dyDescent="0.2">
      <c r="A114" s="545"/>
      <c r="B114" s="545"/>
      <c r="C114" s="545"/>
      <c r="D114" s="545"/>
      <c r="E114" s="545"/>
      <c r="F114" s="545"/>
    </row>
    <row r="115" spans="1:6" s="547" customFormat="1" x14ac:dyDescent="0.2">
      <c r="A115" s="545"/>
      <c r="B115" s="545"/>
      <c r="C115" s="545"/>
      <c r="D115" s="545"/>
      <c r="E115" s="545"/>
      <c r="F115" s="545"/>
    </row>
    <row r="116" spans="1:6" s="547" customFormat="1" x14ac:dyDescent="0.2">
      <c r="A116" s="545"/>
      <c r="B116" s="545"/>
      <c r="C116" s="545"/>
      <c r="D116" s="545"/>
      <c r="E116" s="545"/>
      <c r="F116" s="545"/>
    </row>
    <row r="117" spans="1:6" s="547" customFormat="1" x14ac:dyDescent="0.2">
      <c r="A117" s="545"/>
      <c r="B117" s="545"/>
      <c r="C117" s="545"/>
      <c r="D117" s="545"/>
      <c r="E117" s="545"/>
      <c r="F117" s="545"/>
    </row>
    <row r="118" spans="1:6" s="547" customFormat="1" x14ac:dyDescent="0.2">
      <c r="A118" s="545"/>
      <c r="B118" s="545"/>
      <c r="C118" s="545"/>
      <c r="D118" s="545"/>
      <c r="E118" s="545"/>
      <c r="F118" s="545"/>
    </row>
    <row r="119" spans="1:6" s="547" customFormat="1" x14ac:dyDescent="0.2">
      <c r="A119" s="545"/>
      <c r="B119" s="545"/>
      <c r="C119" s="545"/>
      <c r="D119" s="545"/>
      <c r="E119" s="545"/>
      <c r="F119" s="545"/>
    </row>
    <row r="120" spans="1:6" s="547" customFormat="1" x14ac:dyDescent="0.2">
      <c r="A120" s="545"/>
      <c r="B120" s="545"/>
      <c r="C120" s="545"/>
      <c r="D120" s="545"/>
      <c r="E120" s="545"/>
      <c r="F120" s="545"/>
    </row>
    <row r="121" spans="1:6" s="547" customFormat="1" x14ac:dyDescent="0.2">
      <c r="A121" s="545"/>
      <c r="B121" s="545"/>
      <c r="C121" s="545"/>
      <c r="D121" s="545"/>
      <c r="E121" s="545"/>
      <c r="F121" s="545"/>
    </row>
    <row r="122" spans="1:6" s="547" customFormat="1" x14ac:dyDescent="0.2">
      <c r="A122" s="545"/>
      <c r="B122" s="545"/>
      <c r="C122" s="545"/>
      <c r="D122" s="545"/>
      <c r="E122" s="545"/>
      <c r="F122" s="545"/>
    </row>
    <row r="123" spans="1:6" s="547" customFormat="1" x14ac:dyDescent="0.2">
      <c r="A123" s="545"/>
      <c r="B123" s="545"/>
      <c r="C123" s="545"/>
      <c r="D123" s="545"/>
      <c r="E123" s="545"/>
      <c r="F123" s="545"/>
    </row>
    <row r="124" spans="1:6" s="547" customFormat="1" x14ac:dyDescent="0.2">
      <c r="A124" s="545"/>
      <c r="B124" s="545"/>
      <c r="C124" s="545"/>
      <c r="D124" s="545"/>
      <c r="E124" s="545"/>
      <c r="F124" s="545"/>
    </row>
    <row r="125" spans="1:6" s="547" customFormat="1" x14ac:dyDescent="0.2">
      <c r="A125" s="545"/>
      <c r="B125" s="545"/>
      <c r="C125" s="545"/>
      <c r="D125" s="545"/>
      <c r="E125" s="545"/>
      <c r="F125" s="545"/>
    </row>
    <row r="126" spans="1:6" s="547" customFormat="1" x14ac:dyDescent="0.2">
      <c r="A126" s="545"/>
      <c r="B126" s="545"/>
      <c r="C126" s="545"/>
      <c r="D126" s="545"/>
      <c r="E126" s="545"/>
      <c r="F126" s="545"/>
    </row>
    <row r="127" spans="1:6" s="547" customFormat="1" x14ac:dyDescent="0.2">
      <c r="A127" s="545"/>
      <c r="B127" s="545"/>
      <c r="C127" s="545"/>
      <c r="D127" s="545"/>
      <c r="E127" s="545"/>
      <c r="F127" s="545"/>
    </row>
    <row r="128" spans="1:6" s="547" customFormat="1" x14ac:dyDescent="0.2">
      <c r="A128" s="545"/>
      <c r="B128" s="545"/>
      <c r="C128" s="545"/>
      <c r="D128" s="545"/>
      <c r="E128" s="545"/>
      <c r="F128" s="545"/>
    </row>
    <row r="129" spans="1:6" s="547" customFormat="1" x14ac:dyDescent="0.2">
      <c r="A129" s="545"/>
      <c r="B129" s="545"/>
      <c r="C129" s="545"/>
      <c r="D129" s="545"/>
      <c r="E129" s="545"/>
      <c r="F129" s="545"/>
    </row>
    <row r="130" spans="1:6" s="547" customFormat="1" x14ac:dyDescent="0.2">
      <c r="A130" s="545"/>
      <c r="B130" s="545"/>
      <c r="C130" s="545"/>
      <c r="D130" s="545"/>
      <c r="E130" s="545"/>
      <c r="F130" s="545"/>
    </row>
    <row r="131" spans="1:6" s="547" customFormat="1" x14ac:dyDescent="0.2">
      <c r="A131" s="545"/>
      <c r="B131" s="545"/>
      <c r="C131" s="545"/>
      <c r="D131" s="545"/>
      <c r="E131" s="545"/>
      <c r="F131" s="545"/>
    </row>
    <row r="132" spans="1:6" s="547" customFormat="1" x14ac:dyDescent="0.2">
      <c r="A132" s="545"/>
      <c r="B132" s="545"/>
      <c r="C132" s="545"/>
      <c r="D132" s="545"/>
      <c r="E132" s="545"/>
      <c r="F132" s="545"/>
    </row>
    <row r="133" spans="1:6" s="547" customFormat="1" x14ac:dyDescent="0.2">
      <c r="A133" s="545"/>
      <c r="B133" s="545"/>
      <c r="C133" s="545"/>
      <c r="D133" s="545"/>
      <c r="E133" s="545"/>
      <c r="F133" s="545"/>
    </row>
    <row r="134" spans="1:6" s="547" customFormat="1" x14ac:dyDescent="0.2">
      <c r="A134" s="545"/>
      <c r="B134" s="545"/>
      <c r="C134" s="545"/>
      <c r="D134" s="545"/>
      <c r="E134" s="545"/>
      <c r="F134" s="545"/>
    </row>
    <row r="135" spans="1:6" s="547" customFormat="1" x14ac:dyDescent="0.2">
      <c r="A135" s="545"/>
      <c r="B135" s="545"/>
      <c r="C135" s="545"/>
      <c r="D135" s="545"/>
      <c r="E135" s="545"/>
      <c r="F135" s="545"/>
    </row>
    <row r="136" spans="1:6" s="547" customFormat="1" x14ac:dyDescent="0.2">
      <c r="A136" s="545"/>
      <c r="B136" s="545"/>
      <c r="C136" s="545"/>
      <c r="D136" s="545"/>
      <c r="E136" s="545"/>
      <c r="F136" s="545"/>
    </row>
    <row r="137" spans="1:6" s="547" customFormat="1" x14ac:dyDescent="0.2">
      <c r="A137" s="545"/>
      <c r="B137" s="545"/>
      <c r="C137" s="545"/>
      <c r="D137" s="545"/>
      <c r="E137" s="545"/>
      <c r="F137" s="545"/>
    </row>
    <row r="138" spans="1:6" s="547" customFormat="1" x14ac:dyDescent="0.2">
      <c r="A138" s="545"/>
      <c r="B138" s="545"/>
      <c r="C138" s="545"/>
      <c r="D138" s="545"/>
      <c r="E138" s="545"/>
      <c r="F138" s="545"/>
    </row>
    <row r="139" spans="1:6" s="547" customFormat="1" x14ac:dyDescent="0.2">
      <c r="A139" s="545"/>
      <c r="B139" s="545"/>
      <c r="C139" s="545"/>
      <c r="D139" s="545"/>
      <c r="E139" s="545"/>
      <c r="F139" s="545"/>
    </row>
    <row r="140" spans="1:6" s="547" customFormat="1" x14ac:dyDescent="0.2">
      <c r="A140" s="545"/>
      <c r="B140" s="545"/>
      <c r="C140" s="545"/>
      <c r="D140" s="545"/>
      <c r="E140" s="545"/>
      <c r="F140" s="545"/>
    </row>
    <row r="141" spans="1:6" s="547" customFormat="1" x14ac:dyDescent="0.2">
      <c r="A141" s="545"/>
      <c r="B141" s="545"/>
      <c r="C141" s="545"/>
      <c r="D141" s="545"/>
      <c r="E141" s="545"/>
      <c r="F141" s="545"/>
    </row>
    <row r="142" spans="1:6" s="547" customFormat="1" x14ac:dyDescent="0.2">
      <c r="A142" s="545"/>
      <c r="B142" s="545"/>
      <c r="C142" s="545"/>
      <c r="D142" s="545"/>
      <c r="E142" s="545"/>
      <c r="F142" s="545"/>
    </row>
    <row r="143" spans="1:6" s="547" customFormat="1" x14ac:dyDescent="0.2">
      <c r="A143" s="545"/>
      <c r="B143" s="545"/>
      <c r="C143" s="545"/>
      <c r="D143" s="545"/>
      <c r="E143" s="545"/>
      <c r="F143" s="545"/>
    </row>
    <row r="144" spans="1:6" s="547" customFormat="1" x14ac:dyDescent="0.2">
      <c r="A144" s="545"/>
      <c r="B144" s="545"/>
      <c r="C144" s="545"/>
      <c r="D144" s="545"/>
      <c r="E144" s="545"/>
      <c r="F144" s="545"/>
    </row>
    <row r="145" spans="1:6" s="547" customFormat="1" x14ac:dyDescent="0.2">
      <c r="A145" s="545"/>
      <c r="B145" s="545"/>
      <c r="C145" s="545"/>
      <c r="D145" s="545"/>
      <c r="E145" s="545"/>
      <c r="F145" s="545"/>
    </row>
    <row r="146" spans="1:6" s="547" customFormat="1" x14ac:dyDescent="0.2">
      <c r="A146" s="545"/>
      <c r="B146" s="545"/>
      <c r="C146" s="545"/>
      <c r="D146" s="545"/>
      <c r="E146" s="545"/>
      <c r="F146" s="545"/>
    </row>
    <row r="147" spans="1:6" s="547" customFormat="1" x14ac:dyDescent="0.2">
      <c r="A147" s="545"/>
      <c r="B147" s="545"/>
      <c r="C147" s="545"/>
      <c r="D147" s="545"/>
      <c r="E147" s="545"/>
      <c r="F147" s="545"/>
    </row>
    <row r="148" spans="1:6" s="547" customFormat="1" x14ac:dyDescent="0.2">
      <c r="A148" s="545"/>
      <c r="B148" s="545"/>
      <c r="C148" s="545"/>
      <c r="D148" s="545"/>
      <c r="E148" s="545"/>
      <c r="F148" s="545"/>
    </row>
    <row r="149" spans="1:6" s="547" customFormat="1" x14ac:dyDescent="0.2">
      <c r="A149" s="545"/>
      <c r="B149" s="545"/>
      <c r="C149" s="545"/>
      <c r="D149" s="545"/>
      <c r="E149" s="545"/>
      <c r="F149" s="545"/>
    </row>
    <row r="150" spans="1:6" s="547" customFormat="1" x14ac:dyDescent="0.2">
      <c r="A150" s="545"/>
      <c r="B150" s="545"/>
      <c r="C150" s="545"/>
      <c r="D150" s="545"/>
      <c r="E150" s="545"/>
      <c r="F150" s="545"/>
    </row>
    <row r="151" spans="1:6" s="547" customFormat="1" x14ac:dyDescent="0.2">
      <c r="A151" s="545"/>
      <c r="B151" s="545"/>
      <c r="C151" s="545"/>
      <c r="D151" s="545"/>
      <c r="E151" s="545"/>
      <c r="F151" s="545"/>
    </row>
    <row r="152" spans="1:6" s="547" customFormat="1" x14ac:dyDescent="0.2">
      <c r="A152" s="545"/>
      <c r="B152" s="545"/>
      <c r="C152" s="545"/>
      <c r="D152" s="545"/>
      <c r="E152" s="545"/>
      <c r="F152" s="545"/>
    </row>
    <row r="153" spans="1:6" s="547" customFormat="1" x14ac:dyDescent="0.2">
      <c r="A153" s="545"/>
      <c r="B153" s="545"/>
      <c r="C153" s="545"/>
      <c r="D153" s="545"/>
      <c r="E153" s="545"/>
      <c r="F153" s="545"/>
    </row>
    <row r="154" spans="1:6" s="547" customFormat="1" x14ac:dyDescent="0.2">
      <c r="A154" s="545"/>
      <c r="B154" s="545"/>
      <c r="C154" s="545"/>
      <c r="D154" s="545"/>
      <c r="E154" s="545"/>
      <c r="F154" s="545"/>
    </row>
    <row r="155" spans="1:6" s="547" customFormat="1" x14ac:dyDescent="0.2">
      <c r="A155" s="545"/>
      <c r="B155" s="545"/>
      <c r="C155" s="545"/>
      <c r="D155" s="545"/>
      <c r="E155" s="545"/>
      <c r="F155" s="545"/>
    </row>
    <row r="156" spans="1:6" s="547" customFormat="1" x14ac:dyDescent="0.2">
      <c r="A156" s="545"/>
      <c r="B156" s="545"/>
      <c r="C156" s="545"/>
      <c r="D156" s="545"/>
      <c r="E156" s="545"/>
      <c r="F156" s="545"/>
    </row>
    <row r="157" spans="1:6" s="547" customFormat="1" x14ac:dyDescent="0.2">
      <c r="A157" s="545"/>
      <c r="B157" s="545"/>
      <c r="C157" s="545"/>
      <c r="D157" s="545"/>
      <c r="E157" s="545"/>
      <c r="F157" s="545"/>
    </row>
    <row r="158" spans="1:6" s="547" customFormat="1" x14ac:dyDescent="0.2">
      <c r="A158" s="545"/>
      <c r="B158" s="545"/>
      <c r="C158" s="545"/>
      <c r="D158" s="545"/>
      <c r="E158" s="545"/>
      <c r="F158" s="545"/>
    </row>
    <row r="159" spans="1:6" s="547" customFormat="1" x14ac:dyDescent="0.2">
      <c r="A159" s="545"/>
      <c r="B159" s="545"/>
      <c r="C159" s="545"/>
      <c r="D159" s="545"/>
      <c r="E159" s="545"/>
      <c r="F159" s="545"/>
    </row>
    <row r="160" spans="1:6" s="547" customFormat="1" x14ac:dyDescent="0.2">
      <c r="A160" s="545"/>
      <c r="B160" s="545"/>
      <c r="C160" s="545"/>
      <c r="D160" s="545"/>
      <c r="E160" s="545"/>
      <c r="F160" s="545"/>
    </row>
    <row r="161" spans="1:6" s="547" customFormat="1" x14ac:dyDescent="0.2">
      <c r="A161" s="545"/>
      <c r="B161" s="545"/>
      <c r="C161" s="545"/>
      <c r="D161" s="545"/>
      <c r="E161" s="545"/>
      <c r="F161" s="545"/>
    </row>
    <row r="162" spans="1:6" s="547" customFormat="1" x14ac:dyDescent="0.2">
      <c r="A162" s="545"/>
      <c r="B162" s="545"/>
      <c r="C162" s="545"/>
      <c r="D162" s="545"/>
      <c r="E162" s="545"/>
      <c r="F162" s="545"/>
    </row>
    <row r="163" spans="1:6" s="547" customFormat="1" x14ac:dyDescent="0.2">
      <c r="A163" s="545"/>
      <c r="B163" s="545"/>
      <c r="C163" s="545"/>
      <c r="D163" s="545"/>
      <c r="E163" s="545"/>
      <c r="F163" s="545"/>
    </row>
    <row r="164" spans="1:6" s="547" customFormat="1" x14ac:dyDescent="0.2">
      <c r="A164" s="545"/>
      <c r="B164" s="545"/>
      <c r="C164" s="545"/>
      <c r="D164" s="545"/>
      <c r="E164" s="545"/>
      <c r="F164" s="545"/>
    </row>
    <row r="165" spans="1:6" s="547" customFormat="1" x14ac:dyDescent="0.2">
      <c r="A165" s="545"/>
      <c r="B165" s="545"/>
      <c r="C165" s="545"/>
      <c r="D165" s="545"/>
      <c r="E165" s="545"/>
      <c r="F165" s="545"/>
    </row>
    <row r="166" spans="1:6" s="547" customFormat="1" x14ac:dyDescent="0.2">
      <c r="A166" s="545"/>
      <c r="B166" s="545"/>
      <c r="C166" s="545"/>
      <c r="D166" s="545"/>
      <c r="E166" s="545"/>
      <c r="F166" s="545"/>
    </row>
    <row r="167" spans="1:6" s="547" customFormat="1" x14ac:dyDescent="0.2">
      <c r="A167" s="545"/>
      <c r="B167" s="545"/>
      <c r="C167" s="545"/>
      <c r="D167" s="545"/>
      <c r="E167" s="545"/>
      <c r="F167" s="545"/>
    </row>
    <row r="168" spans="1:6" s="547" customFormat="1" x14ac:dyDescent="0.2">
      <c r="A168" s="545"/>
      <c r="B168" s="545"/>
      <c r="C168" s="545"/>
      <c r="D168" s="545"/>
      <c r="E168" s="545"/>
      <c r="F168" s="545"/>
    </row>
    <row r="169" spans="1:6" s="547" customFormat="1" x14ac:dyDescent="0.2">
      <c r="A169" s="545"/>
      <c r="B169" s="545"/>
      <c r="C169" s="545"/>
      <c r="D169" s="545"/>
      <c r="E169" s="545"/>
      <c r="F169" s="545"/>
    </row>
    <row r="170" spans="1:6" s="547" customFormat="1" x14ac:dyDescent="0.2">
      <c r="A170" s="545"/>
      <c r="B170" s="545"/>
      <c r="C170" s="545"/>
      <c r="D170" s="545"/>
      <c r="E170" s="545"/>
      <c r="F170" s="545"/>
    </row>
    <row r="171" spans="1:6" s="547" customFormat="1" x14ac:dyDescent="0.2">
      <c r="A171" s="545"/>
      <c r="B171" s="545"/>
      <c r="C171" s="545"/>
      <c r="D171" s="545"/>
      <c r="E171" s="545"/>
      <c r="F171" s="545"/>
    </row>
    <row r="172" spans="1:6" s="547" customFormat="1" x14ac:dyDescent="0.2">
      <c r="A172" s="545"/>
      <c r="B172" s="545"/>
      <c r="C172" s="545"/>
      <c r="D172" s="545"/>
      <c r="E172" s="545"/>
      <c r="F172" s="545"/>
    </row>
    <row r="173" spans="1:6" s="547" customFormat="1" x14ac:dyDescent="0.2">
      <c r="A173" s="545"/>
      <c r="B173" s="545"/>
      <c r="C173" s="545"/>
      <c r="D173" s="545"/>
      <c r="E173" s="545"/>
      <c r="F173" s="545"/>
    </row>
    <row r="174" spans="1:6" s="547" customFormat="1" x14ac:dyDescent="0.2">
      <c r="A174" s="545"/>
      <c r="B174" s="545"/>
      <c r="C174" s="545"/>
      <c r="D174" s="545"/>
      <c r="E174" s="545"/>
      <c r="F174" s="545"/>
    </row>
    <row r="175" spans="1:6" s="547" customFormat="1" x14ac:dyDescent="0.2">
      <c r="A175" s="545"/>
      <c r="B175" s="545"/>
      <c r="C175" s="545"/>
      <c r="D175" s="545"/>
      <c r="E175" s="545"/>
      <c r="F175" s="545"/>
    </row>
    <row r="176" spans="1:6" s="547" customFormat="1" x14ac:dyDescent="0.2">
      <c r="A176" s="545"/>
      <c r="B176" s="545"/>
      <c r="C176" s="545"/>
      <c r="D176" s="545"/>
      <c r="E176" s="545"/>
      <c r="F176" s="545"/>
    </row>
    <row r="177" spans="1:6" s="547" customFormat="1" x14ac:dyDescent="0.2">
      <c r="A177" s="545"/>
      <c r="B177" s="545"/>
      <c r="C177" s="545"/>
      <c r="D177" s="545"/>
      <c r="E177" s="545"/>
      <c r="F177" s="545"/>
    </row>
    <row r="178" spans="1:6" s="547" customFormat="1" x14ac:dyDescent="0.2">
      <c r="A178" s="545"/>
      <c r="B178" s="545"/>
      <c r="C178" s="545"/>
      <c r="D178" s="545"/>
      <c r="E178" s="545"/>
      <c r="F178" s="545"/>
    </row>
    <row r="179" spans="1:6" s="547" customFormat="1" x14ac:dyDescent="0.2">
      <c r="A179" s="545"/>
      <c r="B179" s="545"/>
      <c r="C179" s="545"/>
      <c r="D179" s="545"/>
      <c r="E179" s="545"/>
      <c r="F179" s="545"/>
    </row>
    <row r="180" spans="1:6" s="547" customFormat="1" x14ac:dyDescent="0.2">
      <c r="A180" s="545"/>
      <c r="B180" s="545"/>
      <c r="C180" s="545"/>
      <c r="D180" s="545"/>
      <c r="E180" s="545"/>
      <c r="F180" s="545"/>
    </row>
    <row r="181" spans="1:6" s="547" customFormat="1" x14ac:dyDescent="0.2">
      <c r="A181" s="545"/>
      <c r="B181" s="545"/>
      <c r="C181" s="545"/>
      <c r="D181" s="545"/>
      <c r="E181" s="545"/>
      <c r="F181" s="545"/>
    </row>
    <row r="182" spans="1:6" s="547" customFormat="1" x14ac:dyDescent="0.2">
      <c r="A182" s="545"/>
      <c r="B182" s="545"/>
      <c r="C182" s="545"/>
      <c r="D182" s="545"/>
      <c r="E182" s="545"/>
      <c r="F182" s="545"/>
    </row>
    <row r="183" spans="1:6" s="547" customFormat="1" x14ac:dyDescent="0.2">
      <c r="A183" s="545"/>
      <c r="B183" s="545"/>
      <c r="C183" s="545"/>
      <c r="D183" s="545"/>
      <c r="E183" s="545"/>
      <c r="F183" s="545"/>
    </row>
    <row r="184" spans="1:6" s="547" customFormat="1" x14ac:dyDescent="0.2">
      <c r="A184" s="545"/>
      <c r="B184" s="545"/>
      <c r="C184" s="545"/>
      <c r="D184" s="545"/>
      <c r="E184" s="545"/>
      <c r="F184" s="545"/>
    </row>
    <row r="185" spans="1:6" s="547" customFormat="1" x14ac:dyDescent="0.2">
      <c r="A185" s="545"/>
      <c r="B185" s="545"/>
      <c r="C185" s="545"/>
      <c r="D185" s="545"/>
      <c r="E185" s="545"/>
      <c r="F185" s="545"/>
    </row>
    <row r="186" spans="1:6" s="547" customFormat="1" x14ac:dyDescent="0.2">
      <c r="A186" s="545"/>
      <c r="B186" s="545"/>
      <c r="C186" s="545"/>
      <c r="D186" s="545"/>
      <c r="E186" s="545"/>
      <c r="F186" s="545"/>
    </row>
    <row r="187" spans="1:6" s="547" customFormat="1" x14ac:dyDescent="0.2">
      <c r="A187" s="545"/>
      <c r="B187" s="545"/>
      <c r="C187" s="545"/>
      <c r="D187" s="545"/>
      <c r="E187" s="545"/>
      <c r="F187" s="545"/>
    </row>
    <row r="188" spans="1:6" s="547" customFormat="1" x14ac:dyDescent="0.2">
      <c r="A188" s="545"/>
      <c r="B188" s="545"/>
      <c r="C188" s="545"/>
      <c r="D188" s="545"/>
      <c r="E188" s="545"/>
      <c r="F188" s="545"/>
    </row>
    <row r="189" spans="1:6" s="547" customFormat="1" x14ac:dyDescent="0.2">
      <c r="A189" s="545"/>
      <c r="B189" s="545"/>
      <c r="C189" s="545"/>
      <c r="D189" s="545"/>
      <c r="E189" s="545"/>
      <c r="F189" s="545"/>
    </row>
    <row r="190" spans="1:6" s="547" customFormat="1" x14ac:dyDescent="0.2">
      <c r="A190" s="545"/>
      <c r="B190" s="545"/>
      <c r="C190" s="545"/>
      <c r="D190" s="545"/>
      <c r="E190" s="545"/>
      <c r="F190" s="545"/>
    </row>
    <row r="191" spans="1:6" s="547" customFormat="1" x14ac:dyDescent="0.2">
      <c r="A191" s="545"/>
      <c r="B191" s="545"/>
      <c r="C191" s="545"/>
      <c r="D191" s="545"/>
      <c r="E191" s="545"/>
      <c r="F191" s="545"/>
    </row>
    <row r="192" spans="1:6" s="547" customFormat="1" x14ac:dyDescent="0.2">
      <c r="A192" s="545"/>
      <c r="B192" s="545"/>
      <c r="C192" s="545"/>
      <c r="D192" s="545"/>
      <c r="E192" s="545"/>
      <c r="F192" s="545"/>
    </row>
    <row r="193" spans="1:6" s="547" customFormat="1" x14ac:dyDescent="0.2">
      <c r="A193" s="545"/>
      <c r="B193" s="545"/>
      <c r="C193" s="545"/>
      <c r="D193" s="545"/>
      <c r="E193" s="545"/>
      <c r="F193" s="545"/>
    </row>
    <row r="194" spans="1:6" s="547" customFormat="1" x14ac:dyDescent="0.2">
      <c r="A194" s="545"/>
      <c r="B194" s="545"/>
      <c r="C194" s="545"/>
      <c r="D194" s="545"/>
      <c r="E194" s="545"/>
      <c r="F194" s="545"/>
    </row>
    <row r="195" spans="1:6" s="547" customFormat="1" x14ac:dyDescent="0.2">
      <c r="A195" s="545"/>
      <c r="B195" s="545"/>
      <c r="C195" s="545"/>
      <c r="D195" s="545"/>
      <c r="E195" s="545"/>
      <c r="F195" s="545"/>
    </row>
    <row r="196" spans="1:6" s="547" customFormat="1" x14ac:dyDescent="0.2">
      <c r="A196" s="545"/>
      <c r="B196" s="545"/>
      <c r="C196" s="545"/>
      <c r="D196" s="545"/>
      <c r="E196" s="545"/>
      <c r="F196" s="545"/>
    </row>
    <row r="197" spans="1:6" s="547" customFormat="1" x14ac:dyDescent="0.2">
      <c r="A197" s="545"/>
      <c r="B197" s="545"/>
      <c r="C197" s="545"/>
      <c r="D197" s="545"/>
      <c r="E197" s="545"/>
      <c r="F197" s="545"/>
    </row>
    <row r="198" spans="1:6" s="547" customFormat="1" x14ac:dyDescent="0.2">
      <c r="A198" s="545"/>
      <c r="B198" s="545"/>
      <c r="C198" s="545"/>
      <c r="D198" s="545"/>
      <c r="E198" s="545"/>
      <c r="F198" s="545"/>
    </row>
    <row r="199" spans="1:6" s="547" customFormat="1" x14ac:dyDescent="0.2">
      <c r="A199" s="545"/>
      <c r="B199" s="545"/>
      <c r="C199" s="545"/>
      <c r="D199" s="545"/>
      <c r="E199" s="545"/>
      <c r="F199" s="545"/>
    </row>
    <row r="200" spans="1:6" s="547" customFormat="1" x14ac:dyDescent="0.2">
      <c r="A200" s="545"/>
      <c r="B200" s="545"/>
      <c r="C200" s="545"/>
      <c r="D200" s="545"/>
      <c r="E200" s="545"/>
      <c r="F200" s="545"/>
    </row>
    <row r="201" spans="1:6" s="547" customFormat="1" x14ac:dyDescent="0.2">
      <c r="A201" s="545"/>
      <c r="B201" s="545"/>
      <c r="C201" s="545"/>
      <c r="D201" s="545"/>
      <c r="E201" s="545"/>
      <c r="F201" s="545"/>
    </row>
    <row r="202" spans="1:6" s="547" customFormat="1" x14ac:dyDescent="0.2">
      <c r="A202" s="545"/>
      <c r="B202" s="545"/>
      <c r="C202" s="545"/>
      <c r="D202" s="545"/>
      <c r="E202" s="545"/>
      <c r="F202" s="545"/>
    </row>
    <row r="203" spans="1:6" s="547" customFormat="1" x14ac:dyDescent="0.2">
      <c r="A203" s="545"/>
      <c r="B203" s="545"/>
      <c r="C203" s="545"/>
      <c r="D203" s="545"/>
      <c r="E203" s="545"/>
      <c r="F203" s="545"/>
    </row>
    <row r="204" spans="1:6" s="547" customFormat="1" x14ac:dyDescent="0.2">
      <c r="A204" s="545"/>
      <c r="B204" s="545"/>
      <c r="C204" s="545"/>
      <c r="D204" s="545"/>
      <c r="E204" s="545"/>
      <c r="F204" s="545"/>
    </row>
    <row r="205" spans="1:6" s="547" customFormat="1" x14ac:dyDescent="0.2">
      <c r="A205" s="545"/>
      <c r="B205" s="545"/>
      <c r="C205" s="545"/>
      <c r="D205" s="545"/>
      <c r="E205" s="545"/>
      <c r="F205" s="545"/>
    </row>
    <row r="206" spans="1:6" s="547" customFormat="1" x14ac:dyDescent="0.2">
      <c r="A206" s="545"/>
      <c r="B206" s="545"/>
      <c r="C206" s="545"/>
      <c r="D206" s="545"/>
      <c r="E206" s="545"/>
      <c r="F206" s="545"/>
    </row>
    <row r="207" spans="1:6" s="547" customFormat="1" x14ac:dyDescent="0.2">
      <c r="A207" s="545"/>
      <c r="B207" s="545"/>
      <c r="C207" s="545"/>
      <c r="D207" s="545"/>
      <c r="E207" s="545"/>
      <c r="F207" s="545"/>
    </row>
    <row r="208" spans="1:6" s="547" customFormat="1" x14ac:dyDescent="0.2">
      <c r="A208" s="545"/>
      <c r="B208" s="545"/>
      <c r="C208" s="545"/>
      <c r="D208" s="545"/>
      <c r="E208" s="545"/>
      <c r="F208" s="545"/>
    </row>
    <row r="209" spans="1:6" s="547" customFormat="1" x14ac:dyDescent="0.2">
      <c r="A209" s="545"/>
      <c r="B209" s="545"/>
      <c r="C209" s="545"/>
      <c r="D209" s="545"/>
      <c r="E209" s="545"/>
      <c r="F209" s="545"/>
    </row>
    <row r="210" spans="1:6" s="547" customFormat="1" x14ac:dyDescent="0.2">
      <c r="A210" s="545"/>
      <c r="B210" s="545"/>
      <c r="C210" s="545"/>
      <c r="D210" s="545"/>
      <c r="E210" s="545"/>
      <c r="F210" s="545"/>
    </row>
    <row r="211" spans="1:6" s="547" customFormat="1" x14ac:dyDescent="0.2">
      <c r="A211" s="545"/>
      <c r="B211" s="545"/>
      <c r="C211" s="545"/>
      <c r="D211" s="545"/>
      <c r="E211" s="545"/>
      <c r="F211" s="545"/>
    </row>
    <row r="212" spans="1:6" s="547" customFormat="1" x14ac:dyDescent="0.2">
      <c r="A212" s="545"/>
      <c r="B212" s="545"/>
      <c r="C212" s="545"/>
      <c r="D212" s="545"/>
      <c r="E212" s="545"/>
      <c r="F212" s="545"/>
    </row>
    <row r="213" spans="1:6" s="547" customFormat="1" x14ac:dyDescent="0.2">
      <c r="A213" s="545"/>
      <c r="B213" s="545"/>
      <c r="C213" s="545"/>
      <c r="D213" s="545"/>
      <c r="E213" s="545"/>
      <c r="F213" s="545"/>
    </row>
    <row r="214" spans="1:6" s="547" customFormat="1" x14ac:dyDescent="0.2">
      <c r="A214" s="545"/>
      <c r="B214" s="545"/>
      <c r="C214" s="545"/>
      <c r="D214" s="545"/>
      <c r="E214" s="545"/>
      <c r="F214" s="545"/>
    </row>
    <row r="215" spans="1:6" s="547" customFormat="1" x14ac:dyDescent="0.2">
      <c r="A215" s="545"/>
      <c r="B215" s="545"/>
      <c r="C215" s="545"/>
      <c r="D215" s="545"/>
      <c r="E215" s="545"/>
      <c r="F215" s="545"/>
    </row>
    <row r="216" spans="1:6" s="547" customFormat="1" x14ac:dyDescent="0.2">
      <c r="A216" s="545"/>
      <c r="B216" s="545"/>
      <c r="C216" s="545"/>
      <c r="D216" s="545"/>
      <c r="E216" s="545"/>
      <c r="F216" s="545"/>
    </row>
    <row r="217" spans="1:6" s="547" customFormat="1" x14ac:dyDescent="0.2">
      <c r="A217" s="545"/>
      <c r="B217" s="545"/>
      <c r="C217" s="545"/>
      <c r="D217" s="545"/>
      <c r="E217" s="545"/>
      <c r="F217" s="545"/>
    </row>
    <row r="218" spans="1:6" s="547" customFormat="1" x14ac:dyDescent="0.2">
      <c r="A218" s="545"/>
      <c r="B218" s="545"/>
      <c r="C218" s="545"/>
      <c r="D218" s="545"/>
      <c r="E218" s="545"/>
      <c r="F218" s="545"/>
    </row>
    <row r="219" spans="1:6" s="547" customFormat="1" x14ac:dyDescent="0.2">
      <c r="A219" s="545"/>
      <c r="B219" s="545"/>
      <c r="C219" s="545"/>
      <c r="D219" s="545"/>
      <c r="E219" s="545"/>
      <c r="F219" s="545"/>
    </row>
    <row r="220" spans="1:6" s="547" customFormat="1" x14ac:dyDescent="0.2">
      <c r="A220" s="545"/>
      <c r="B220" s="545"/>
      <c r="C220" s="545"/>
      <c r="D220" s="545"/>
      <c r="E220" s="545"/>
      <c r="F220" s="545"/>
    </row>
    <row r="221" spans="1:6" s="547" customFormat="1" x14ac:dyDescent="0.2">
      <c r="A221" s="545"/>
      <c r="B221" s="545"/>
      <c r="C221" s="545"/>
      <c r="D221" s="545"/>
      <c r="E221" s="545"/>
      <c r="F221" s="545"/>
    </row>
    <row r="222" spans="1:6" s="547" customFormat="1" x14ac:dyDescent="0.2">
      <c r="A222" s="545"/>
      <c r="B222" s="545"/>
      <c r="C222" s="545"/>
      <c r="D222" s="545"/>
      <c r="E222" s="545"/>
      <c r="F222" s="545"/>
    </row>
    <row r="223" spans="1:6" s="547" customFormat="1" x14ac:dyDescent="0.2">
      <c r="A223" s="545"/>
      <c r="B223" s="545"/>
      <c r="C223" s="545"/>
      <c r="D223" s="545"/>
      <c r="E223" s="545"/>
      <c r="F223" s="545"/>
    </row>
    <row r="224" spans="1:6" s="547" customFormat="1" x14ac:dyDescent="0.2">
      <c r="A224" s="545"/>
      <c r="B224" s="545"/>
      <c r="C224" s="545"/>
      <c r="D224" s="545"/>
      <c r="E224" s="545"/>
      <c r="F224" s="545"/>
    </row>
    <row r="225" spans="1:6" s="547" customFormat="1" x14ac:dyDescent="0.2">
      <c r="A225" s="545"/>
      <c r="B225" s="545"/>
      <c r="C225" s="545"/>
      <c r="D225" s="545"/>
      <c r="E225" s="545"/>
      <c r="F225" s="545"/>
    </row>
    <row r="226" spans="1:6" s="547" customFormat="1" x14ac:dyDescent="0.2">
      <c r="A226" s="545"/>
      <c r="B226" s="545"/>
      <c r="C226" s="545"/>
      <c r="D226" s="545"/>
      <c r="E226" s="545"/>
      <c r="F226" s="545"/>
    </row>
    <row r="227" spans="1:6" s="547" customFormat="1" x14ac:dyDescent="0.2">
      <c r="A227" s="545"/>
      <c r="B227" s="545"/>
      <c r="C227" s="545"/>
      <c r="D227" s="545"/>
      <c r="E227" s="545"/>
      <c r="F227" s="545"/>
    </row>
    <row r="228" spans="1:6" s="547" customFormat="1" x14ac:dyDescent="0.2">
      <c r="A228" s="545"/>
      <c r="B228" s="545"/>
      <c r="C228" s="545"/>
      <c r="D228" s="545"/>
      <c r="E228" s="545"/>
      <c r="F228" s="545"/>
    </row>
    <row r="229" spans="1:6" s="547" customFormat="1" x14ac:dyDescent="0.2">
      <c r="A229" s="545"/>
      <c r="B229" s="545"/>
      <c r="C229" s="545"/>
      <c r="D229" s="545"/>
      <c r="E229" s="545"/>
      <c r="F229" s="545"/>
    </row>
    <row r="230" spans="1:6" s="547" customFormat="1" x14ac:dyDescent="0.2">
      <c r="A230" s="545"/>
      <c r="B230" s="545"/>
      <c r="C230" s="545"/>
      <c r="D230" s="545"/>
      <c r="E230" s="545"/>
      <c r="F230" s="545"/>
    </row>
    <row r="231" spans="1:6" s="547" customFormat="1" x14ac:dyDescent="0.2">
      <c r="A231" s="545"/>
      <c r="B231" s="545"/>
      <c r="C231" s="545"/>
      <c r="D231" s="545"/>
      <c r="E231" s="545"/>
      <c r="F231" s="545"/>
    </row>
    <row r="232" spans="1:6" s="547" customFormat="1" x14ac:dyDescent="0.2">
      <c r="A232" s="545"/>
      <c r="B232" s="545"/>
      <c r="C232" s="545"/>
      <c r="D232" s="545"/>
      <c r="E232" s="545"/>
      <c r="F232" s="545"/>
    </row>
    <row r="233" spans="1:6" s="547" customFormat="1" x14ac:dyDescent="0.2">
      <c r="A233" s="545"/>
      <c r="B233" s="545"/>
      <c r="C233" s="545"/>
      <c r="D233" s="545"/>
      <c r="E233" s="545"/>
      <c r="F233" s="545"/>
    </row>
    <row r="234" spans="1:6" s="547" customFormat="1" x14ac:dyDescent="0.2">
      <c r="A234" s="545"/>
      <c r="B234" s="545"/>
      <c r="C234" s="545"/>
      <c r="D234" s="545"/>
      <c r="E234" s="545"/>
      <c r="F234" s="545"/>
    </row>
    <row r="235" spans="1:6" s="547" customFormat="1" x14ac:dyDescent="0.2">
      <c r="A235" s="545"/>
      <c r="B235" s="545"/>
      <c r="C235" s="545"/>
      <c r="D235" s="545"/>
      <c r="E235" s="545"/>
      <c r="F235" s="545"/>
    </row>
    <row r="236" spans="1:6" s="547" customFormat="1" x14ac:dyDescent="0.2">
      <c r="A236" s="545"/>
      <c r="B236" s="545"/>
      <c r="C236" s="545"/>
      <c r="D236" s="545"/>
      <c r="E236" s="545"/>
      <c r="F236" s="545"/>
    </row>
    <row r="237" spans="1:6" s="547" customFormat="1" x14ac:dyDescent="0.2">
      <c r="A237" s="545"/>
      <c r="B237" s="545"/>
      <c r="C237" s="545"/>
      <c r="D237" s="545"/>
      <c r="E237" s="545"/>
      <c r="F237" s="545"/>
    </row>
    <row r="238" spans="1:6" s="547" customFormat="1" x14ac:dyDescent="0.2">
      <c r="A238" s="545"/>
      <c r="B238" s="545"/>
      <c r="C238" s="545"/>
      <c r="D238" s="545"/>
      <c r="E238" s="545"/>
      <c r="F238" s="545"/>
    </row>
    <row r="239" spans="1:6" s="547" customFormat="1" x14ac:dyDescent="0.2">
      <c r="A239" s="545"/>
      <c r="B239" s="545"/>
      <c r="C239" s="545"/>
      <c r="D239" s="545"/>
      <c r="E239" s="545"/>
      <c r="F239" s="545"/>
    </row>
    <row r="240" spans="1:6" s="547" customFormat="1" x14ac:dyDescent="0.2">
      <c r="A240" s="545"/>
      <c r="B240" s="545"/>
      <c r="C240" s="545"/>
      <c r="D240" s="545"/>
      <c r="E240" s="545"/>
      <c r="F240" s="545"/>
    </row>
    <row r="241" spans="1:6" s="547" customFormat="1" x14ac:dyDescent="0.2">
      <c r="A241" s="545"/>
      <c r="B241" s="545"/>
      <c r="C241" s="545"/>
      <c r="D241" s="545"/>
      <c r="E241" s="545"/>
      <c r="F241" s="545"/>
    </row>
    <row r="242" spans="1:6" s="547" customFormat="1" x14ac:dyDescent="0.2">
      <c r="A242" s="545"/>
      <c r="B242" s="545"/>
      <c r="C242" s="545"/>
      <c r="D242" s="545"/>
      <c r="E242" s="545"/>
      <c r="F242" s="545"/>
    </row>
    <row r="243" spans="1:6" s="547" customFormat="1" x14ac:dyDescent="0.2">
      <c r="A243" s="545"/>
      <c r="B243" s="545"/>
      <c r="C243" s="545"/>
      <c r="D243" s="545"/>
      <c r="E243" s="545"/>
      <c r="F243" s="545"/>
    </row>
    <row r="244" spans="1:6" s="547" customFormat="1" x14ac:dyDescent="0.2">
      <c r="A244" s="545"/>
      <c r="B244" s="545"/>
      <c r="C244" s="545"/>
      <c r="D244" s="545"/>
      <c r="E244" s="545"/>
      <c r="F244" s="545"/>
    </row>
    <row r="245" spans="1:6" s="547" customFormat="1" x14ac:dyDescent="0.2">
      <c r="A245" s="545"/>
      <c r="B245" s="545"/>
      <c r="C245" s="545"/>
      <c r="D245" s="545"/>
      <c r="E245" s="545"/>
      <c r="F245" s="545"/>
    </row>
    <row r="246" spans="1:6" s="547" customFormat="1" x14ac:dyDescent="0.2">
      <c r="A246" s="545"/>
      <c r="B246" s="545"/>
      <c r="C246" s="545"/>
      <c r="D246" s="545"/>
      <c r="E246" s="545"/>
      <c r="F246" s="545"/>
    </row>
    <row r="247" spans="1:6" s="547" customFormat="1" x14ac:dyDescent="0.2">
      <c r="A247" s="545"/>
      <c r="B247" s="545"/>
      <c r="C247" s="545"/>
      <c r="D247" s="545"/>
      <c r="E247" s="545"/>
      <c r="F247" s="545"/>
    </row>
    <row r="248" spans="1:6" s="547" customFormat="1" x14ac:dyDescent="0.2">
      <c r="A248" s="545"/>
      <c r="B248" s="545"/>
      <c r="C248" s="545"/>
      <c r="D248" s="545"/>
      <c r="E248" s="545"/>
      <c r="F248" s="545"/>
    </row>
    <row r="249" spans="1:6" s="547" customFormat="1" x14ac:dyDescent="0.2">
      <c r="A249" s="545"/>
      <c r="B249" s="545"/>
      <c r="C249" s="545"/>
      <c r="D249" s="545"/>
      <c r="E249" s="545"/>
      <c r="F249" s="545"/>
    </row>
    <row r="250" spans="1:6" s="547" customFormat="1" x14ac:dyDescent="0.2">
      <c r="A250" s="545"/>
      <c r="B250" s="545"/>
      <c r="C250" s="545"/>
      <c r="D250" s="545"/>
      <c r="E250" s="545"/>
      <c r="F250" s="545"/>
    </row>
    <row r="251" spans="1:6" s="547" customFormat="1" x14ac:dyDescent="0.2">
      <c r="A251" s="545"/>
      <c r="B251" s="545"/>
      <c r="C251" s="545"/>
      <c r="D251" s="545"/>
      <c r="E251" s="545"/>
      <c r="F251" s="545"/>
    </row>
    <row r="252" spans="1:6" s="547" customFormat="1" x14ac:dyDescent="0.2">
      <c r="A252" s="545"/>
      <c r="B252" s="545"/>
      <c r="C252" s="545"/>
      <c r="D252" s="545"/>
      <c r="E252" s="545"/>
      <c r="F252" s="545"/>
    </row>
    <row r="253" spans="1:6" s="547" customFormat="1" x14ac:dyDescent="0.2">
      <c r="A253" s="545"/>
      <c r="B253" s="545"/>
      <c r="C253" s="545"/>
      <c r="D253" s="545"/>
      <c r="E253" s="545"/>
      <c r="F253" s="545"/>
    </row>
    <row r="254" spans="1:6" s="547" customFormat="1" x14ac:dyDescent="0.2">
      <c r="A254" s="545"/>
      <c r="B254" s="545"/>
      <c r="C254" s="545"/>
      <c r="D254" s="545"/>
      <c r="E254" s="545"/>
      <c r="F254" s="545"/>
    </row>
    <row r="255" spans="1:6" s="547" customFormat="1" x14ac:dyDescent="0.2">
      <c r="A255" s="545"/>
      <c r="B255" s="545"/>
      <c r="C255" s="545"/>
      <c r="D255" s="545"/>
      <c r="E255" s="545"/>
      <c r="F255" s="545"/>
    </row>
    <row r="256" spans="1:6" s="547" customFormat="1" x14ac:dyDescent="0.2">
      <c r="A256" s="545"/>
      <c r="B256" s="545"/>
      <c r="C256" s="545"/>
      <c r="D256" s="545"/>
      <c r="E256" s="545"/>
      <c r="F256" s="545"/>
    </row>
    <row r="257" spans="1:6" s="547" customFormat="1" x14ac:dyDescent="0.2">
      <c r="A257" s="545"/>
      <c r="B257" s="545"/>
      <c r="C257" s="545"/>
      <c r="D257" s="545"/>
      <c r="E257" s="545"/>
      <c r="F257" s="545"/>
    </row>
    <row r="258" spans="1:6" s="547" customFormat="1" x14ac:dyDescent="0.2">
      <c r="A258" s="545"/>
      <c r="B258" s="545"/>
      <c r="C258" s="545"/>
      <c r="D258" s="545"/>
      <c r="E258" s="545"/>
      <c r="F258" s="545"/>
    </row>
    <row r="259" spans="1:6" s="547" customFormat="1" x14ac:dyDescent="0.2">
      <c r="A259" s="545"/>
      <c r="B259" s="545"/>
      <c r="C259" s="545"/>
      <c r="D259" s="545"/>
      <c r="E259" s="545"/>
      <c r="F259" s="545"/>
    </row>
    <row r="260" spans="1:6" s="547" customFormat="1" x14ac:dyDescent="0.2">
      <c r="A260" s="545"/>
      <c r="B260" s="545"/>
      <c r="C260" s="545"/>
      <c r="D260" s="545"/>
      <c r="E260" s="545"/>
      <c r="F260" s="545"/>
    </row>
    <row r="261" spans="1:6" s="547" customFormat="1" x14ac:dyDescent="0.2">
      <c r="A261" s="545"/>
      <c r="B261" s="545"/>
      <c r="C261" s="545"/>
      <c r="D261" s="545"/>
      <c r="E261" s="545"/>
      <c r="F261" s="545"/>
    </row>
    <row r="262" spans="1:6" s="547" customFormat="1" x14ac:dyDescent="0.2">
      <c r="A262" s="545"/>
      <c r="B262" s="545"/>
      <c r="C262" s="545"/>
      <c r="D262" s="545"/>
      <c r="E262" s="545"/>
      <c r="F262" s="545"/>
    </row>
    <row r="263" spans="1:6" s="547" customFormat="1" x14ac:dyDescent="0.2">
      <c r="A263" s="545"/>
      <c r="B263" s="545"/>
      <c r="C263" s="545"/>
      <c r="D263" s="545"/>
      <c r="E263" s="545"/>
      <c r="F263" s="545"/>
    </row>
    <row r="264" spans="1:6" s="547" customFormat="1" x14ac:dyDescent="0.2">
      <c r="A264" s="545"/>
      <c r="B264" s="545"/>
      <c r="C264" s="545"/>
      <c r="D264" s="545"/>
      <c r="E264" s="545"/>
      <c r="F264" s="545"/>
    </row>
    <row r="265" spans="1:6" s="547" customFormat="1" x14ac:dyDescent="0.2">
      <c r="A265" s="545"/>
      <c r="B265" s="545"/>
      <c r="C265" s="545"/>
      <c r="D265" s="545"/>
      <c r="E265" s="545"/>
      <c r="F265" s="545"/>
    </row>
    <row r="266" spans="1:6" s="547" customFormat="1" x14ac:dyDescent="0.2">
      <c r="A266" s="545"/>
      <c r="B266" s="545"/>
      <c r="C266" s="545"/>
      <c r="D266" s="545"/>
      <c r="E266" s="545"/>
      <c r="F266" s="545"/>
    </row>
    <row r="267" spans="1:6" s="547" customFormat="1" x14ac:dyDescent="0.2">
      <c r="A267" s="545"/>
      <c r="B267" s="545"/>
      <c r="C267" s="545"/>
      <c r="D267" s="545"/>
      <c r="E267" s="545"/>
      <c r="F267" s="545"/>
    </row>
    <row r="268" spans="1:6" s="547" customFormat="1" x14ac:dyDescent="0.2">
      <c r="A268" s="545"/>
      <c r="B268" s="545"/>
      <c r="C268" s="545"/>
      <c r="D268" s="545"/>
      <c r="E268" s="545"/>
      <c r="F268" s="545"/>
    </row>
    <row r="269" spans="1:6" s="547" customFormat="1" x14ac:dyDescent="0.2">
      <c r="A269" s="545"/>
      <c r="B269" s="545"/>
      <c r="C269" s="545"/>
      <c r="D269" s="545"/>
      <c r="E269" s="545"/>
      <c r="F269" s="545"/>
    </row>
    <row r="270" spans="1:6" s="547" customFormat="1" x14ac:dyDescent="0.2">
      <c r="A270" s="545"/>
      <c r="B270" s="545"/>
      <c r="C270" s="545"/>
      <c r="D270" s="545"/>
      <c r="E270" s="545"/>
      <c r="F270" s="545"/>
    </row>
    <row r="271" spans="1:6" s="547" customFormat="1" x14ac:dyDescent="0.2">
      <c r="A271" s="545"/>
      <c r="B271" s="545"/>
      <c r="C271" s="545"/>
      <c r="D271" s="545"/>
      <c r="E271" s="545"/>
      <c r="F271" s="545"/>
    </row>
    <row r="272" spans="1:6" s="547" customFormat="1" x14ac:dyDescent="0.2">
      <c r="A272" s="545"/>
      <c r="B272" s="545"/>
      <c r="C272" s="545"/>
      <c r="D272" s="545"/>
      <c r="E272" s="545"/>
      <c r="F272" s="545"/>
    </row>
    <row r="273" spans="1:6" s="547" customFormat="1" x14ac:dyDescent="0.2">
      <c r="A273" s="545"/>
      <c r="B273" s="545"/>
      <c r="C273" s="545"/>
      <c r="D273" s="545"/>
      <c r="E273" s="545"/>
      <c r="F273" s="545"/>
    </row>
    <row r="274" spans="1:6" s="547" customFormat="1" x14ac:dyDescent="0.2">
      <c r="A274" s="545"/>
      <c r="B274" s="545"/>
      <c r="C274" s="545"/>
      <c r="D274" s="545"/>
      <c r="E274" s="545"/>
      <c r="F274" s="545"/>
    </row>
    <row r="275" spans="1:6" s="547" customFormat="1" x14ac:dyDescent="0.2">
      <c r="A275" s="545"/>
      <c r="B275" s="545"/>
      <c r="C275" s="545"/>
      <c r="D275" s="545"/>
      <c r="E275" s="545"/>
      <c r="F275" s="545"/>
    </row>
    <row r="276" spans="1:6" s="547" customFormat="1" x14ac:dyDescent="0.2">
      <c r="A276" s="545"/>
      <c r="B276" s="545"/>
      <c r="C276" s="545"/>
      <c r="D276" s="545"/>
      <c r="E276" s="545"/>
      <c r="F276" s="545"/>
    </row>
    <row r="277" spans="1:6" s="547" customFormat="1" x14ac:dyDescent="0.2">
      <c r="A277" s="545"/>
      <c r="B277" s="545"/>
      <c r="C277" s="545"/>
      <c r="D277" s="545"/>
      <c r="E277" s="545"/>
      <c r="F277" s="545"/>
    </row>
    <row r="278" spans="1:6" s="547" customFormat="1" x14ac:dyDescent="0.2">
      <c r="A278" s="545"/>
      <c r="B278" s="545"/>
      <c r="C278" s="545"/>
      <c r="D278" s="545"/>
      <c r="E278" s="545"/>
      <c r="F278" s="545"/>
    </row>
    <row r="279" spans="1:6" s="547" customFormat="1" x14ac:dyDescent="0.2">
      <c r="A279" s="545"/>
      <c r="B279" s="545"/>
      <c r="C279" s="545"/>
      <c r="D279" s="545"/>
      <c r="E279" s="545"/>
      <c r="F279" s="545"/>
    </row>
    <row r="280" spans="1:6" s="547" customFormat="1" x14ac:dyDescent="0.2">
      <c r="A280" s="545"/>
      <c r="B280" s="545"/>
      <c r="C280" s="545"/>
      <c r="D280" s="545"/>
      <c r="E280" s="545"/>
      <c r="F280" s="545"/>
    </row>
    <row r="281" spans="1:6" s="547" customFormat="1" x14ac:dyDescent="0.2">
      <c r="A281" s="545"/>
      <c r="B281" s="545"/>
      <c r="C281" s="545"/>
      <c r="D281" s="545"/>
      <c r="E281" s="545"/>
      <c r="F281" s="545"/>
    </row>
    <row r="282" spans="1:6" s="547" customFormat="1" x14ac:dyDescent="0.2">
      <c r="A282" s="545"/>
      <c r="B282" s="545"/>
      <c r="C282" s="545"/>
      <c r="D282" s="545"/>
      <c r="E282" s="545"/>
      <c r="F282" s="545"/>
    </row>
    <row r="283" spans="1:6" s="547" customFormat="1" x14ac:dyDescent="0.2">
      <c r="A283" s="545"/>
      <c r="B283" s="545"/>
      <c r="C283" s="545"/>
      <c r="D283" s="545"/>
      <c r="E283" s="545"/>
      <c r="F283" s="545"/>
    </row>
    <row r="284" spans="1:6" s="547" customFormat="1" x14ac:dyDescent="0.2">
      <c r="A284" s="545"/>
      <c r="B284" s="545"/>
      <c r="C284" s="545"/>
      <c r="D284" s="545"/>
      <c r="E284" s="545"/>
      <c r="F284" s="545"/>
    </row>
    <row r="285" spans="1:6" s="547" customFormat="1" x14ac:dyDescent="0.2">
      <c r="A285" s="545"/>
      <c r="B285" s="545"/>
      <c r="C285" s="545"/>
      <c r="D285" s="545"/>
      <c r="E285" s="545"/>
      <c r="F285" s="545"/>
    </row>
    <row r="286" spans="1:6" s="547" customFormat="1" x14ac:dyDescent="0.2">
      <c r="A286" s="545"/>
      <c r="B286" s="545"/>
      <c r="C286" s="545"/>
      <c r="D286" s="545"/>
      <c r="E286" s="545"/>
      <c r="F286" s="545"/>
    </row>
    <row r="287" spans="1:6" s="547" customFormat="1" x14ac:dyDescent="0.2">
      <c r="A287" s="545"/>
      <c r="B287" s="545"/>
      <c r="C287" s="545"/>
      <c r="D287" s="545"/>
      <c r="E287" s="545"/>
      <c r="F287" s="545"/>
    </row>
    <row r="288" spans="1:6" s="547" customFormat="1" x14ac:dyDescent="0.2">
      <c r="A288" s="545"/>
      <c r="B288" s="545"/>
      <c r="C288" s="545"/>
      <c r="D288" s="545"/>
      <c r="E288" s="545"/>
      <c r="F288" s="545"/>
    </row>
    <row r="289" spans="1:6" s="547" customFormat="1" x14ac:dyDescent="0.2">
      <c r="A289" s="545"/>
      <c r="B289" s="545"/>
      <c r="C289" s="545"/>
      <c r="D289" s="545"/>
      <c r="E289" s="545"/>
      <c r="F289" s="545"/>
    </row>
    <row r="290" spans="1:6" s="547" customFormat="1" x14ac:dyDescent="0.2">
      <c r="A290" s="545"/>
      <c r="B290" s="545"/>
      <c r="C290" s="545"/>
      <c r="D290" s="545"/>
      <c r="E290" s="545"/>
      <c r="F290" s="545"/>
    </row>
    <row r="291" spans="1:6" s="547" customFormat="1" x14ac:dyDescent="0.2">
      <c r="A291" s="545"/>
      <c r="B291" s="545"/>
      <c r="C291" s="545"/>
      <c r="D291" s="545"/>
      <c r="E291" s="545"/>
      <c r="F291" s="545"/>
    </row>
    <row r="292" spans="1:6" s="547" customFormat="1" x14ac:dyDescent="0.2">
      <c r="A292" s="545"/>
      <c r="B292" s="545"/>
      <c r="C292" s="545"/>
      <c r="D292" s="545"/>
      <c r="E292" s="545"/>
      <c r="F292" s="545"/>
    </row>
    <row r="293" spans="1:6" s="547" customFormat="1" x14ac:dyDescent="0.2">
      <c r="A293" s="545"/>
      <c r="B293" s="545"/>
      <c r="C293" s="545"/>
      <c r="D293" s="545"/>
      <c r="E293" s="545"/>
      <c r="F293" s="545"/>
    </row>
    <row r="294" spans="1:6" s="547" customFormat="1" x14ac:dyDescent="0.2">
      <c r="A294" s="545"/>
      <c r="B294" s="545"/>
      <c r="C294" s="545"/>
      <c r="D294" s="545"/>
      <c r="E294" s="545"/>
      <c r="F294" s="545"/>
    </row>
    <row r="295" spans="1:6" s="547" customFormat="1" x14ac:dyDescent="0.2">
      <c r="A295" s="545"/>
      <c r="B295" s="545"/>
      <c r="C295" s="545"/>
      <c r="D295" s="545"/>
      <c r="E295" s="545"/>
      <c r="F295" s="545"/>
    </row>
    <row r="296" spans="1:6" s="547" customFormat="1" x14ac:dyDescent="0.2">
      <c r="A296" s="545"/>
      <c r="B296" s="545"/>
      <c r="C296" s="545"/>
      <c r="D296" s="545"/>
      <c r="E296" s="545"/>
      <c r="F296" s="545"/>
    </row>
    <row r="297" spans="1:6" s="547" customFormat="1" x14ac:dyDescent="0.2">
      <c r="A297" s="545"/>
      <c r="B297" s="545"/>
      <c r="C297" s="545"/>
      <c r="D297" s="545"/>
      <c r="E297" s="545"/>
      <c r="F297" s="545"/>
    </row>
    <row r="298" spans="1:6" s="547" customFormat="1" x14ac:dyDescent="0.2">
      <c r="A298" s="545"/>
      <c r="B298" s="545"/>
      <c r="C298" s="545"/>
      <c r="D298" s="545"/>
      <c r="E298" s="545"/>
      <c r="F298" s="545"/>
    </row>
    <row r="299" spans="1:6" s="547" customFormat="1" x14ac:dyDescent="0.2">
      <c r="A299" s="545"/>
      <c r="B299" s="545"/>
      <c r="C299" s="545"/>
      <c r="D299" s="545"/>
      <c r="E299" s="545"/>
      <c r="F299" s="545"/>
    </row>
    <row r="300" spans="1:6" s="547" customFormat="1" x14ac:dyDescent="0.2">
      <c r="A300" s="545"/>
      <c r="B300" s="545"/>
      <c r="C300" s="545"/>
      <c r="D300" s="545"/>
      <c r="E300" s="545"/>
      <c r="F300" s="545"/>
    </row>
    <row r="301" spans="1:6" s="547" customFormat="1" x14ac:dyDescent="0.2">
      <c r="A301" s="545"/>
      <c r="B301" s="545"/>
      <c r="C301" s="545"/>
      <c r="D301" s="545"/>
      <c r="E301" s="545"/>
      <c r="F301" s="545"/>
    </row>
    <row r="302" spans="1:6" s="547" customFormat="1" x14ac:dyDescent="0.2">
      <c r="A302" s="545"/>
      <c r="B302" s="545"/>
      <c r="C302" s="545"/>
      <c r="D302" s="545"/>
      <c r="E302" s="545"/>
      <c r="F302" s="545"/>
    </row>
    <row r="303" spans="1:6" s="547" customFormat="1" x14ac:dyDescent="0.2">
      <c r="A303" s="545"/>
      <c r="B303" s="545"/>
      <c r="C303" s="545"/>
      <c r="D303" s="545"/>
      <c r="E303" s="545"/>
      <c r="F303" s="545"/>
    </row>
    <row r="304" spans="1:6" s="547" customFormat="1" x14ac:dyDescent="0.2">
      <c r="A304" s="545"/>
      <c r="B304" s="545"/>
      <c r="C304" s="545"/>
      <c r="D304" s="545"/>
      <c r="E304" s="545"/>
      <c r="F304" s="545"/>
    </row>
    <row r="305" spans="1:6" s="547" customFormat="1" x14ac:dyDescent="0.2">
      <c r="A305" s="545"/>
      <c r="B305" s="545"/>
      <c r="C305" s="545"/>
      <c r="D305" s="545"/>
      <c r="E305" s="545"/>
      <c r="F305" s="545"/>
    </row>
    <row r="306" spans="1:6" s="547" customFormat="1" x14ac:dyDescent="0.2">
      <c r="A306" s="545"/>
      <c r="B306" s="545"/>
      <c r="C306" s="545"/>
      <c r="D306" s="545"/>
      <c r="E306" s="545"/>
      <c r="F306" s="545"/>
    </row>
    <row r="307" spans="1:6" s="547" customFormat="1" x14ac:dyDescent="0.2">
      <c r="A307" s="545"/>
      <c r="B307" s="545"/>
      <c r="C307" s="545"/>
      <c r="D307" s="545"/>
      <c r="E307" s="545"/>
      <c r="F307" s="545"/>
    </row>
    <row r="308" spans="1:6" s="547" customFormat="1" x14ac:dyDescent="0.2">
      <c r="A308" s="545"/>
      <c r="B308" s="545"/>
      <c r="C308" s="545"/>
      <c r="D308" s="545"/>
      <c r="E308" s="545"/>
      <c r="F308" s="545"/>
    </row>
    <row r="309" spans="1:6" s="547" customFormat="1" x14ac:dyDescent="0.2">
      <c r="A309" s="545"/>
      <c r="B309" s="545"/>
      <c r="C309" s="545"/>
      <c r="D309" s="545"/>
      <c r="E309" s="545"/>
      <c r="F309" s="545"/>
    </row>
    <row r="310" spans="1:6" s="547" customFormat="1" x14ac:dyDescent="0.2">
      <c r="A310" s="545"/>
      <c r="B310" s="545"/>
      <c r="C310" s="545"/>
      <c r="D310" s="545"/>
      <c r="E310" s="545"/>
      <c r="F310" s="545"/>
    </row>
    <row r="311" spans="1:6" s="547" customFormat="1" x14ac:dyDescent="0.2">
      <c r="A311" s="545"/>
      <c r="B311" s="545"/>
      <c r="C311" s="545"/>
      <c r="D311" s="545"/>
      <c r="E311" s="545"/>
      <c r="F311" s="545"/>
    </row>
    <row r="312" spans="1:6" s="547" customFormat="1" x14ac:dyDescent="0.2">
      <c r="A312" s="545"/>
      <c r="B312" s="545"/>
      <c r="C312" s="545"/>
      <c r="D312" s="545"/>
      <c r="E312" s="545"/>
      <c r="F312" s="545"/>
    </row>
    <row r="313" spans="1:6" s="547" customFormat="1" x14ac:dyDescent="0.2">
      <c r="A313" s="545"/>
      <c r="B313" s="545"/>
      <c r="C313" s="545"/>
      <c r="D313" s="545"/>
      <c r="E313" s="545"/>
      <c r="F313" s="545"/>
    </row>
    <row r="314" spans="1:6" s="547" customFormat="1" x14ac:dyDescent="0.2">
      <c r="A314" s="545"/>
      <c r="B314" s="545"/>
      <c r="C314" s="545"/>
      <c r="D314" s="545"/>
      <c r="E314" s="545"/>
      <c r="F314" s="545"/>
    </row>
    <row r="315" spans="1:6" s="547" customFormat="1" x14ac:dyDescent="0.2">
      <c r="A315" s="545"/>
      <c r="B315" s="545"/>
      <c r="C315" s="545"/>
      <c r="D315" s="545"/>
      <c r="E315" s="545"/>
      <c r="F315" s="545"/>
    </row>
    <row r="316" spans="1:6" s="547" customFormat="1" x14ac:dyDescent="0.2">
      <c r="A316" s="545"/>
      <c r="B316" s="545"/>
      <c r="C316" s="545"/>
      <c r="D316" s="545"/>
      <c r="E316" s="545"/>
      <c r="F316" s="545"/>
    </row>
    <row r="317" spans="1:6" s="547" customFormat="1" x14ac:dyDescent="0.2">
      <c r="A317" s="545"/>
      <c r="B317" s="545"/>
      <c r="C317" s="545"/>
      <c r="D317" s="545"/>
      <c r="E317" s="545"/>
      <c r="F317" s="545"/>
    </row>
    <row r="318" spans="1:6" s="547" customFormat="1" x14ac:dyDescent="0.2">
      <c r="A318" s="545"/>
      <c r="B318" s="545"/>
      <c r="C318" s="545"/>
      <c r="D318" s="545"/>
      <c r="E318" s="545"/>
      <c r="F318" s="545"/>
    </row>
    <row r="319" spans="1:6" s="547" customFormat="1" x14ac:dyDescent="0.2">
      <c r="A319" s="545"/>
      <c r="B319" s="545"/>
      <c r="C319" s="545"/>
      <c r="D319" s="545"/>
      <c r="E319" s="545"/>
      <c r="F319" s="545"/>
    </row>
    <row r="320" spans="1:6" s="547" customFormat="1" x14ac:dyDescent="0.2">
      <c r="A320" s="545"/>
      <c r="B320" s="545"/>
      <c r="C320" s="545"/>
      <c r="D320" s="545"/>
      <c r="E320" s="545"/>
      <c r="F320" s="545"/>
    </row>
    <row r="321" spans="1:6" s="547" customFormat="1" x14ac:dyDescent="0.2">
      <c r="A321" s="545"/>
      <c r="B321" s="545"/>
      <c r="C321" s="545"/>
      <c r="D321" s="545"/>
      <c r="E321" s="545"/>
      <c r="F321" s="545"/>
    </row>
    <row r="322" spans="1:6" s="547" customFormat="1" x14ac:dyDescent="0.2">
      <c r="A322" s="545"/>
      <c r="B322" s="545"/>
      <c r="C322" s="545"/>
      <c r="D322" s="545"/>
      <c r="E322" s="545"/>
      <c r="F322" s="545"/>
    </row>
    <row r="323" spans="1:6" s="547" customFormat="1" x14ac:dyDescent="0.2">
      <c r="A323" s="545"/>
      <c r="B323" s="545"/>
      <c r="C323" s="545"/>
      <c r="D323" s="545"/>
      <c r="E323" s="545"/>
      <c r="F323" s="545"/>
    </row>
    <row r="324" spans="1:6" s="547" customFormat="1" x14ac:dyDescent="0.2">
      <c r="A324" s="545"/>
      <c r="B324" s="545"/>
      <c r="C324" s="545"/>
      <c r="D324" s="545"/>
      <c r="E324" s="545"/>
      <c r="F324" s="545"/>
    </row>
    <row r="325" spans="1:6" s="547" customFormat="1" x14ac:dyDescent="0.2">
      <c r="A325" s="545"/>
      <c r="B325" s="545"/>
      <c r="C325" s="545"/>
      <c r="D325" s="545"/>
      <c r="E325" s="545"/>
      <c r="F325" s="545"/>
    </row>
    <row r="326" spans="1:6" s="547" customFormat="1" x14ac:dyDescent="0.2">
      <c r="A326" s="545"/>
      <c r="B326" s="545"/>
      <c r="C326" s="545"/>
      <c r="D326" s="545"/>
      <c r="E326" s="545"/>
      <c r="F326" s="545"/>
    </row>
    <row r="327" spans="1:6" s="547" customFormat="1" x14ac:dyDescent="0.2">
      <c r="A327" s="545"/>
      <c r="B327" s="545"/>
      <c r="C327" s="545"/>
      <c r="D327" s="545"/>
      <c r="E327" s="545"/>
      <c r="F327" s="545"/>
    </row>
    <row r="328" spans="1:6" s="547" customFormat="1" x14ac:dyDescent="0.2">
      <c r="A328" s="545"/>
      <c r="B328" s="545"/>
      <c r="C328" s="545"/>
      <c r="D328" s="545"/>
      <c r="E328" s="545"/>
      <c r="F328" s="545"/>
    </row>
    <row r="329" spans="1:6" s="547" customFormat="1" x14ac:dyDescent="0.2">
      <c r="A329" s="545"/>
      <c r="B329" s="545"/>
      <c r="C329" s="545"/>
      <c r="D329" s="545"/>
      <c r="E329" s="545"/>
      <c r="F329" s="545"/>
    </row>
    <row r="330" spans="1:6" s="547" customFormat="1" x14ac:dyDescent="0.2">
      <c r="A330" s="545"/>
      <c r="B330" s="545"/>
      <c r="C330" s="545"/>
      <c r="D330" s="545"/>
      <c r="E330" s="545"/>
      <c r="F330" s="545"/>
    </row>
    <row r="331" spans="1:6" s="547" customFormat="1" x14ac:dyDescent="0.2">
      <c r="A331" s="545"/>
      <c r="B331" s="545"/>
      <c r="C331" s="545"/>
      <c r="D331" s="545"/>
      <c r="E331" s="545"/>
      <c r="F331" s="545"/>
    </row>
    <row r="332" spans="1:6" s="547" customFormat="1" x14ac:dyDescent="0.2">
      <c r="A332" s="545"/>
      <c r="B332" s="545"/>
      <c r="C332" s="545"/>
      <c r="D332" s="545"/>
      <c r="E332" s="545"/>
      <c r="F332" s="545"/>
    </row>
    <row r="333" spans="1:6" s="547" customFormat="1" x14ac:dyDescent="0.2">
      <c r="A333" s="545"/>
      <c r="B333" s="545"/>
      <c r="C333" s="545"/>
      <c r="D333" s="545"/>
      <c r="E333" s="545"/>
      <c r="F333" s="545"/>
    </row>
    <row r="334" spans="1:6" s="547" customFormat="1" x14ac:dyDescent="0.2">
      <c r="A334" s="545"/>
      <c r="B334" s="545"/>
      <c r="C334" s="545"/>
      <c r="D334" s="545"/>
      <c r="E334" s="545"/>
      <c r="F334" s="545"/>
    </row>
    <row r="335" spans="1:6" s="547" customFormat="1" x14ac:dyDescent="0.2">
      <c r="A335" s="545"/>
      <c r="B335" s="545"/>
      <c r="C335" s="545"/>
      <c r="D335" s="545"/>
      <c r="E335" s="545"/>
      <c r="F335" s="545"/>
    </row>
    <row r="336" spans="1:6" s="547" customFormat="1" x14ac:dyDescent="0.2">
      <c r="A336" s="545"/>
      <c r="B336" s="545"/>
      <c r="C336" s="545"/>
      <c r="D336" s="545"/>
      <c r="E336" s="545"/>
      <c r="F336" s="545"/>
    </row>
    <row r="337" spans="1:6" s="547" customFormat="1" x14ac:dyDescent="0.2">
      <c r="A337" s="545"/>
      <c r="B337" s="545"/>
      <c r="C337" s="545"/>
      <c r="D337" s="545"/>
      <c r="E337" s="545"/>
      <c r="F337" s="545"/>
    </row>
    <row r="338" spans="1:6" s="547" customFormat="1" x14ac:dyDescent="0.2">
      <c r="A338" s="545"/>
      <c r="B338" s="545"/>
      <c r="C338" s="545"/>
      <c r="D338" s="545"/>
      <c r="E338" s="545"/>
      <c r="F338" s="545"/>
    </row>
    <row r="339" spans="1:6" s="547" customFormat="1" x14ac:dyDescent="0.2">
      <c r="A339" s="545"/>
      <c r="B339" s="545"/>
      <c r="C339" s="545"/>
      <c r="D339" s="545"/>
      <c r="E339" s="545"/>
      <c r="F339" s="545"/>
    </row>
    <row r="340" spans="1:6" s="547" customFormat="1" x14ac:dyDescent="0.2">
      <c r="A340" s="545"/>
      <c r="B340" s="545"/>
      <c r="C340" s="545"/>
      <c r="D340" s="545"/>
      <c r="E340" s="545"/>
      <c r="F340" s="545"/>
    </row>
    <row r="341" spans="1:6" s="547" customFormat="1" x14ac:dyDescent="0.2">
      <c r="A341" s="545"/>
      <c r="B341" s="545"/>
      <c r="C341" s="545"/>
      <c r="D341" s="545"/>
      <c r="E341" s="545"/>
      <c r="F341" s="545"/>
    </row>
    <row r="342" spans="1:6" s="547" customFormat="1" x14ac:dyDescent="0.2">
      <c r="A342" s="545"/>
      <c r="B342" s="545"/>
      <c r="C342" s="545"/>
      <c r="D342" s="545"/>
      <c r="E342" s="545"/>
      <c r="F342" s="545"/>
    </row>
    <row r="343" spans="1:6" s="547" customFormat="1" x14ac:dyDescent="0.2">
      <c r="A343" s="545"/>
      <c r="B343" s="545"/>
      <c r="C343" s="545"/>
      <c r="D343" s="545"/>
      <c r="E343" s="545"/>
      <c r="F343" s="545"/>
    </row>
    <row r="344" spans="1:6" s="547" customFormat="1" x14ac:dyDescent="0.2">
      <c r="A344" s="545"/>
      <c r="B344" s="545"/>
      <c r="C344" s="545"/>
      <c r="D344" s="545"/>
      <c r="E344" s="545"/>
      <c r="F344" s="545"/>
    </row>
    <row r="345" spans="1:6" s="547" customFormat="1" x14ac:dyDescent="0.2">
      <c r="A345" s="545"/>
      <c r="B345" s="545"/>
      <c r="C345" s="545"/>
      <c r="D345" s="545"/>
      <c r="E345" s="545"/>
      <c r="F345" s="545"/>
    </row>
    <row r="346" spans="1:6" s="547" customFormat="1" x14ac:dyDescent="0.2">
      <c r="A346" s="545"/>
      <c r="B346" s="545"/>
      <c r="C346" s="545"/>
      <c r="D346" s="545"/>
      <c r="E346" s="545"/>
      <c r="F346" s="545"/>
    </row>
    <row r="347" spans="1:6" s="547" customFormat="1" x14ac:dyDescent="0.2">
      <c r="A347" s="545"/>
      <c r="B347" s="545"/>
      <c r="C347" s="545"/>
      <c r="D347" s="545"/>
      <c r="E347" s="545"/>
      <c r="F347" s="545"/>
    </row>
    <row r="348" spans="1:6" s="547" customFormat="1" x14ac:dyDescent="0.2">
      <c r="A348" s="545"/>
      <c r="B348" s="545"/>
      <c r="C348" s="545"/>
      <c r="D348" s="545"/>
      <c r="E348" s="545"/>
      <c r="F348" s="545"/>
    </row>
    <row r="349" spans="1:6" s="547" customFormat="1" x14ac:dyDescent="0.2">
      <c r="A349" s="545"/>
      <c r="B349" s="545"/>
      <c r="C349" s="545"/>
      <c r="D349" s="545"/>
      <c r="E349" s="545"/>
      <c r="F349" s="545"/>
    </row>
    <row r="350" spans="1:6" s="547" customFormat="1" x14ac:dyDescent="0.2">
      <c r="A350" s="545"/>
      <c r="B350" s="545"/>
      <c r="C350" s="545"/>
      <c r="D350" s="545"/>
      <c r="E350" s="545"/>
      <c r="F350" s="545"/>
    </row>
    <row r="351" spans="1:6" s="547" customFormat="1" x14ac:dyDescent="0.2">
      <c r="A351" s="545"/>
      <c r="B351" s="545"/>
      <c r="C351" s="545"/>
      <c r="D351" s="545"/>
      <c r="E351" s="545"/>
      <c r="F351" s="545"/>
    </row>
    <row r="352" spans="1:6" s="547" customFormat="1" x14ac:dyDescent="0.2">
      <c r="A352" s="545"/>
      <c r="B352" s="545"/>
      <c r="C352" s="545"/>
      <c r="D352" s="545"/>
      <c r="E352" s="545"/>
      <c r="F352" s="545"/>
    </row>
    <row r="353" spans="1:6" s="547" customFormat="1" x14ac:dyDescent="0.2">
      <c r="A353" s="545"/>
      <c r="B353" s="545"/>
      <c r="C353" s="545"/>
      <c r="D353" s="545"/>
      <c r="E353" s="545"/>
      <c r="F353" s="545"/>
    </row>
    <row r="354" spans="1:6" s="547" customFormat="1" x14ac:dyDescent="0.2">
      <c r="A354" s="545"/>
      <c r="B354" s="545"/>
      <c r="C354" s="545"/>
      <c r="D354" s="545"/>
      <c r="E354" s="545"/>
      <c r="F354" s="545"/>
    </row>
    <row r="355" spans="1:6" s="547" customFormat="1" x14ac:dyDescent="0.2">
      <c r="A355" s="545"/>
      <c r="B355" s="545"/>
      <c r="C355" s="545"/>
      <c r="D355" s="545"/>
      <c r="E355" s="545"/>
      <c r="F355" s="545"/>
    </row>
    <row r="356" spans="1:6" s="547" customFormat="1" x14ac:dyDescent="0.2">
      <c r="A356" s="545"/>
      <c r="B356" s="545"/>
      <c r="C356" s="545"/>
      <c r="D356" s="545"/>
      <c r="E356" s="545"/>
      <c r="F356" s="545"/>
    </row>
    <row r="357" spans="1:6" s="547" customFormat="1" x14ac:dyDescent="0.2">
      <c r="A357" s="545"/>
      <c r="B357" s="545"/>
      <c r="C357" s="545"/>
      <c r="D357" s="545"/>
      <c r="E357" s="545"/>
      <c r="F357" s="545"/>
    </row>
    <row r="358" spans="1:6" s="547" customFormat="1" x14ac:dyDescent="0.2">
      <c r="A358" s="545"/>
      <c r="B358" s="545"/>
      <c r="C358" s="545"/>
      <c r="D358" s="545"/>
      <c r="E358" s="545"/>
      <c r="F358" s="545"/>
    </row>
    <row r="359" spans="1:6" s="547" customFormat="1" x14ac:dyDescent="0.2">
      <c r="A359" s="545"/>
      <c r="B359" s="545"/>
      <c r="C359" s="545"/>
      <c r="D359" s="545"/>
      <c r="E359" s="545"/>
      <c r="F359" s="545"/>
    </row>
    <row r="360" spans="1:6" s="547" customFormat="1" x14ac:dyDescent="0.2">
      <c r="A360" s="545"/>
      <c r="B360" s="545"/>
      <c r="C360" s="545"/>
      <c r="D360" s="545"/>
      <c r="E360" s="545"/>
      <c r="F360" s="545"/>
    </row>
    <row r="361" spans="1:6" s="547" customFormat="1" x14ac:dyDescent="0.2">
      <c r="A361" s="545"/>
      <c r="B361" s="545"/>
      <c r="C361" s="545"/>
      <c r="D361" s="545"/>
      <c r="E361" s="545"/>
      <c r="F361" s="545"/>
    </row>
    <row r="362" spans="1:6" s="547" customFormat="1" x14ac:dyDescent="0.2">
      <c r="A362" s="545"/>
      <c r="B362" s="545"/>
      <c r="C362" s="545"/>
      <c r="D362" s="545"/>
      <c r="E362" s="545"/>
      <c r="F362" s="545"/>
    </row>
    <row r="363" spans="1:6" s="547" customFormat="1" x14ac:dyDescent="0.2">
      <c r="A363" s="545"/>
      <c r="B363" s="545"/>
      <c r="C363" s="545"/>
      <c r="D363" s="545"/>
      <c r="E363" s="545"/>
      <c r="F363" s="545"/>
    </row>
    <row r="364" spans="1:6" s="547" customFormat="1" x14ac:dyDescent="0.2">
      <c r="A364" s="545"/>
      <c r="B364" s="545"/>
      <c r="C364" s="545"/>
      <c r="D364" s="545"/>
      <c r="E364" s="545"/>
      <c r="F364" s="545"/>
    </row>
    <row r="365" spans="1:6" s="547" customFormat="1" x14ac:dyDescent="0.2">
      <c r="A365" s="545"/>
      <c r="B365" s="545"/>
      <c r="C365" s="545"/>
      <c r="D365" s="545"/>
      <c r="E365" s="545"/>
      <c r="F365" s="545"/>
    </row>
    <row r="366" spans="1:6" s="547" customFormat="1" x14ac:dyDescent="0.2">
      <c r="A366" s="545"/>
      <c r="B366" s="545"/>
      <c r="C366" s="545"/>
      <c r="D366" s="545"/>
      <c r="E366" s="545"/>
      <c r="F366" s="545"/>
    </row>
    <row r="367" spans="1:6" s="547" customFormat="1" x14ac:dyDescent="0.2">
      <c r="A367" s="545"/>
      <c r="B367" s="545"/>
      <c r="C367" s="545"/>
      <c r="D367" s="545"/>
      <c r="E367" s="545"/>
      <c r="F367" s="545"/>
    </row>
    <row r="368" spans="1:6" s="547" customFormat="1" x14ac:dyDescent="0.2">
      <c r="A368" s="545"/>
      <c r="B368" s="545"/>
      <c r="C368" s="545"/>
      <c r="D368" s="545"/>
      <c r="E368" s="545"/>
      <c r="F368" s="545"/>
    </row>
    <row r="369" spans="1:6" s="547" customFormat="1" x14ac:dyDescent="0.2">
      <c r="A369" s="545"/>
      <c r="B369" s="545"/>
      <c r="C369" s="545"/>
      <c r="D369" s="545"/>
      <c r="E369" s="545"/>
      <c r="F369" s="545"/>
    </row>
    <row r="370" spans="1:6" s="547" customFormat="1" x14ac:dyDescent="0.2">
      <c r="A370" s="545"/>
      <c r="B370" s="545"/>
      <c r="C370" s="545"/>
      <c r="D370" s="545"/>
      <c r="E370" s="545"/>
      <c r="F370" s="545"/>
    </row>
    <row r="371" spans="1:6" s="547" customFormat="1" x14ac:dyDescent="0.2">
      <c r="A371" s="545"/>
      <c r="B371" s="545"/>
      <c r="C371" s="545"/>
      <c r="D371" s="545"/>
      <c r="E371" s="545"/>
      <c r="F371" s="545"/>
    </row>
    <row r="372" spans="1:6" s="547" customFormat="1" x14ac:dyDescent="0.2">
      <c r="A372" s="545"/>
      <c r="B372" s="545"/>
      <c r="C372" s="545"/>
      <c r="D372" s="545"/>
      <c r="E372" s="545"/>
      <c r="F372" s="545"/>
    </row>
    <row r="373" spans="1:6" s="547" customFormat="1" x14ac:dyDescent="0.2">
      <c r="A373" s="545"/>
      <c r="B373" s="545"/>
      <c r="C373" s="545"/>
      <c r="D373" s="545"/>
      <c r="E373" s="545"/>
      <c r="F373" s="545"/>
    </row>
    <row r="374" spans="1:6" s="547" customFormat="1" x14ac:dyDescent="0.2">
      <c r="A374" s="545"/>
      <c r="B374" s="545"/>
      <c r="C374" s="545"/>
      <c r="D374" s="545"/>
      <c r="E374" s="545"/>
      <c r="F374" s="545"/>
    </row>
    <row r="375" spans="1:6" s="547" customFormat="1" x14ac:dyDescent="0.2">
      <c r="A375" s="545"/>
      <c r="B375" s="545"/>
      <c r="C375" s="545"/>
      <c r="D375" s="545"/>
      <c r="E375" s="545"/>
      <c r="F375" s="545"/>
    </row>
    <row r="376" spans="1:6" s="547" customFormat="1" x14ac:dyDescent="0.2">
      <c r="A376" s="545"/>
      <c r="B376" s="545"/>
      <c r="C376" s="545"/>
      <c r="D376" s="545"/>
      <c r="E376" s="545"/>
      <c r="F376" s="545"/>
    </row>
    <row r="377" spans="1:6" s="547" customFormat="1" x14ac:dyDescent="0.2">
      <c r="A377" s="545"/>
      <c r="B377" s="545"/>
      <c r="C377" s="545"/>
      <c r="D377" s="545"/>
      <c r="E377" s="545"/>
      <c r="F377" s="545"/>
    </row>
    <row r="378" spans="1:6" s="547" customFormat="1" x14ac:dyDescent="0.2">
      <c r="A378" s="545"/>
      <c r="B378" s="545"/>
      <c r="C378" s="545"/>
      <c r="D378" s="545"/>
      <c r="E378" s="545"/>
      <c r="F378" s="545"/>
    </row>
    <row r="379" spans="1:6" s="547" customFormat="1" x14ac:dyDescent="0.2">
      <c r="A379" s="545"/>
      <c r="B379" s="545"/>
      <c r="C379" s="545"/>
      <c r="D379" s="545"/>
      <c r="E379" s="545"/>
      <c r="F379" s="545"/>
    </row>
    <row r="380" spans="1:6" s="547" customFormat="1" x14ac:dyDescent="0.2">
      <c r="A380" s="545"/>
      <c r="B380" s="545"/>
      <c r="C380" s="545"/>
      <c r="D380" s="545"/>
      <c r="E380" s="545"/>
      <c r="F380" s="545"/>
    </row>
    <row r="381" spans="1:6" s="547" customFormat="1" x14ac:dyDescent="0.2">
      <c r="A381" s="545"/>
      <c r="B381" s="545"/>
      <c r="C381" s="545"/>
      <c r="D381" s="545"/>
      <c r="E381" s="545"/>
      <c r="F381" s="545"/>
    </row>
    <row r="382" spans="1:6" s="547" customFormat="1" x14ac:dyDescent="0.2">
      <c r="A382" s="545"/>
      <c r="B382" s="545"/>
      <c r="C382" s="545"/>
      <c r="D382" s="545"/>
      <c r="E382" s="545"/>
      <c r="F382" s="545"/>
    </row>
    <row r="383" spans="1:6" s="547" customFormat="1" x14ac:dyDescent="0.2">
      <c r="A383" s="545"/>
      <c r="B383" s="545"/>
      <c r="C383" s="545"/>
      <c r="D383" s="545"/>
      <c r="E383" s="545"/>
      <c r="F383" s="545"/>
    </row>
    <row r="384" spans="1:6" s="547" customFormat="1" x14ac:dyDescent="0.2">
      <c r="A384" s="545"/>
      <c r="B384" s="545"/>
      <c r="C384" s="545"/>
      <c r="D384" s="545"/>
      <c r="E384" s="545"/>
      <c r="F384" s="545"/>
    </row>
    <row r="385" spans="1:6" s="547" customFormat="1" x14ac:dyDescent="0.2">
      <c r="A385" s="545"/>
      <c r="B385" s="545"/>
      <c r="C385" s="545"/>
      <c r="D385" s="545"/>
      <c r="E385" s="545"/>
      <c r="F385" s="545"/>
    </row>
    <row r="386" spans="1:6" s="547" customFormat="1" x14ac:dyDescent="0.2">
      <c r="A386" s="545"/>
      <c r="B386" s="545"/>
      <c r="C386" s="545"/>
      <c r="D386" s="545"/>
      <c r="E386" s="545"/>
      <c r="F386" s="545"/>
    </row>
    <row r="387" spans="1:6" s="547" customFormat="1" x14ac:dyDescent="0.2">
      <c r="A387" s="545"/>
      <c r="B387" s="545"/>
      <c r="C387" s="545"/>
      <c r="D387" s="545"/>
      <c r="E387" s="545"/>
      <c r="F387" s="545"/>
    </row>
    <row r="388" spans="1:6" s="547" customFormat="1" x14ac:dyDescent="0.2">
      <c r="A388" s="545"/>
      <c r="B388" s="545"/>
      <c r="C388" s="545"/>
      <c r="D388" s="545"/>
      <c r="E388" s="545"/>
      <c r="F388" s="545"/>
    </row>
    <row r="389" spans="1:6" s="547" customFormat="1" x14ac:dyDescent="0.2">
      <c r="A389" s="545"/>
      <c r="B389" s="545"/>
      <c r="C389" s="545"/>
      <c r="D389" s="545"/>
      <c r="E389" s="545"/>
      <c r="F389" s="545"/>
    </row>
    <row r="390" spans="1:6" s="547" customFormat="1" x14ac:dyDescent="0.2">
      <c r="A390" s="545"/>
      <c r="B390" s="545"/>
      <c r="C390" s="545"/>
      <c r="D390" s="545"/>
      <c r="E390" s="545"/>
      <c r="F390" s="545"/>
    </row>
    <row r="391" spans="1:6" s="547" customFormat="1" x14ac:dyDescent="0.2">
      <c r="A391" s="545"/>
      <c r="B391" s="545"/>
      <c r="C391" s="545"/>
      <c r="D391" s="545"/>
      <c r="E391" s="545"/>
      <c r="F391" s="545"/>
    </row>
    <row r="392" spans="1:6" s="547" customFormat="1" x14ac:dyDescent="0.2">
      <c r="A392" s="545"/>
      <c r="B392" s="545"/>
      <c r="C392" s="545"/>
      <c r="D392" s="545"/>
      <c r="E392" s="545"/>
      <c r="F392" s="545"/>
    </row>
    <row r="393" spans="1:6" s="547" customFormat="1" x14ac:dyDescent="0.2">
      <c r="A393" s="545"/>
      <c r="B393" s="545"/>
      <c r="C393" s="545"/>
      <c r="D393" s="545"/>
      <c r="E393" s="545"/>
      <c r="F393" s="545"/>
    </row>
    <row r="394" spans="1:6" s="547" customFormat="1" x14ac:dyDescent="0.2">
      <c r="A394" s="545"/>
      <c r="B394" s="545"/>
      <c r="C394" s="545"/>
      <c r="D394" s="545"/>
      <c r="E394" s="545"/>
      <c r="F394" s="545"/>
    </row>
    <row r="395" spans="1:6" s="547" customFormat="1" x14ac:dyDescent="0.2">
      <c r="A395" s="545"/>
      <c r="B395" s="545"/>
      <c r="C395" s="545"/>
      <c r="D395" s="545"/>
      <c r="E395" s="545"/>
      <c r="F395" s="545"/>
    </row>
    <row r="396" spans="1:6" s="547" customFormat="1" x14ac:dyDescent="0.2">
      <c r="A396" s="545"/>
      <c r="B396" s="545"/>
      <c r="C396" s="545"/>
      <c r="D396" s="545"/>
      <c r="E396" s="545"/>
      <c r="F396" s="545"/>
    </row>
    <row r="397" spans="1:6" s="547" customFormat="1" x14ac:dyDescent="0.2">
      <c r="A397" s="545"/>
      <c r="B397" s="545"/>
      <c r="C397" s="545"/>
      <c r="D397" s="545"/>
      <c r="E397" s="545"/>
      <c r="F397" s="545"/>
    </row>
    <row r="398" spans="1:6" s="547" customFormat="1" x14ac:dyDescent="0.2">
      <c r="A398" s="545"/>
      <c r="B398" s="545"/>
      <c r="C398" s="545"/>
      <c r="D398" s="545"/>
      <c r="E398" s="545"/>
      <c r="F398" s="545"/>
    </row>
    <row r="399" spans="1:6" s="547" customFormat="1" x14ac:dyDescent="0.2">
      <c r="A399" s="545"/>
      <c r="B399" s="545"/>
      <c r="C399" s="545"/>
      <c r="D399" s="545"/>
      <c r="E399" s="545"/>
      <c r="F399" s="545"/>
    </row>
    <row r="400" spans="1:6" s="547" customFormat="1" x14ac:dyDescent="0.2">
      <c r="A400" s="545"/>
      <c r="B400" s="545"/>
      <c r="C400" s="545"/>
      <c r="D400" s="545"/>
      <c r="E400" s="545"/>
      <c r="F400" s="545"/>
    </row>
    <row r="401" spans="1:6" s="547" customFormat="1" x14ac:dyDescent="0.2">
      <c r="A401" s="545"/>
      <c r="B401" s="545"/>
      <c r="C401" s="545"/>
      <c r="D401" s="545"/>
      <c r="E401" s="545"/>
      <c r="F401" s="545"/>
    </row>
    <row r="402" spans="1:6" s="547" customFormat="1" x14ac:dyDescent="0.2">
      <c r="A402" s="545"/>
      <c r="B402" s="545"/>
      <c r="C402" s="545"/>
      <c r="D402" s="545"/>
      <c r="E402" s="545"/>
      <c r="F402" s="545"/>
    </row>
    <row r="403" spans="1:6" s="547" customFormat="1" x14ac:dyDescent="0.2">
      <c r="A403" s="545"/>
      <c r="B403" s="545"/>
      <c r="C403" s="545"/>
      <c r="D403" s="545"/>
      <c r="E403" s="545"/>
      <c r="F403" s="545"/>
    </row>
    <row r="404" spans="1:6" s="547" customFormat="1" x14ac:dyDescent="0.2">
      <c r="A404" s="545"/>
      <c r="B404" s="545"/>
      <c r="C404" s="545"/>
      <c r="D404" s="545"/>
      <c r="E404" s="545"/>
      <c r="F404" s="545"/>
    </row>
    <row r="405" spans="1:6" s="547" customFormat="1" x14ac:dyDescent="0.2">
      <c r="A405" s="545"/>
      <c r="B405" s="545"/>
      <c r="C405" s="545"/>
      <c r="D405" s="545"/>
      <c r="E405" s="545"/>
      <c r="F405" s="545"/>
    </row>
    <row r="406" spans="1:6" s="547" customFormat="1" x14ac:dyDescent="0.2">
      <c r="A406" s="545"/>
      <c r="B406" s="545"/>
      <c r="C406" s="545"/>
      <c r="D406" s="545"/>
      <c r="E406" s="545"/>
      <c r="F406" s="545"/>
    </row>
    <row r="407" spans="1:6" s="547" customFormat="1" x14ac:dyDescent="0.2">
      <c r="A407" s="545"/>
      <c r="B407" s="545"/>
      <c r="C407" s="545"/>
      <c r="D407" s="545"/>
      <c r="E407" s="545"/>
      <c r="F407" s="545"/>
    </row>
    <row r="408" spans="1:6" s="547" customFormat="1" x14ac:dyDescent="0.2">
      <c r="A408" s="545"/>
      <c r="B408" s="545"/>
      <c r="C408" s="545"/>
      <c r="D408" s="545"/>
      <c r="E408" s="545"/>
      <c r="F408" s="545"/>
    </row>
    <row r="409" spans="1:6" s="547" customFormat="1" x14ac:dyDescent="0.2">
      <c r="A409" s="545"/>
      <c r="B409" s="545"/>
      <c r="C409" s="545"/>
      <c r="D409" s="545"/>
      <c r="E409" s="545"/>
      <c r="F409" s="545"/>
    </row>
    <row r="410" spans="1:6" s="547" customFormat="1" x14ac:dyDescent="0.2">
      <c r="A410" s="545"/>
      <c r="B410" s="545"/>
      <c r="C410" s="545"/>
      <c r="D410" s="545"/>
      <c r="E410" s="545"/>
      <c r="F410" s="545"/>
    </row>
    <row r="411" spans="1:6" s="547" customFormat="1" x14ac:dyDescent="0.2">
      <c r="A411" s="545"/>
      <c r="B411" s="545"/>
      <c r="C411" s="545"/>
      <c r="D411" s="545"/>
      <c r="E411" s="545"/>
      <c r="F411" s="545"/>
    </row>
    <row r="412" spans="1:6" s="547" customFormat="1" x14ac:dyDescent="0.2">
      <c r="A412" s="545"/>
      <c r="B412" s="545"/>
      <c r="C412" s="545"/>
      <c r="D412" s="545"/>
      <c r="E412" s="545"/>
      <c r="F412" s="545"/>
    </row>
    <row r="413" spans="1:6" s="547" customFormat="1" x14ac:dyDescent="0.2">
      <c r="A413" s="545"/>
      <c r="B413" s="545"/>
      <c r="C413" s="545"/>
      <c r="D413" s="545"/>
      <c r="E413" s="545"/>
      <c r="F413" s="545"/>
    </row>
    <row r="414" spans="1:6" s="547" customFormat="1" x14ac:dyDescent="0.2">
      <c r="A414" s="545"/>
      <c r="B414" s="545"/>
      <c r="C414" s="545"/>
      <c r="D414" s="545"/>
      <c r="E414" s="545"/>
      <c r="F414" s="545"/>
    </row>
    <row r="415" spans="1:6" s="547" customFormat="1" x14ac:dyDescent="0.2">
      <c r="A415" s="545"/>
      <c r="B415" s="545"/>
      <c r="C415" s="545"/>
      <c r="D415" s="545"/>
      <c r="E415" s="545"/>
      <c r="F415" s="545"/>
    </row>
    <row r="416" spans="1:6" s="547" customFormat="1" x14ac:dyDescent="0.2">
      <c r="A416" s="545"/>
      <c r="B416" s="545"/>
      <c r="C416" s="545"/>
      <c r="D416" s="545"/>
      <c r="E416" s="545"/>
      <c r="F416" s="545"/>
    </row>
    <row r="417" spans="1:6" s="547" customFormat="1" x14ac:dyDescent="0.2">
      <c r="A417" s="545"/>
      <c r="B417" s="545"/>
      <c r="C417" s="545"/>
      <c r="D417" s="545"/>
      <c r="E417" s="545"/>
      <c r="F417" s="545"/>
    </row>
    <row r="418" spans="1:6" s="547" customFormat="1" x14ac:dyDescent="0.2">
      <c r="A418" s="545"/>
      <c r="B418" s="545"/>
      <c r="C418" s="545"/>
      <c r="D418" s="545"/>
      <c r="E418" s="545"/>
      <c r="F418" s="545"/>
    </row>
    <row r="419" spans="1:6" s="547" customFormat="1" x14ac:dyDescent="0.2">
      <c r="A419" s="545"/>
      <c r="B419" s="545"/>
      <c r="C419" s="545"/>
      <c r="D419" s="545"/>
      <c r="E419" s="545"/>
      <c r="F419" s="545"/>
    </row>
    <row r="420" spans="1:6" s="547" customFormat="1" x14ac:dyDescent="0.2">
      <c r="A420" s="545"/>
      <c r="B420" s="545"/>
      <c r="C420" s="545"/>
      <c r="D420" s="545"/>
      <c r="E420" s="545"/>
      <c r="F420" s="545"/>
    </row>
    <row r="421" spans="1:6" s="547" customFormat="1" x14ac:dyDescent="0.2">
      <c r="A421" s="545"/>
      <c r="B421" s="545"/>
      <c r="C421" s="545"/>
      <c r="D421" s="545"/>
      <c r="E421" s="545"/>
      <c r="F421" s="545"/>
    </row>
    <row r="422" spans="1:6" s="547" customFormat="1" x14ac:dyDescent="0.2">
      <c r="A422" s="545"/>
      <c r="B422" s="545"/>
      <c r="C422" s="545"/>
      <c r="D422" s="545"/>
      <c r="E422" s="545"/>
      <c r="F422" s="545"/>
    </row>
    <row r="423" spans="1:6" s="547" customFormat="1" x14ac:dyDescent="0.2">
      <c r="A423" s="545"/>
      <c r="B423" s="545"/>
      <c r="C423" s="545"/>
      <c r="D423" s="545"/>
      <c r="E423" s="545"/>
      <c r="F423" s="545"/>
    </row>
    <row r="424" spans="1:6" s="547" customFormat="1" x14ac:dyDescent="0.2">
      <c r="A424" s="545"/>
      <c r="B424" s="545"/>
      <c r="C424" s="545"/>
      <c r="D424" s="545"/>
      <c r="E424" s="545"/>
      <c r="F424" s="545"/>
    </row>
    <row r="425" spans="1:6" s="547" customFormat="1" x14ac:dyDescent="0.2">
      <c r="A425" s="545"/>
      <c r="B425" s="545"/>
      <c r="C425" s="545"/>
      <c r="D425" s="545"/>
      <c r="E425" s="545"/>
      <c r="F425" s="545"/>
    </row>
    <row r="426" spans="1:6" s="547" customFormat="1" x14ac:dyDescent="0.2">
      <c r="A426" s="545"/>
      <c r="B426" s="545"/>
      <c r="C426" s="545"/>
      <c r="D426" s="545"/>
      <c r="E426" s="545"/>
      <c r="F426" s="545"/>
    </row>
    <row r="427" spans="1:6" s="547" customFormat="1" x14ac:dyDescent="0.2">
      <c r="A427" s="545"/>
      <c r="B427" s="545"/>
      <c r="C427" s="545"/>
      <c r="D427" s="545"/>
      <c r="E427" s="545"/>
      <c r="F427" s="545"/>
    </row>
    <row r="428" spans="1:6" s="547" customFormat="1" x14ac:dyDescent="0.2">
      <c r="A428" s="545"/>
      <c r="B428" s="545"/>
      <c r="C428" s="545"/>
      <c r="D428" s="545"/>
      <c r="E428" s="545"/>
      <c r="F428" s="545"/>
    </row>
    <row r="429" spans="1:6" s="547" customFormat="1" x14ac:dyDescent="0.2">
      <c r="A429" s="545"/>
      <c r="B429" s="545"/>
      <c r="C429" s="545"/>
      <c r="D429" s="545"/>
      <c r="E429" s="545"/>
      <c r="F429" s="545"/>
    </row>
    <row r="430" spans="1:6" s="547" customFormat="1" x14ac:dyDescent="0.2">
      <c r="A430" s="545"/>
      <c r="B430" s="545"/>
      <c r="C430" s="545"/>
      <c r="D430" s="545"/>
      <c r="E430" s="545"/>
      <c r="F430" s="545"/>
    </row>
    <row r="431" spans="1:6" s="547" customFormat="1" x14ac:dyDescent="0.2">
      <c r="A431" s="545"/>
      <c r="B431" s="545"/>
      <c r="C431" s="545"/>
      <c r="D431" s="545"/>
      <c r="E431" s="545"/>
      <c r="F431" s="545"/>
    </row>
    <row r="432" spans="1:6" s="547" customFormat="1" x14ac:dyDescent="0.2">
      <c r="A432" s="545"/>
      <c r="B432" s="545"/>
      <c r="C432" s="545"/>
      <c r="D432" s="545"/>
      <c r="E432" s="545"/>
      <c r="F432" s="545"/>
    </row>
    <row r="433" spans="1:6" s="547" customFormat="1" x14ac:dyDescent="0.2">
      <c r="A433" s="545"/>
      <c r="B433" s="545"/>
      <c r="C433" s="545"/>
      <c r="D433" s="545"/>
      <c r="E433" s="545"/>
      <c r="F433" s="545"/>
    </row>
    <row r="434" spans="1:6" s="547" customFormat="1" x14ac:dyDescent="0.2">
      <c r="A434" s="545"/>
      <c r="B434" s="545"/>
      <c r="C434" s="545"/>
      <c r="D434" s="545"/>
      <c r="E434" s="545"/>
      <c r="F434" s="545"/>
    </row>
    <row r="435" spans="1:6" s="547" customFormat="1" x14ac:dyDescent="0.2">
      <c r="A435" s="545"/>
      <c r="B435" s="545"/>
      <c r="C435" s="545"/>
      <c r="D435" s="545"/>
      <c r="E435" s="545"/>
      <c r="F435" s="545"/>
    </row>
    <row r="436" spans="1:6" s="547" customFormat="1" x14ac:dyDescent="0.2">
      <c r="A436" s="545"/>
      <c r="B436" s="545"/>
      <c r="C436" s="545"/>
      <c r="D436" s="545"/>
      <c r="E436" s="545"/>
      <c r="F436" s="545"/>
    </row>
    <row r="437" spans="1:6" s="547" customFormat="1" x14ac:dyDescent="0.2">
      <c r="A437" s="545"/>
      <c r="B437" s="545"/>
      <c r="C437" s="545"/>
      <c r="D437" s="545"/>
      <c r="E437" s="545"/>
      <c r="F437" s="545"/>
    </row>
    <row r="438" spans="1:6" s="547" customFormat="1" x14ac:dyDescent="0.2">
      <c r="A438" s="545"/>
      <c r="B438" s="545"/>
      <c r="C438" s="545"/>
      <c r="D438" s="545"/>
      <c r="E438" s="545"/>
      <c r="F438" s="545"/>
    </row>
    <row r="439" spans="1:6" s="547" customFormat="1" x14ac:dyDescent="0.2">
      <c r="A439" s="545"/>
      <c r="B439" s="545"/>
      <c r="C439" s="545"/>
      <c r="D439" s="545"/>
      <c r="E439" s="545"/>
      <c r="F439" s="545"/>
    </row>
    <row r="440" spans="1:6" s="547" customFormat="1" x14ac:dyDescent="0.2">
      <c r="A440" s="545"/>
      <c r="B440" s="545"/>
      <c r="C440" s="545"/>
      <c r="D440" s="545"/>
      <c r="E440" s="545"/>
      <c r="F440" s="545"/>
    </row>
    <row r="441" spans="1:6" s="547" customFormat="1" x14ac:dyDescent="0.2">
      <c r="A441" s="545"/>
      <c r="B441" s="545"/>
      <c r="C441" s="545"/>
      <c r="D441" s="545"/>
      <c r="E441" s="545"/>
      <c r="F441" s="545"/>
    </row>
    <row r="442" spans="1:6" s="547" customFormat="1" x14ac:dyDescent="0.2">
      <c r="A442" s="545"/>
      <c r="B442" s="545"/>
      <c r="C442" s="545"/>
      <c r="D442" s="545"/>
      <c r="E442" s="545"/>
      <c r="F442" s="545"/>
    </row>
    <row r="443" spans="1:6" s="547" customFormat="1" x14ac:dyDescent="0.2">
      <c r="A443" s="545"/>
      <c r="B443" s="545"/>
      <c r="C443" s="545"/>
      <c r="D443" s="545"/>
      <c r="E443" s="545"/>
      <c r="F443" s="545"/>
    </row>
    <row r="444" spans="1:6" s="547" customFormat="1" x14ac:dyDescent="0.2">
      <c r="A444" s="545"/>
      <c r="B444" s="545"/>
      <c r="C444" s="545"/>
      <c r="D444" s="545"/>
      <c r="E444" s="545"/>
      <c r="F444" s="545"/>
    </row>
    <row r="445" spans="1:6" s="547" customFormat="1" x14ac:dyDescent="0.2">
      <c r="A445" s="545"/>
      <c r="B445" s="545"/>
      <c r="C445" s="545"/>
      <c r="D445" s="545"/>
      <c r="E445" s="545"/>
      <c r="F445" s="545"/>
    </row>
    <row r="446" spans="1:6" s="547" customFormat="1" x14ac:dyDescent="0.2">
      <c r="A446" s="545"/>
      <c r="B446" s="545"/>
      <c r="C446" s="545"/>
      <c r="D446" s="545"/>
      <c r="E446" s="545"/>
      <c r="F446" s="545"/>
    </row>
    <row r="447" spans="1:6" s="547" customFormat="1" x14ac:dyDescent="0.2">
      <c r="A447" s="545"/>
      <c r="B447" s="545"/>
      <c r="C447" s="545"/>
      <c r="D447" s="545"/>
      <c r="E447" s="545"/>
      <c r="F447" s="545"/>
    </row>
    <row r="448" spans="1:6" s="547" customFormat="1" x14ac:dyDescent="0.2">
      <c r="A448" s="545"/>
      <c r="B448" s="545"/>
      <c r="C448" s="545"/>
      <c r="D448" s="545"/>
      <c r="E448" s="545"/>
      <c r="F448" s="545"/>
    </row>
    <row r="449" spans="1:6" s="547" customFormat="1" x14ac:dyDescent="0.2">
      <c r="A449" s="545"/>
      <c r="B449" s="545"/>
      <c r="C449" s="545"/>
      <c r="D449" s="545"/>
      <c r="E449" s="545"/>
      <c r="F449" s="545"/>
    </row>
    <row r="450" spans="1:6" s="547" customFormat="1" x14ac:dyDescent="0.2">
      <c r="A450" s="545"/>
      <c r="B450" s="545"/>
      <c r="C450" s="545"/>
      <c r="D450" s="545"/>
      <c r="E450" s="545"/>
      <c r="F450" s="545"/>
    </row>
    <row r="451" spans="1:6" s="547" customFormat="1" x14ac:dyDescent="0.2">
      <c r="A451" s="545"/>
      <c r="B451" s="545"/>
      <c r="C451" s="545"/>
      <c r="D451" s="545"/>
      <c r="E451" s="545"/>
      <c r="F451" s="545"/>
    </row>
    <row r="452" spans="1:6" s="547" customFormat="1" x14ac:dyDescent="0.2">
      <c r="A452" s="545"/>
      <c r="B452" s="545"/>
      <c r="C452" s="545"/>
      <c r="D452" s="545"/>
      <c r="E452" s="545"/>
      <c r="F452" s="545"/>
    </row>
    <row r="453" spans="1:6" s="547" customFormat="1" x14ac:dyDescent="0.2">
      <c r="A453" s="545"/>
      <c r="B453" s="545"/>
      <c r="C453" s="545"/>
      <c r="D453" s="545"/>
      <c r="E453" s="545"/>
      <c r="F453" s="545"/>
    </row>
    <row r="454" spans="1:6" s="547" customFormat="1" x14ac:dyDescent="0.2">
      <c r="A454" s="545"/>
      <c r="B454" s="545"/>
      <c r="C454" s="545"/>
      <c r="D454" s="545"/>
      <c r="E454" s="545"/>
      <c r="F454" s="545"/>
    </row>
    <row r="455" spans="1:6" s="547" customFormat="1" x14ac:dyDescent="0.2">
      <c r="A455" s="545"/>
      <c r="B455" s="545"/>
      <c r="C455" s="545"/>
      <c r="D455" s="545"/>
      <c r="E455" s="545"/>
      <c r="F455" s="545"/>
    </row>
    <row r="456" spans="1:6" s="547" customFormat="1" x14ac:dyDescent="0.2">
      <c r="A456" s="545"/>
      <c r="B456" s="545"/>
      <c r="C456" s="545"/>
      <c r="D456" s="545"/>
      <c r="E456" s="545"/>
      <c r="F456" s="545"/>
    </row>
    <row r="457" spans="1:6" s="547" customFormat="1" x14ac:dyDescent="0.2">
      <c r="A457" s="545"/>
      <c r="B457" s="545"/>
      <c r="C457" s="545"/>
      <c r="D457" s="545"/>
      <c r="E457" s="545"/>
      <c r="F457" s="545"/>
    </row>
    <row r="458" spans="1:6" s="547" customFormat="1" x14ac:dyDescent="0.2">
      <c r="A458" s="545"/>
      <c r="B458" s="545"/>
      <c r="C458" s="545"/>
      <c r="D458" s="545"/>
      <c r="E458" s="545"/>
      <c r="F458" s="545"/>
    </row>
    <row r="459" spans="1:6" s="547" customFormat="1" x14ac:dyDescent="0.2">
      <c r="A459" s="545"/>
      <c r="B459" s="545"/>
      <c r="C459" s="545"/>
      <c r="D459" s="545"/>
      <c r="E459" s="545"/>
      <c r="F459" s="545"/>
    </row>
    <row r="460" spans="1:6" s="547" customFormat="1" x14ac:dyDescent="0.2">
      <c r="A460" s="545"/>
      <c r="B460" s="545"/>
      <c r="C460" s="545"/>
      <c r="D460" s="545"/>
      <c r="E460" s="545"/>
      <c r="F460" s="545"/>
    </row>
    <row r="461" spans="1:6" s="547" customFormat="1" x14ac:dyDescent="0.2">
      <c r="A461" s="545"/>
      <c r="B461" s="545"/>
      <c r="C461" s="545"/>
      <c r="D461" s="545"/>
      <c r="E461" s="545"/>
      <c r="F461" s="545"/>
    </row>
    <row r="462" spans="1:6" s="547" customFormat="1" x14ac:dyDescent="0.2">
      <c r="A462" s="545"/>
      <c r="B462" s="545"/>
      <c r="C462" s="545"/>
      <c r="D462" s="545"/>
      <c r="E462" s="545"/>
      <c r="F462" s="545"/>
    </row>
    <row r="463" spans="1:6" s="547" customFormat="1" x14ac:dyDescent="0.2">
      <c r="A463" s="545"/>
      <c r="B463" s="545"/>
      <c r="C463" s="545"/>
      <c r="D463" s="545"/>
      <c r="E463" s="545"/>
      <c r="F463" s="545"/>
    </row>
    <row r="464" spans="1:6" s="547" customFormat="1" x14ac:dyDescent="0.2">
      <c r="A464" s="545"/>
      <c r="B464" s="545"/>
      <c r="C464" s="545"/>
      <c r="D464" s="545"/>
      <c r="E464" s="545"/>
      <c r="F464" s="545"/>
    </row>
    <row r="465" spans="1:6" s="547" customFormat="1" x14ac:dyDescent="0.2">
      <c r="A465" s="545"/>
      <c r="B465" s="545"/>
      <c r="C465" s="545"/>
      <c r="D465" s="545"/>
      <c r="E465" s="545"/>
      <c r="F465" s="545"/>
    </row>
    <row r="466" spans="1:6" s="547" customFormat="1" x14ac:dyDescent="0.2">
      <c r="A466" s="545"/>
      <c r="B466" s="545"/>
      <c r="C466" s="545"/>
      <c r="D466" s="545"/>
      <c r="E466" s="545"/>
      <c r="F466" s="545"/>
    </row>
    <row r="467" spans="1:6" s="547" customFormat="1" x14ac:dyDescent="0.2">
      <c r="A467" s="545"/>
      <c r="B467" s="545"/>
      <c r="C467" s="545"/>
      <c r="D467" s="545"/>
      <c r="E467" s="545"/>
      <c r="F467" s="545"/>
    </row>
    <row r="468" spans="1:6" s="547" customFormat="1" x14ac:dyDescent="0.2">
      <c r="A468" s="545"/>
      <c r="B468" s="545"/>
      <c r="C468" s="545"/>
      <c r="D468" s="545"/>
      <c r="E468" s="545"/>
      <c r="F468" s="545"/>
    </row>
    <row r="469" spans="1:6" s="547" customFormat="1" x14ac:dyDescent="0.2">
      <c r="A469" s="545"/>
      <c r="B469" s="545"/>
      <c r="C469" s="545"/>
      <c r="D469" s="545"/>
      <c r="E469" s="545"/>
      <c r="F469" s="545"/>
    </row>
    <row r="470" spans="1:6" s="547" customFormat="1" x14ac:dyDescent="0.2">
      <c r="A470" s="545"/>
      <c r="B470" s="545"/>
      <c r="C470" s="545"/>
      <c r="D470" s="545"/>
      <c r="E470" s="545"/>
      <c r="F470" s="545"/>
    </row>
    <row r="471" spans="1:6" s="547" customFormat="1" x14ac:dyDescent="0.2">
      <c r="A471" s="545"/>
      <c r="B471" s="545"/>
      <c r="C471" s="545"/>
      <c r="D471" s="545"/>
      <c r="E471" s="545"/>
      <c r="F471" s="545"/>
    </row>
    <row r="472" spans="1:6" s="547" customFormat="1" x14ac:dyDescent="0.2">
      <c r="A472" s="545"/>
      <c r="B472" s="545"/>
      <c r="C472" s="545"/>
      <c r="D472" s="545"/>
      <c r="E472" s="545"/>
      <c r="F472" s="545"/>
    </row>
    <row r="473" spans="1:6" s="547" customFormat="1" x14ac:dyDescent="0.2">
      <c r="A473" s="545"/>
      <c r="B473" s="545"/>
      <c r="C473" s="545"/>
      <c r="D473" s="545"/>
      <c r="E473" s="545"/>
      <c r="F473" s="545"/>
    </row>
    <row r="474" spans="1:6" s="547" customFormat="1" x14ac:dyDescent="0.2">
      <c r="A474" s="545"/>
      <c r="B474" s="545"/>
      <c r="C474" s="545"/>
      <c r="D474" s="545"/>
      <c r="E474" s="545"/>
      <c r="F474" s="545"/>
    </row>
    <row r="475" spans="1:6" s="547" customFormat="1" x14ac:dyDescent="0.2">
      <c r="A475" s="545"/>
      <c r="B475" s="545"/>
      <c r="C475" s="545"/>
      <c r="D475" s="545"/>
      <c r="E475" s="545"/>
      <c r="F475" s="545"/>
    </row>
    <row r="476" spans="1:6" s="547" customFormat="1" x14ac:dyDescent="0.2">
      <c r="A476" s="545"/>
      <c r="B476" s="545"/>
      <c r="C476" s="545"/>
      <c r="D476" s="545"/>
      <c r="E476" s="545"/>
      <c r="F476" s="545"/>
    </row>
    <row r="477" spans="1:6" s="547" customFormat="1" x14ac:dyDescent="0.2">
      <c r="A477" s="545"/>
      <c r="B477" s="545"/>
      <c r="C477" s="545"/>
      <c r="D477" s="545"/>
      <c r="E477" s="545"/>
      <c r="F477" s="545"/>
    </row>
    <row r="478" spans="1:6" s="547" customFormat="1" x14ac:dyDescent="0.2">
      <c r="A478" s="545"/>
      <c r="B478" s="545"/>
      <c r="C478" s="545"/>
      <c r="D478" s="545"/>
      <c r="E478" s="545"/>
      <c r="F478" s="545"/>
    </row>
    <row r="479" spans="1:6" s="547" customFormat="1" x14ac:dyDescent="0.2">
      <c r="A479" s="545"/>
      <c r="B479" s="545"/>
      <c r="C479" s="545"/>
      <c r="D479" s="545"/>
      <c r="E479" s="545"/>
      <c r="F479" s="545"/>
    </row>
    <row r="480" spans="1:6" s="547" customFormat="1" x14ac:dyDescent="0.2">
      <c r="A480" s="545"/>
      <c r="B480" s="545"/>
      <c r="C480" s="545"/>
      <c r="D480" s="545"/>
      <c r="E480" s="545"/>
      <c r="F480" s="545"/>
    </row>
    <row r="481" spans="1:6" s="547" customFormat="1" x14ac:dyDescent="0.2">
      <c r="A481" s="545"/>
      <c r="B481" s="545"/>
      <c r="C481" s="545"/>
      <c r="D481" s="545"/>
      <c r="E481" s="545"/>
      <c r="F481" s="545"/>
    </row>
    <row r="482" spans="1:6" s="547" customFormat="1" x14ac:dyDescent="0.2">
      <c r="A482" s="545"/>
      <c r="B482" s="545"/>
      <c r="C482" s="545"/>
      <c r="D482" s="545"/>
      <c r="E482" s="545"/>
      <c r="F482" s="545"/>
    </row>
    <row r="483" spans="1:6" s="547" customFormat="1" x14ac:dyDescent="0.2">
      <c r="A483" s="545"/>
      <c r="B483" s="545"/>
      <c r="C483" s="545"/>
      <c r="D483" s="545"/>
      <c r="E483" s="545"/>
      <c r="F483" s="545"/>
    </row>
    <row r="484" spans="1:6" s="547" customFormat="1" x14ac:dyDescent="0.2">
      <c r="A484" s="545"/>
      <c r="B484" s="545"/>
      <c r="C484" s="545"/>
      <c r="D484" s="545"/>
      <c r="E484" s="545"/>
      <c r="F484" s="545"/>
    </row>
    <row r="485" spans="1:6" s="547" customFormat="1" x14ac:dyDescent="0.2">
      <c r="A485" s="545"/>
      <c r="B485" s="545"/>
      <c r="C485" s="545"/>
      <c r="D485" s="545"/>
      <c r="E485" s="545"/>
      <c r="F485" s="545"/>
    </row>
    <row r="486" spans="1:6" s="547" customFormat="1" x14ac:dyDescent="0.2">
      <c r="A486" s="545"/>
      <c r="B486" s="545"/>
      <c r="C486" s="545"/>
      <c r="D486" s="545"/>
      <c r="E486" s="545"/>
      <c r="F486" s="545"/>
    </row>
    <row r="487" spans="1:6" s="547" customFormat="1" x14ac:dyDescent="0.2">
      <c r="A487" s="545"/>
      <c r="B487" s="545"/>
      <c r="C487" s="545"/>
      <c r="D487" s="545"/>
      <c r="E487" s="545"/>
      <c r="F487" s="545"/>
    </row>
    <row r="488" spans="1:6" s="547" customFormat="1" x14ac:dyDescent="0.2">
      <c r="A488" s="545"/>
      <c r="B488" s="545"/>
      <c r="C488" s="545"/>
      <c r="D488" s="545"/>
      <c r="E488" s="545"/>
      <c r="F488" s="545"/>
    </row>
    <row r="489" spans="1:6" s="547" customFormat="1" x14ac:dyDescent="0.2">
      <c r="A489" s="545"/>
      <c r="B489" s="545"/>
      <c r="C489" s="545"/>
      <c r="D489" s="545"/>
      <c r="E489" s="545"/>
      <c r="F489" s="545"/>
    </row>
    <row r="490" spans="1:6" s="547" customFormat="1" x14ac:dyDescent="0.2">
      <c r="A490" s="545"/>
      <c r="B490" s="545"/>
      <c r="C490" s="545"/>
      <c r="D490" s="545"/>
      <c r="E490" s="545"/>
      <c r="F490" s="545"/>
    </row>
    <row r="491" spans="1:6" s="547" customFormat="1" x14ac:dyDescent="0.2">
      <c r="A491" s="545"/>
      <c r="B491" s="545"/>
      <c r="C491" s="545"/>
      <c r="D491" s="545"/>
      <c r="E491" s="545"/>
      <c r="F491" s="545"/>
    </row>
    <row r="492" spans="1:6" s="547" customFormat="1" x14ac:dyDescent="0.2">
      <c r="A492" s="545"/>
      <c r="B492" s="545"/>
      <c r="C492" s="545"/>
      <c r="D492" s="545"/>
      <c r="E492" s="545"/>
      <c r="F492" s="545"/>
    </row>
    <row r="493" spans="1:6" s="547" customFormat="1" x14ac:dyDescent="0.2">
      <c r="A493" s="545"/>
      <c r="B493" s="545"/>
      <c r="C493" s="545"/>
      <c r="D493" s="545"/>
      <c r="E493" s="545"/>
      <c r="F493" s="545"/>
    </row>
    <row r="494" spans="1:6" s="547" customFormat="1" x14ac:dyDescent="0.2">
      <c r="A494" s="545"/>
      <c r="B494" s="545"/>
      <c r="C494" s="545"/>
      <c r="D494" s="545"/>
      <c r="E494" s="545"/>
      <c r="F494" s="545"/>
    </row>
    <row r="495" spans="1:6" s="547" customFormat="1" x14ac:dyDescent="0.2">
      <c r="A495" s="545"/>
      <c r="B495" s="545"/>
      <c r="C495" s="545"/>
      <c r="D495" s="545"/>
      <c r="E495" s="545"/>
      <c r="F495" s="545"/>
    </row>
    <row r="496" spans="1:6" s="547" customFormat="1" x14ac:dyDescent="0.2">
      <c r="A496" s="545"/>
      <c r="B496" s="545"/>
      <c r="C496" s="545"/>
      <c r="D496" s="545"/>
      <c r="E496" s="545"/>
      <c r="F496" s="545"/>
    </row>
    <row r="497" spans="1:6" s="547" customFormat="1" x14ac:dyDescent="0.2">
      <c r="A497" s="545"/>
      <c r="B497" s="545"/>
      <c r="C497" s="545"/>
      <c r="D497" s="545"/>
      <c r="E497" s="545"/>
      <c r="F497" s="545"/>
    </row>
    <row r="498" spans="1:6" s="547" customFormat="1" x14ac:dyDescent="0.2">
      <c r="A498" s="545"/>
      <c r="B498" s="545"/>
      <c r="C498" s="545"/>
      <c r="D498" s="545"/>
      <c r="E498" s="545"/>
      <c r="F498" s="545"/>
    </row>
    <row r="499" spans="1:6" s="547" customFormat="1" x14ac:dyDescent="0.2">
      <c r="A499" s="545"/>
      <c r="B499" s="545"/>
      <c r="C499" s="545"/>
      <c r="D499" s="545"/>
      <c r="E499" s="545"/>
      <c r="F499" s="545"/>
    </row>
    <row r="500" spans="1:6" s="547" customFormat="1" x14ac:dyDescent="0.2">
      <c r="A500" s="545"/>
      <c r="B500" s="545"/>
      <c r="C500" s="545"/>
      <c r="D500" s="545"/>
      <c r="E500" s="545"/>
      <c r="F500" s="545"/>
    </row>
    <row r="501" spans="1:6" s="547" customFormat="1" x14ac:dyDescent="0.2">
      <c r="A501" s="545"/>
      <c r="B501" s="545"/>
      <c r="C501" s="545"/>
      <c r="D501" s="545"/>
      <c r="E501" s="545"/>
      <c r="F501" s="545"/>
    </row>
    <row r="502" spans="1:6" s="547" customFormat="1" x14ac:dyDescent="0.2">
      <c r="A502" s="545"/>
      <c r="B502" s="545"/>
      <c r="C502" s="545"/>
      <c r="D502" s="545"/>
      <c r="E502" s="545"/>
      <c r="F502" s="545"/>
    </row>
    <row r="503" spans="1:6" s="547" customFormat="1" x14ac:dyDescent="0.2">
      <c r="A503" s="545"/>
      <c r="B503" s="545"/>
      <c r="C503" s="545"/>
      <c r="D503" s="545"/>
      <c r="E503" s="545"/>
      <c r="F503" s="545"/>
    </row>
    <row r="504" spans="1:6" s="547" customFormat="1" x14ac:dyDescent="0.2">
      <c r="A504" s="545"/>
      <c r="B504" s="545"/>
      <c r="C504" s="545"/>
      <c r="D504" s="545"/>
      <c r="E504" s="545"/>
      <c r="F504" s="545"/>
    </row>
    <row r="505" spans="1:6" s="547" customFormat="1" x14ac:dyDescent="0.2">
      <c r="A505" s="545"/>
      <c r="B505" s="545"/>
      <c r="C505" s="545"/>
      <c r="D505" s="545"/>
      <c r="E505" s="545"/>
      <c r="F505" s="545"/>
    </row>
    <row r="506" spans="1:6" s="547" customFormat="1" x14ac:dyDescent="0.2">
      <c r="A506" s="545"/>
      <c r="B506" s="545"/>
      <c r="C506" s="545"/>
      <c r="D506" s="545"/>
      <c r="E506" s="545"/>
      <c r="F506" s="545"/>
    </row>
    <row r="507" spans="1:6" s="547" customFormat="1" x14ac:dyDescent="0.2">
      <c r="A507" s="545"/>
      <c r="B507" s="545"/>
      <c r="C507" s="545"/>
      <c r="D507" s="545"/>
      <c r="E507" s="545"/>
      <c r="F507" s="545"/>
    </row>
    <row r="508" spans="1:6" s="547" customFormat="1" x14ac:dyDescent="0.2">
      <c r="A508" s="545"/>
      <c r="B508" s="545"/>
      <c r="C508" s="545"/>
      <c r="D508" s="545"/>
      <c r="E508" s="545"/>
      <c r="F508" s="545"/>
    </row>
    <row r="509" spans="1:6" s="547" customFormat="1" x14ac:dyDescent="0.2">
      <c r="A509" s="545"/>
      <c r="B509" s="545"/>
      <c r="C509" s="545"/>
      <c r="D509" s="545"/>
      <c r="E509" s="545"/>
      <c r="F509" s="545"/>
    </row>
    <row r="510" spans="1:6" s="547" customFormat="1" x14ac:dyDescent="0.2">
      <c r="A510" s="545"/>
      <c r="B510" s="545"/>
      <c r="C510" s="545"/>
      <c r="D510" s="545"/>
      <c r="E510" s="545"/>
      <c r="F510" s="545"/>
    </row>
    <row r="511" spans="1:6" s="547" customFormat="1" x14ac:dyDescent="0.2">
      <c r="A511" s="545"/>
      <c r="B511" s="545"/>
      <c r="C511" s="545"/>
      <c r="D511" s="545"/>
      <c r="E511" s="545"/>
      <c r="F511" s="545"/>
    </row>
    <row r="512" spans="1:6" s="547" customFormat="1" x14ac:dyDescent="0.2">
      <c r="A512" s="545"/>
      <c r="B512" s="545"/>
      <c r="C512" s="545"/>
      <c r="D512" s="545"/>
      <c r="E512" s="545"/>
      <c r="F512" s="545"/>
    </row>
    <row r="513" spans="1:6" s="547" customFormat="1" x14ac:dyDescent="0.2">
      <c r="A513" s="545"/>
      <c r="B513" s="545"/>
      <c r="C513" s="545"/>
      <c r="D513" s="545"/>
      <c r="E513" s="545"/>
      <c r="F513" s="545"/>
    </row>
    <row r="514" spans="1:6" s="547" customFormat="1" x14ac:dyDescent="0.2">
      <c r="A514" s="545"/>
      <c r="B514" s="545"/>
      <c r="C514" s="545"/>
      <c r="D514" s="545"/>
      <c r="E514" s="545"/>
      <c r="F514" s="545"/>
    </row>
    <row r="515" spans="1:6" s="547" customFormat="1" x14ac:dyDescent="0.2">
      <c r="A515" s="545"/>
      <c r="B515" s="545"/>
      <c r="C515" s="545"/>
      <c r="D515" s="545"/>
      <c r="E515" s="545"/>
      <c r="F515" s="545"/>
    </row>
    <row r="516" spans="1:6" s="547" customFormat="1" x14ac:dyDescent="0.2">
      <c r="A516" s="545"/>
      <c r="B516" s="545"/>
      <c r="C516" s="545"/>
      <c r="D516" s="545"/>
      <c r="E516" s="545"/>
      <c r="F516" s="545"/>
    </row>
    <row r="517" spans="1:6" s="547" customFormat="1" x14ac:dyDescent="0.2">
      <c r="A517" s="545"/>
      <c r="B517" s="545"/>
      <c r="C517" s="545"/>
      <c r="D517" s="545"/>
      <c r="E517" s="545"/>
      <c r="F517" s="545"/>
    </row>
    <row r="518" spans="1:6" s="547" customFormat="1" x14ac:dyDescent="0.2">
      <c r="A518" s="545"/>
      <c r="B518" s="545"/>
      <c r="C518" s="545"/>
      <c r="D518" s="545"/>
      <c r="E518" s="545"/>
      <c r="F518" s="545"/>
    </row>
    <row r="519" spans="1:6" s="547" customFormat="1" x14ac:dyDescent="0.2">
      <c r="A519" s="545"/>
      <c r="B519" s="545"/>
      <c r="C519" s="545"/>
      <c r="D519" s="545"/>
      <c r="E519" s="545"/>
      <c r="F519" s="545"/>
    </row>
    <row r="520" spans="1:6" s="547" customFormat="1" x14ac:dyDescent="0.2">
      <c r="A520" s="545"/>
      <c r="B520" s="545"/>
      <c r="C520" s="545"/>
      <c r="D520" s="545"/>
      <c r="E520" s="545"/>
      <c r="F520" s="545"/>
    </row>
    <row r="521" spans="1:6" s="547" customFormat="1" x14ac:dyDescent="0.2">
      <c r="A521" s="545"/>
      <c r="B521" s="545"/>
      <c r="C521" s="545"/>
      <c r="D521" s="545"/>
      <c r="E521" s="545"/>
      <c r="F521" s="545"/>
    </row>
    <row r="522" spans="1:6" s="547" customFormat="1" x14ac:dyDescent="0.2">
      <c r="A522" s="545"/>
      <c r="B522" s="545"/>
      <c r="C522" s="545"/>
      <c r="D522" s="545"/>
      <c r="E522" s="545"/>
      <c r="F522" s="545"/>
    </row>
    <row r="523" spans="1:6" s="547" customFormat="1" x14ac:dyDescent="0.2">
      <c r="A523" s="545"/>
      <c r="B523" s="545"/>
      <c r="C523" s="545"/>
      <c r="D523" s="545"/>
      <c r="E523" s="545"/>
      <c r="F523" s="545"/>
    </row>
    <row r="524" spans="1:6" s="547" customFormat="1" x14ac:dyDescent="0.2">
      <c r="A524" s="545"/>
      <c r="B524" s="545"/>
      <c r="C524" s="545"/>
      <c r="D524" s="545"/>
      <c r="E524" s="545"/>
      <c r="F524" s="545"/>
    </row>
    <row r="525" spans="1:6" s="547" customFormat="1" x14ac:dyDescent="0.2">
      <c r="A525" s="545"/>
      <c r="B525" s="545"/>
      <c r="C525" s="545"/>
      <c r="D525" s="545"/>
      <c r="E525" s="545"/>
      <c r="F525" s="545"/>
    </row>
    <row r="526" spans="1:6" s="547" customFormat="1" x14ac:dyDescent="0.2">
      <c r="A526" s="545"/>
      <c r="B526" s="545"/>
      <c r="C526" s="545"/>
      <c r="D526" s="545"/>
      <c r="E526" s="545"/>
      <c r="F526" s="545"/>
    </row>
    <row r="527" spans="1:6" s="547" customFormat="1" x14ac:dyDescent="0.2">
      <c r="A527" s="545"/>
      <c r="B527" s="545"/>
      <c r="C527" s="545"/>
      <c r="D527" s="545"/>
      <c r="E527" s="545"/>
      <c r="F527" s="545"/>
    </row>
    <row r="528" spans="1:6" s="547" customFormat="1" x14ac:dyDescent="0.2">
      <c r="A528" s="545"/>
      <c r="B528" s="545"/>
      <c r="C528" s="545"/>
      <c r="D528" s="545"/>
      <c r="E528" s="545"/>
      <c r="F528" s="545"/>
    </row>
    <row r="529" spans="1:6" s="547" customFormat="1" x14ac:dyDescent="0.2">
      <c r="A529" s="545"/>
      <c r="B529" s="545"/>
      <c r="C529" s="545"/>
      <c r="D529" s="545"/>
      <c r="E529" s="545"/>
      <c r="F529" s="545"/>
    </row>
    <row r="530" spans="1:6" s="547" customFormat="1" x14ac:dyDescent="0.2">
      <c r="A530" s="545"/>
      <c r="B530" s="545"/>
      <c r="C530" s="545"/>
      <c r="D530" s="545"/>
      <c r="E530" s="545"/>
      <c r="F530" s="545"/>
    </row>
    <row r="531" spans="1:6" s="547" customFormat="1" x14ac:dyDescent="0.2">
      <c r="A531" s="545"/>
      <c r="B531" s="545"/>
      <c r="C531" s="545"/>
      <c r="D531" s="545"/>
      <c r="E531" s="545"/>
      <c r="F531" s="545"/>
    </row>
    <row r="532" spans="1:6" s="547" customFormat="1" x14ac:dyDescent="0.2">
      <c r="A532" s="545"/>
      <c r="B532" s="545"/>
      <c r="C532" s="545"/>
      <c r="D532" s="545"/>
      <c r="E532" s="545"/>
      <c r="F532" s="545"/>
    </row>
    <row r="533" spans="1:6" s="547" customFormat="1" x14ac:dyDescent="0.2">
      <c r="A533" s="545"/>
      <c r="B533" s="545"/>
      <c r="C533" s="545"/>
      <c r="D533" s="545"/>
      <c r="E533" s="545"/>
      <c r="F533" s="545"/>
    </row>
    <row r="534" spans="1:6" s="547" customFormat="1" x14ac:dyDescent="0.2">
      <c r="A534" s="545"/>
      <c r="B534" s="545"/>
      <c r="C534" s="545"/>
      <c r="D534" s="545"/>
      <c r="E534" s="545"/>
      <c r="F534" s="545"/>
    </row>
    <row r="535" spans="1:6" s="547" customFormat="1" x14ac:dyDescent="0.2">
      <c r="A535" s="545"/>
      <c r="B535" s="545"/>
      <c r="C535" s="545"/>
      <c r="D535" s="545"/>
      <c r="E535" s="545"/>
      <c r="F535" s="545"/>
    </row>
    <row r="536" spans="1:6" s="547" customFormat="1" x14ac:dyDescent="0.2">
      <c r="A536" s="545"/>
      <c r="B536" s="545"/>
      <c r="C536" s="545"/>
      <c r="D536" s="545"/>
      <c r="E536" s="545"/>
      <c r="F536" s="545"/>
    </row>
    <row r="537" spans="1:6" s="547" customFormat="1" x14ac:dyDescent="0.2">
      <c r="A537" s="545"/>
      <c r="B537" s="545"/>
      <c r="C537" s="545"/>
      <c r="D537" s="545"/>
      <c r="E537" s="545"/>
      <c r="F537" s="545"/>
    </row>
    <row r="538" spans="1:6" s="547" customFormat="1" x14ac:dyDescent="0.2">
      <c r="A538" s="545"/>
      <c r="B538" s="545"/>
      <c r="C538" s="545"/>
      <c r="D538" s="545"/>
      <c r="E538" s="545"/>
      <c r="F538" s="545"/>
    </row>
    <row r="539" spans="1:6" s="547" customFormat="1" x14ac:dyDescent="0.2">
      <c r="A539" s="545"/>
      <c r="B539" s="545"/>
      <c r="C539" s="545"/>
      <c r="D539" s="545"/>
      <c r="E539" s="545"/>
      <c r="F539" s="545"/>
    </row>
    <row r="540" spans="1:6" s="547" customFormat="1" x14ac:dyDescent="0.2">
      <c r="A540" s="545"/>
      <c r="B540" s="545"/>
      <c r="C540" s="545"/>
      <c r="D540" s="545"/>
      <c r="E540" s="545"/>
      <c r="F540" s="545"/>
    </row>
    <row r="541" spans="1:6" s="547" customFormat="1" x14ac:dyDescent="0.2">
      <c r="A541" s="545"/>
      <c r="B541" s="545"/>
      <c r="C541" s="545"/>
      <c r="D541" s="545"/>
      <c r="E541" s="545"/>
      <c r="F541" s="545"/>
    </row>
    <row r="542" spans="1:6" s="547" customFormat="1" x14ac:dyDescent="0.2">
      <c r="A542" s="545"/>
      <c r="B542" s="545"/>
      <c r="C542" s="545"/>
      <c r="D542" s="545"/>
      <c r="E542" s="545"/>
      <c r="F542" s="545"/>
    </row>
    <row r="543" spans="1:6" s="547" customFormat="1" x14ac:dyDescent="0.2">
      <c r="A543" s="545"/>
      <c r="B543" s="545"/>
      <c r="C543" s="545"/>
      <c r="D543" s="545"/>
      <c r="E543" s="545"/>
      <c r="F543" s="545"/>
    </row>
    <row r="544" spans="1:6" s="547" customFormat="1" x14ac:dyDescent="0.2">
      <c r="A544" s="545"/>
      <c r="B544" s="545"/>
      <c r="C544" s="545"/>
      <c r="D544" s="545"/>
      <c r="E544" s="545"/>
      <c r="F544" s="545"/>
    </row>
    <row r="545" spans="1:6" s="547" customFormat="1" x14ac:dyDescent="0.2">
      <c r="A545" s="545"/>
      <c r="B545" s="545"/>
      <c r="C545" s="545"/>
      <c r="D545" s="545"/>
      <c r="E545" s="545"/>
      <c r="F545" s="545"/>
    </row>
    <row r="546" spans="1:6" s="547" customFormat="1" x14ac:dyDescent="0.2">
      <c r="A546" s="545"/>
      <c r="B546" s="545"/>
      <c r="C546" s="545"/>
      <c r="D546" s="545"/>
      <c r="E546" s="545"/>
      <c r="F546" s="545"/>
    </row>
    <row r="547" spans="1:6" s="547" customFormat="1" x14ac:dyDescent="0.2">
      <c r="A547" s="545"/>
      <c r="B547" s="545"/>
      <c r="C547" s="545"/>
      <c r="D547" s="545"/>
      <c r="E547" s="545"/>
      <c r="F547" s="545"/>
    </row>
    <row r="548" spans="1:6" s="547" customFormat="1" x14ac:dyDescent="0.2">
      <c r="A548" s="545"/>
      <c r="B548" s="545"/>
      <c r="C548" s="545"/>
      <c r="D548" s="545"/>
      <c r="E548" s="545"/>
      <c r="F548" s="545"/>
    </row>
    <row r="549" spans="1:6" s="547" customFormat="1" x14ac:dyDescent="0.2">
      <c r="A549" s="545"/>
      <c r="B549" s="545"/>
      <c r="C549" s="545"/>
      <c r="D549" s="545"/>
      <c r="E549" s="545"/>
      <c r="F549" s="545"/>
    </row>
    <row r="550" spans="1:6" s="547" customFormat="1" x14ac:dyDescent="0.2">
      <c r="A550" s="545"/>
      <c r="B550" s="545"/>
      <c r="C550" s="545"/>
      <c r="D550" s="545"/>
      <c r="E550" s="545"/>
      <c r="F550" s="545"/>
    </row>
    <row r="551" spans="1:6" s="547" customFormat="1" x14ac:dyDescent="0.2">
      <c r="A551" s="545"/>
      <c r="B551" s="545"/>
      <c r="C551" s="545"/>
      <c r="D551" s="545"/>
      <c r="E551" s="545"/>
      <c r="F551" s="545"/>
    </row>
    <row r="552" spans="1:6" s="547" customFormat="1" x14ac:dyDescent="0.2">
      <c r="A552" s="545"/>
      <c r="B552" s="545"/>
      <c r="C552" s="545"/>
      <c r="D552" s="545"/>
      <c r="E552" s="545"/>
      <c r="F552" s="545"/>
    </row>
    <row r="553" spans="1:6" s="547" customFormat="1" x14ac:dyDescent="0.2">
      <c r="A553" s="545"/>
      <c r="B553" s="545"/>
      <c r="C553" s="545"/>
      <c r="D553" s="545"/>
      <c r="E553" s="545"/>
      <c r="F553" s="545"/>
    </row>
    <row r="554" spans="1:6" s="547" customFormat="1" x14ac:dyDescent="0.2">
      <c r="A554" s="545"/>
      <c r="B554" s="545"/>
      <c r="C554" s="545"/>
      <c r="D554" s="545"/>
      <c r="E554" s="545"/>
      <c r="F554" s="545"/>
    </row>
    <row r="555" spans="1:6" s="547" customFormat="1" x14ac:dyDescent="0.2">
      <c r="A555" s="545"/>
      <c r="B555" s="545"/>
      <c r="C555" s="545"/>
      <c r="D555" s="545"/>
      <c r="E555" s="545"/>
      <c r="F555" s="545"/>
    </row>
    <row r="556" spans="1:6" s="547" customFormat="1" x14ac:dyDescent="0.2">
      <c r="A556" s="545"/>
      <c r="B556" s="545"/>
      <c r="C556" s="545"/>
      <c r="D556" s="545"/>
      <c r="E556" s="545"/>
      <c r="F556" s="545"/>
    </row>
    <row r="557" spans="1:6" s="547" customFormat="1" x14ac:dyDescent="0.2">
      <c r="A557" s="545"/>
      <c r="B557" s="545"/>
      <c r="C557" s="545"/>
      <c r="D557" s="545"/>
      <c r="E557" s="545"/>
      <c r="F557" s="545"/>
    </row>
    <row r="558" spans="1:6" s="547" customFormat="1" x14ac:dyDescent="0.2">
      <c r="A558" s="545"/>
      <c r="B558" s="545"/>
      <c r="C558" s="545"/>
      <c r="D558" s="545"/>
      <c r="E558" s="545"/>
      <c r="F558" s="545"/>
    </row>
    <row r="559" spans="1:6" s="547" customFormat="1" x14ac:dyDescent="0.2">
      <c r="A559" s="545"/>
      <c r="B559" s="545"/>
      <c r="C559" s="545"/>
      <c r="D559" s="545"/>
      <c r="E559" s="545"/>
      <c r="F559" s="545"/>
    </row>
    <row r="560" spans="1:6" s="547" customFormat="1" x14ac:dyDescent="0.2">
      <c r="A560" s="545"/>
      <c r="B560" s="545"/>
      <c r="C560" s="545"/>
      <c r="D560" s="545"/>
      <c r="E560" s="545"/>
      <c r="F560" s="545"/>
    </row>
    <row r="561" spans="1:6" s="547" customFormat="1" x14ac:dyDescent="0.2">
      <c r="A561" s="545"/>
      <c r="B561" s="545"/>
      <c r="C561" s="545"/>
      <c r="D561" s="545"/>
      <c r="E561" s="545"/>
      <c r="F561" s="545"/>
    </row>
    <row r="562" spans="1:6" s="547" customFormat="1" x14ac:dyDescent="0.2">
      <c r="A562" s="545"/>
      <c r="B562" s="545"/>
      <c r="C562" s="545"/>
      <c r="D562" s="545"/>
      <c r="E562" s="545"/>
      <c r="F562" s="545"/>
    </row>
    <row r="563" spans="1:6" s="547" customFormat="1" x14ac:dyDescent="0.2">
      <c r="A563" s="545"/>
      <c r="B563" s="545"/>
      <c r="C563" s="545"/>
      <c r="D563" s="545"/>
      <c r="E563" s="545"/>
      <c r="F563" s="545"/>
    </row>
    <row r="564" spans="1:6" s="547" customFormat="1" x14ac:dyDescent="0.2">
      <c r="A564" s="545"/>
      <c r="B564" s="545"/>
      <c r="C564" s="545"/>
      <c r="D564" s="545"/>
      <c r="E564" s="545"/>
      <c r="F564" s="545"/>
    </row>
    <row r="565" spans="1:6" s="547" customFormat="1" x14ac:dyDescent="0.2">
      <c r="A565" s="545"/>
      <c r="B565" s="545"/>
      <c r="C565" s="545"/>
      <c r="D565" s="545"/>
      <c r="E565" s="545"/>
      <c r="F565" s="545"/>
    </row>
    <row r="566" spans="1:6" s="547" customFormat="1" x14ac:dyDescent="0.2">
      <c r="A566" s="545"/>
      <c r="B566" s="545"/>
      <c r="C566" s="545"/>
      <c r="D566" s="545"/>
      <c r="E566" s="545"/>
      <c r="F566" s="545"/>
    </row>
    <row r="567" spans="1:6" s="547" customFormat="1" x14ac:dyDescent="0.2">
      <c r="A567" s="545"/>
      <c r="B567" s="545"/>
      <c r="C567" s="545"/>
      <c r="D567" s="545"/>
      <c r="E567" s="545"/>
      <c r="F567" s="545"/>
    </row>
    <row r="568" spans="1:6" s="547" customFormat="1" x14ac:dyDescent="0.2">
      <c r="A568" s="545"/>
      <c r="B568" s="545"/>
      <c r="C568" s="545"/>
      <c r="D568" s="545"/>
      <c r="E568" s="545"/>
      <c r="F568" s="545"/>
    </row>
    <row r="569" spans="1:6" s="547" customFormat="1" x14ac:dyDescent="0.2">
      <c r="A569" s="545"/>
      <c r="B569" s="545"/>
      <c r="C569" s="545"/>
      <c r="D569" s="545"/>
      <c r="E569" s="545"/>
      <c r="F569" s="545"/>
    </row>
    <row r="570" spans="1:6" s="547" customFormat="1" x14ac:dyDescent="0.2">
      <c r="A570" s="545"/>
      <c r="B570" s="545"/>
      <c r="C570" s="545"/>
      <c r="D570" s="545"/>
      <c r="E570" s="545"/>
      <c r="F570" s="545"/>
    </row>
    <row r="571" spans="1:6" s="547" customFormat="1" x14ac:dyDescent="0.2">
      <c r="A571" s="545"/>
      <c r="B571" s="545"/>
      <c r="C571" s="545"/>
      <c r="D571" s="545"/>
      <c r="E571" s="545"/>
      <c r="F571" s="545"/>
    </row>
    <row r="572" spans="1:6" s="547" customFormat="1" x14ac:dyDescent="0.2">
      <c r="A572" s="545"/>
      <c r="B572" s="545"/>
      <c r="C572" s="545"/>
      <c r="D572" s="545"/>
      <c r="E572" s="545"/>
      <c r="F572" s="545"/>
    </row>
    <row r="573" spans="1:6" s="547" customFormat="1" x14ac:dyDescent="0.2">
      <c r="A573" s="545"/>
      <c r="B573" s="545"/>
      <c r="C573" s="545"/>
      <c r="D573" s="545"/>
      <c r="E573" s="545"/>
      <c r="F573" s="545"/>
    </row>
    <row r="574" spans="1:6" s="547" customFormat="1" x14ac:dyDescent="0.2">
      <c r="A574" s="545"/>
      <c r="B574" s="545"/>
      <c r="C574" s="545"/>
      <c r="D574" s="545"/>
      <c r="E574" s="545"/>
      <c r="F574" s="545"/>
    </row>
    <row r="575" spans="1:6" s="547" customFormat="1" x14ac:dyDescent="0.2">
      <c r="A575" s="545"/>
      <c r="B575" s="545"/>
      <c r="C575" s="545"/>
      <c r="D575" s="545"/>
      <c r="E575" s="545"/>
      <c r="F575" s="545"/>
    </row>
    <row r="576" spans="1:6" s="547" customFormat="1" x14ac:dyDescent="0.2">
      <c r="A576" s="545"/>
      <c r="B576" s="545"/>
      <c r="C576" s="545"/>
      <c r="D576" s="545"/>
      <c r="E576" s="545"/>
      <c r="F576" s="545"/>
    </row>
    <row r="577" spans="1:6" s="547" customFormat="1" x14ac:dyDescent="0.2">
      <c r="A577" s="545"/>
      <c r="B577" s="545"/>
      <c r="C577" s="545"/>
      <c r="D577" s="545"/>
      <c r="E577" s="545"/>
      <c r="F577" s="545"/>
    </row>
    <row r="578" spans="1:6" s="547" customFormat="1" x14ac:dyDescent="0.2">
      <c r="A578" s="545"/>
      <c r="B578" s="545"/>
      <c r="C578" s="545"/>
      <c r="D578" s="545"/>
      <c r="E578" s="545"/>
      <c r="F578" s="545"/>
    </row>
    <row r="579" spans="1:6" s="547" customFormat="1" x14ac:dyDescent="0.2">
      <c r="A579" s="545"/>
      <c r="B579" s="545"/>
      <c r="C579" s="545"/>
      <c r="D579" s="545"/>
      <c r="E579" s="545"/>
      <c r="F579" s="545"/>
    </row>
    <row r="580" spans="1:6" s="547" customFormat="1" x14ac:dyDescent="0.2">
      <c r="A580" s="545"/>
      <c r="B580" s="545"/>
      <c r="C580" s="545"/>
      <c r="D580" s="545"/>
      <c r="E580" s="545"/>
      <c r="F580" s="545"/>
    </row>
    <row r="581" spans="1:6" s="547" customFormat="1" x14ac:dyDescent="0.2">
      <c r="A581" s="545"/>
      <c r="B581" s="545"/>
      <c r="C581" s="545"/>
      <c r="D581" s="545"/>
      <c r="E581" s="545"/>
      <c r="F581" s="545"/>
    </row>
    <row r="582" spans="1:6" s="547" customFormat="1" x14ac:dyDescent="0.2">
      <c r="A582" s="545"/>
      <c r="B582" s="545"/>
      <c r="C582" s="545"/>
      <c r="D582" s="545"/>
      <c r="E582" s="545"/>
      <c r="F582" s="545"/>
    </row>
    <row r="583" spans="1:6" s="547" customFormat="1" x14ac:dyDescent="0.2">
      <c r="A583" s="545"/>
      <c r="B583" s="545"/>
      <c r="C583" s="545"/>
      <c r="D583" s="545"/>
      <c r="E583" s="545"/>
      <c r="F583" s="545"/>
    </row>
    <row r="584" spans="1:6" s="547" customFormat="1" x14ac:dyDescent="0.2">
      <c r="A584" s="545"/>
      <c r="B584" s="545"/>
      <c r="C584" s="545"/>
      <c r="D584" s="545"/>
      <c r="E584" s="545"/>
      <c r="F584" s="545"/>
    </row>
    <row r="585" spans="1:6" s="547" customFormat="1" x14ac:dyDescent="0.2">
      <c r="A585" s="545"/>
      <c r="B585" s="545"/>
      <c r="C585" s="545"/>
      <c r="D585" s="545"/>
      <c r="E585" s="545"/>
      <c r="F585" s="545"/>
    </row>
    <row r="586" spans="1:6" s="547" customFormat="1" x14ac:dyDescent="0.2">
      <c r="A586" s="545"/>
      <c r="B586" s="545"/>
      <c r="C586" s="545"/>
      <c r="D586" s="545"/>
      <c r="E586" s="545"/>
      <c r="F586" s="545"/>
    </row>
    <row r="587" spans="1:6" s="547" customFormat="1" x14ac:dyDescent="0.2">
      <c r="A587" s="545"/>
      <c r="B587" s="545"/>
      <c r="C587" s="545"/>
      <c r="D587" s="545"/>
      <c r="E587" s="545"/>
      <c r="F587" s="545"/>
    </row>
    <row r="588" spans="1:6" s="547" customFormat="1" x14ac:dyDescent="0.2">
      <c r="A588" s="545"/>
      <c r="B588" s="545"/>
      <c r="C588" s="545"/>
      <c r="D588" s="545"/>
      <c r="E588" s="545"/>
      <c r="F588" s="545"/>
    </row>
    <row r="589" spans="1:6" s="547" customFormat="1" x14ac:dyDescent="0.2">
      <c r="A589" s="545"/>
      <c r="B589" s="545"/>
      <c r="C589" s="545"/>
      <c r="D589" s="545"/>
      <c r="E589" s="545"/>
      <c r="F589" s="545"/>
    </row>
    <row r="590" spans="1:6" s="547" customFormat="1" x14ac:dyDescent="0.2">
      <c r="A590" s="545"/>
      <c r="B590" s="545"/>
      <c r="C590" s="545"/>
      <c r="D590" s="545"/>
      <c r="E590" s="545"/>
      <c r="F590" s="545"/>
    </row>
    <row r="591" spans="1:6" s="547" customFormat="1" x14ac:dyDescent="0.2">
      <c r="A591" s="545"/>
      <c r="B591" s="545"/>
      <c r="C591" s="545"/>
      <c r="D591" s="545"/>
      <c r="E591" s="545"/>
      <c r="F591" s="545"/>
    </row>
    <row r="592" spans="1:6" s="547" customFormat="1" x14ac:dyDescent="0.2">
      <c r="A592" s="545"/>
      <c r="B592" s="545"/>
      <c r="C592" s="545"/>
      <c r="D592" s="545"/>
      <c r="E592" s="545"/>
      <c r="F592" s="545"/>
    </row>
    <row r="593" spans="1:6" s="547" customFormat="1" x14ac:dyDescent="0.2">
      <c r="A593" s="545"/>
      <c r="B593" s="545"/>
      <c r="C593" s="545"/>
      <c r="D593" s="545"/>
      <c r="E593" s="545"/>
      <c r="F593" s="545"/>
    </row>
    <row r="594" spans="1:6" s="547" customFormat="1" x14ac:dyDescent="0.2">
      <c r="A594" s="545"/>
      <c r="B594" s="545"/>
      <c r="C594" s="545"/>
      <c r="D594" s="545"/>
      <c r="E594" s="545"/>
      <c r="F594" s="545"/>
    </row>
    <row r="595" spans="1:6" s="547" customFormat="1" x14ac:dyDescent="0.2">
      <c r="A595" s="545"/>
      <c r="B595" s="545"/>
      <c r="C595" s="545"/>
      <c r="D595" s="545"/>
      <c r="E595" s="545"/>
      <c r="F595" s="545"/>
    </row>
    <row r="596" spans="1:6" s="547" customFormat="1" x14ac:dyDescent="0.2">
      <c r="A596" s="545"/>
      <c r="B596" s="545"/>
      <c r="C596" s="545"/>
      <c r="D596" s="545"/>
      <c r="E596" s="545"/>
      <c r="F596" s="545"/>
    </row>
    <row r="597" spans="1:6" s="547" customFormat="1" x14ac:dyDescent="0.2">
      <c r="A597" s="545"/>
      <c r="B597" s="545"/>
      <c r="C597" s="545"/>
      <c r="D597" s="545"/>
      <c r="E597" s="545"/>
      <c r="F597" s="545"/>
    </row>
    <row r="598" spans="1:6" s="547" customFormat="1" x14ac:dyDescent="0.2">
      <c r="A598" s="545"/>
      <c r="B598" s="545"/>
      <c r="C598" s="545"/>
      <c r="D598" s="545"/>
      <c r="E598" s="545"/>
      <c r="F598" s="545"/>
    </row>
    <row r="599" spans="1:6" s="547" customFormat="1" x14ac:dyDescent="0.2">
      <c r="A599" s="545"/>
      <c r="B599" s="545"/>
      <c r="C599" s="545"/>
      <c r="D599" s="545"/>
      <c r="E599" s="545"/>
      <c r="F599" s="545"/>
    </row>
    <row r="600" spans="1:6" s="547" customFormat="1" x14ac:dyDescent="0.2">
      <c r="A600" s="545"/>
      <c r="B600" s="545"/>
      <c r="C600" s="545"/>
      <c r="D600" s="545"/>
      <c r="E600" s="545"/>
      <c r="F600" s="545"/>
    </row>
    <row r="601" spans="1:6" s="547" customFormat="1" x14ac:dyDescent="0.2">
      <c r="A601" s="545"/>
      <c r="B601" s="545"/>
      <c r="C601" s="545"/>
      <c r="D601" s="545"/>
      <c r="E601" s="545"/>
      <c r="F601" s="545"/>
    </row>
    <row r="602" spans="1:6" s="547" customFormat="1" x14ac:dyDescent="0.2">
      <c r="A602" s="545"/>
      <c r="B602" s="545"/>
      <c r="C602" s="545"/>
      <c r="D602" s="545"/>
      <c r="E602" s="545"/>
      <c r="F602" s="545"/>
    </row>
    <row r="603" spans="1:6" s="547" customFormat="1" x14ac:dyDescent="0.2">
      <c r="A603" s="545"/>
      <c r="B603" s="545"/>
      <c r="C603" s="545"/>
      <c r="D603" s="545"/>
      <c r="E603" s="545"/>
      <c r="F603" s="545"/>
    </row>
    <row r="604" spans="1:6" s="547" customFormat="1" x14ac:dyDescent="0.2">
      <c r="A604" s="545"/>
      <c r="B604" s="545"/>
      <c r="C604" s="545"/>
      <c r="D604" s="545"/>
      <c r="E604" s="545"/>
      <c r="F604" s="545"/>
    </row>
    <row r="605" spans="1:6" s="547" customFormat="1" x14ac:dyDescent="0.2">
      <c r="A605" s="545"/>
      <c r="B605" s="545"/>
      <c r="C605" s="545"/>
      <c r="D605" s="545"/>
      <c r="E605" s="545"/>
      <c r="F605" s="545"/>
    </row>
    <row r="606" spans="1:6" s="547" customFormat="1" x14ac:dyDescent="0.2">
      <c r="A606" s="545"/>
      <c r="B606" s="545"/>
      <c r="C606" s="545"/>
      <c r="D606" s="545"/>
      <c r="E606" s="545"/>
      <c r="F606" s="545"/>
    </row>
    <row r="607" spans="1:6" s="547" customFormat="1" x14ac:dyDescent="0.2">
      <c r="A607" s="545"/>
      <c r="B607" s="545"/>
      <c r="C607" s="545"/>
      <c r="D607" s="545"/>
      <c r="E607" s="545"/>
      <c r="F607" s="545"/>
    </row>
    <row r="608" spans="1:6" s="547" customFormat="1" x14ac:dyDescent="0.2">
      <c r="A608" s="545"/>
      <c r="B608" s="545"/>
      <c r="C608" s="545"/>
      <c r="D608" s="545"/>
      <c r="E608" s="545"/>
      <c r="F608" s="545"/>
    </row>
    <row r="609" spans="1:6" s="547" customFormat="1" x14ac:dyDescent="0.2">
      <c r="A609" s="545"/>
      <c r="B609" s="545"/>
      <c r="C609" s="545"/>
      <c r="D609" s="545"/>
      <c r="E609" s="545"/>
      <c r="F609" s="545"/>
    </row>
    <row r="610" spans="1:6" s="547" customFormat="1" x14ac:dyDescent="0.2">
      <c r="A610" s="545"/>
      <c r="B610" s="545"/>
      <c r="C610" s="545"/>
      <c r="D610" s="545"/>
      <c r="E610" s="545"/>
      <c r="F610" s="545"/>
    </row>
    <row r="611" spans="1:6" s="547" customFormat="1" x14ac:dyDescent="0.2">
      <c r="A611" s="545"/>
      <c r="B611" s="545"/>
      <c r="C611" s="545"/>
      <c r="D611" s="545"/>
      <c r="E611" s="545"/>
      <c r="F611" s="545"/>
    </row>
    <row r="612" spans="1:6" s="547" customFormat="1" x14ac:dyDescent="0.2">
      <c r="A612" s="545"/>
      <c r="B612" s="545"/>
      <c r="C612" s="545"/>
      <c r="D612" s="545"/>
      <c r="E612" s="545"/>
      <c r="F612" s="545"/>
    </row>
    <row r="613" spans="1:6" s="547" customFormat="1" x14ac:dyDescent="0.2">
      <c r="A613" s="545"/>
      <c r="B613" s="545"/>
      <c r="C613" s="545"/>
      <c r="D613" s="545"/>
      <c r="E613" s="545"/>
      <c r="F613" s="545"/>
    </row>
    <row r="614" spans="1:6" s="547" customFormat="1" x14ac:dyDescent="0.2">
      <c r="A614" s="545"/>
      <c r="B614" s="545"/>
      <c r="C614" s="545"/>
      <c r="D614" s="545"/>
      <c r="E614" s="545"/>
      <c r="F614" s="545"/>
    </row>
    <row r="615" spans="1:6" s="547" customFormat="1" x14ac:dyDescent="0.2">
      <c r="A615" s="545"/>
      <c r="B615" s="545"/>
      <c r="C615" s="545"/>
      <c r="D615" s="545"/>
      <c r="E615" s="545"/>
      <c r="F615" s="545"/>
    </row>
    <row r="616" spans="1:6" s="547" customFormat="1" x14ac:dyDescent="0.2">
      <c r="A616" s="545"/>
      <c r="B616" s="545"/>
      <c r="C616" s="545"/>
      <c r="D616" s="545"/>
      <c r="E616" s="545"/>
      <c r="F616" s="545"/>
    </row>
    <row r="617" spans="1:6" s="547" customFormat="1" x14ac:dyDescent="0.2">
      <c r="A617" s="545"/>
      <c r="B617" s="545"/>
      <c r="C617" s="545"/>
      <c r="D617" s="545"/>
      <c r="E617" s="545"/>
      <c r="F617" s="545"/>
    </row>
    <row r="618" spans="1:6" s="547" customFormat="1" x14ac:dyDescent="0.2">
      <c r="A618" s="545"/>
      <c r="B618" s="545"/>
      <c r="C618" s="545"/>
      <c r="D618" s="545"/>
      <c r="E618" s="545"/>
      <c r="F618" s="545"/>
    </row>
    <row r="619" spans="1:6" s="547" customFormat="1" x14ac:dyDescent="0.2">
      <c r="A619" s="545"/>
      <c r="B619" s="545"/>
      <c r="C619" s="545"/>
      <c r="D619" s="545"/>
      <c r="E619" s="545"/>
      <c r="F619" s="545"/>
    </row>
    <row r="620" spans="1:6" s="547" customFormat="1" x14ac:dyDescent="0.2">
      <c r="A620" s="545"/>
      <c r="B620" s="545"/>
      <c r="C620" s="545"/>
      <c r="D620" s="545"/>
      <c r="E620" s="545"/>
      <c r="F620" s="545"/>
    </row>
    <row r="621" spans="1:6" s="547" customFormat="1" x14ac:dyDescent="0.2">
      <c r="A621" s="545"/>
      <c r="B621" s="545"/>
      <c r="C621" s="545"/>
      <c r="D621" s="545"/>
      <c r="E621" s="545"/>
      <c r="F621" s="545"/>
    </row>
    <row r="622" spans="1:6" s="547" customFormat="1" x14ac:dyDescent="0.2">
      <c r="A622" s="545"/>
      <c r="B622" s="545"/>
      <c r="C622" s="545"/>
      <c r="D622" s="545"/>
      <c r="E622" s="545"/>
      <c r="F622" s="545"/>
    </row>
    <row r="623" spans="1:6" s="547" customFormat="1" x14ac:dyDescent="0.2">
      <c r="A623" s="545"/>
      <c r="B623" s="545"/>
      <c r="C623" s="545"/>
      <c r="D623" s="545"/>
      <c r="E623" s="545"/>
      <c r="F623" s="545"/>
    </row>
    <row r="624" spans="1:6" s="547" customFormat="1" x14ac:dyDescent="0.2">
      <c r="A624" s="545"/>
      <c r="B624" s="545"/>
      <c r="C624" s="545"/>
      <c r="D624" s="545"/>
      <c r="E624" s="545"/>
      <c r="F624" s="545"/>
    </row>
    <row r="625" spans="1:6" s="547" customFormat="1" x14ac:dyDescent="0.2">
      <c r="A625" s="545"/>
      <c r="B625" s="545"/>
      <c r="C625" s="545"/>
      <c r="D625" s="545"/>
      <c r="E625" s="545"/>
      <c r="F625" s="545"/>
    </row>
    <row r="626" spans="1:6" s="547" customFormat="1" x14ac:dyDescent="0.2">
      <c r="A626" s="545"/>
      <c r="B626" s="545"/>
      <c r="C626" s="545"/>
      <c r="D626" s="545"/>
      <c r="E626" s="545"/>
      <c r="F626" s="545"/>
    </row>
    <row r="627" spans="1:6" s="547" customFormat="1" x14ac:dyDescent="0.2">
      <c r="A627" s="545"/>
      <c r="B627" s="545"/>
      <c r="C627" s="545"/>
      <c r="D627" s="545"/>
      <c r="E627" s="545"/>
      <c r="F627" s="545"/>
    </row>
    <row r="628" spans="1:6" s="547" customFormat="1" x14ac:dyDescent="0.2">
      <c r="A628" s="545"/>
      <c r="B628" s="545"/>
      <c r="C628" s="545"/>
      <c r="D628" s="545"/>
      <c r="E628" s="545"/>
      <c r="F628" s="545"/>
    </row>
    <row r="629" spans="1:6" s="547" customFormat="1" x14ac:dyDescent="0.2">
      <c r="A629" s="545"/>
      <c r="B629" s="545"/>
      <c r="C629" s="545"/>
      <c r="D629" s="545"/>
      <c r="E629" s="545"/>
      <c r="F629" s="545"/>
    </row>
    <row r="630" spans="1:6" s="547" customFormat="1" x14ac:dyDescent="0.2">
      <c r="A630" s="545"/>
      <c r="B630" s="545"/>
      <c r="C630" s="545"/>
      <c r="D630" s="545"/>
      <c r="E630" s="545"/>
      <c r="F630" s="545"/>
    </row>
    <row r="631" spans="1:6" s="547" customFormat="1" x14ac:dyDescent="0.2">
      <c r="A631" s="545"/>
      <c r="B631" s="545"/>
      <c r="C631" s="545"/>
      <c r="D631" s="545"/>
      <c r="E631" s="545"/>
      <c r="F631" s="545"/>
    </row>
    <row r="632" spans="1:6" s="547" customFormat="1" x14ac:dyDescent="0.2">
      <c r="A632" s="545"/>
      <c r="B632" s="545"/>
      <c r="C632" s="545"/>
      <c r="D632" s="545"/>
      <c r="E632" s="545"/>
      <c r="F632" s="545"/>
    </row>
    <row r="633" spans="1:6" s="547" customFormat="1" x14ac:dyDescent="0.2">
      <c r="A633" s="545"/>
      <c r="B633" s="545"/>
      <c r="C633" s="545"/>
      <c r="D633" s="545"/>
      <c r="E633" s="545"/>
      <c r="F633" s="545"/>
    </row>
    <row r="634" spans="1:6" s="547" customFormat="1" x14ac:dyDescent="0.2">
      <c r="A634" s="545"/>
      <c r="B634" s="545"/>
      <c r="C634" s="545"/>
      <c r="D634" s="545"/>
      <c r="E634" s="545"/>
      <c r="F634" s="545"/>
    </row>
    <row r="635" spans="1:6" s="547" customFormat="1" x14ac:dyDescent="0.2">
      <c r="A635" s="545"/>
      <c r="B635" s="545"/>
      <c r="C635" s="545"/>
      <c r="D635" s="545"/>
      <c r="E635" s="545"/>
      <c r="F635" s="545"/>
    </row>
    <row r="636" spans="1:6" s="547" customFormat="1" x14ac:dyDescent="0.2">
      <c r="A636" s="545"/>
      <c r="B636" s="545"/>
      <c r="C636" s="545"/>
      <c r="D636" s="545"/>
      <c r="E636" s="545"/>
      <c r="F636" s="545"/>
    </row>
    <row r="637" spans="1:6" s="547" customFormat="1" x14ac:dyDescent="0.2">
      <c r="A637" s="545"/>
      <c r="B637" s="545"/>
      <c r="C637" s="545"/>
      <c r="D637" s="545"/>
      <c r="E637" s="545"/>
      <c r="F637" s="545"/>
    </row>
    <row r="638" spans="1:6" s="547" customFormat="1" x14ac:dyDescent="0.2">
      <c r="A638" s="545"/>
      <c r="B638" s="545"/>
      <c r="C638" s="545"/>
      <c r="D638" s="545"/>
      <c r="E638" s="545"/>
      <c r="F638" s="545"/>
    </row>
    <row r="639" spans="1:6" s="547" customFormat="1" x14ac:dyDescent="0.2">
      <c r="A639" s="545"/>
      <c r="B639" s="545"/>
      <c r="C639" s="545"/>
      <c r="D639" s="545"/>
      <c r="E639" s="545"/>
      <c r="F639" s="545"/>
    </row>
    <row r="640" spans="1:6" s="547" customFormat="1" x14ac:dyDescent="0.2">
      <c r="A640" s="545"/>
      <c r="B640" s="545"/>
      <c r="C640" s="545"/>
      <c r="D640" s="545"/>
      <c r="E640" s="545"/>
      <c r="F640" s="545"/>
    </row>
    <row r="641" spans="1:6" s="547" customFormat="1" x14ac:dyDescent="0.2">
      <c r="A641" s="545"/>
      <c r="B641" s="545"/>
      <c r="C641" s="545"/>
      <c r="D641" s="545"/>
      <c r="E641" s="545"/>
      <c r="F641" s="545"/>
    </row>
    <row r="642" spans="1:6" s="547" customFormat="1" x14ac:dyDescent="0.2">
      <c r="A642" s="545"/>
      <c r="B642" s="545"/>
      <c r="C642" s="545"/>
      <c r="D642" s="545"/>
      <c r="E642" s="545"/>
      <c r="F642" s="545"/>
    </row>
    <row r="643" spans="1:6" s="547" customFormat="1" x14ac:dyDescent="0.2">
      <c r="A643" s="545"/>
      <c r="B643" s="545"/>
      <c r="C643" s="545"/>
      <c r="D643" s="545"/>
      <c r="E643" s="545"/>
      <c r="F643" s="545"/>
    </row>
    <row r="644" spans="1:6" s="547" customFormat="1" x14ac:dyDescent="0.2">
      <c r="A644" s="545"/>
      <c r="B644" s="545"/>
      <c r="C644" s="545"/>
      <c r="D644" s="545"/>
      <c r="E644" s="545"/>
      <c r="F644" s="545"/>
    </row>
    <row r="645" spans="1:6" s="547" customFormat="1" x14ac:dyDescent="0.2">
      <c r="A645" s="545"/>
      <c r="B645" s="545"/>
      <c r="C645" s="545"/>
      <c r="D645" s="545"/>
      <c r="E645" s="545"/>
      <c r="F645" s="545"/>
    </row>
    <row r="646" spans="1:6" s="547" customFormat="1" x14ac:dyDescent="0.2">
      <c r="A646" s="545"/>
      <c r="B646" s="545"/>
      <c r="C646" s="545"/>
      <c r="D646" s="545"/>
      <c r="E646" s="545"/>
      <c r="F646" s="545"/>
    </row>
    <row r="647" spans="1:6" s="547" customFormat="1" x14ac:dyDescent="0.2">
      <c r="A647" s="545"/>
      <c r="B647" s="545"/>
      <c r="C647" s="545"/>
      <c r="D647" s="545"/>
      <c r="E647" s="545"/>
      <c r="F647" s="545"/>
    </row>
    <row r="648" spans="1:6" s="547" customFormat="1" x14ac:dyDescent="0.2">
      <c r="A648" s="545"/>
      <c r="B648" s="545"/>
      <c r="C648" s="545"/>
      <c r="D648" s="545"/>
      <c r="E648" s="545"/>
      <c r="F648" s="545"/>
    </row>
    <row r="649" spans="1:6" s="547" customFormat="1" x14ac:dyDescent="0.2">
      <c r="A649" s="545"/>
      <c r="B649" s="545"/>
      <c r="C649" s="545"/>
      <c r="D649" s="545"/>
      <c r="E649" s="545"/>
      <c r="F649" s="545"/>
    </row>
    <row r="650" spans="1:6" s="547" customFormat="1" x14ac:dyDescent="0.2">
      <c r="A650" s="545"/>
      <c r="B650" s="545"/>
      <c r="C650" s="545"/>
      <c r="D650" s="545"/>
      <c r="E650" s="545"/>
      <c r="F650" s="545"/>
    </row>
    <row r="651" spans="1:6" s="547" customFormat="1" x14ac:dyDescent="0.2">
      <c r="A651" s="545"/>
      <c r="B651" s="545"/>
      <c r="C651" s="545"/>
      <c r="D651" s="545"/>
      <c r="E651" s="545"/>
      <c r="F651" s="545"/>
    </row>
    <row r="652" spans="1:6" s="547" customFormat="1" x14ac:dyDescent="0.2">
      <c r="A652" s="545"/>
      <c r="B652" s="545"/>
      <c r="C652" s="545"/>
      <c r="D652" s="545"/>
      <c r="E652" s="545"/>
      <c r="F652" s="545"/>
    </row>
    <row r="653" spans="1:6" s="547" customFormat="1" x14ac:dyDescent="0.2">
      <c r="A653" s="545"/>
      <c r="B653" s="545"/>
      <c r="C653" s="545"/>
      <c r="D653" s="545"/>
      <c r="E653" s="545"/>
      <c r="F653" s="545"/>
    </row>
    <row r="654" spans="1:6" s="547" customFormat="1" x14ac:dyDescent="0.2">
      <c r="A654" s="545"/>
      <c r="B654" s="545"/>
      <c r="C654" s="545"/>
      <c r="D654" s="545"/>
      <c r="E654" s="545"/>
      <c r="F654" s="545"/>
    </row>
    <row r="655" spans="1:6" s="547" customFormat="1" x14ac:dyDescent="0.2">
      <c r="A655" s="545"/>
      <c r="B655" s="545"/>
      <c r="C655" s="545"/>
      <c r="D655" s="545"/>
      <c r="E655" s="545"/>
      <c r="F655" s="545"/>
    </row>
    <row r="656" spans="1:6" s="547" customFormat="1" x14ac:dyDescent="0.2">
      <c r="A656" s="545"/>
      <c r="B656" s="545"/>
      <c r="C656" s="545"/>
      <c r="D656" s="545"/>
      <c r="E656" s="545"/>
      <c r="F656" s="545"/>
    </row>
    <row r="657" spans="1:6" s="547" customFormat="1" x14ac:dyDescent="0.2">
      <c r="A657" s="545"/>
      <c r="B657" s="545"/>
      <c r="C657" s="545"/>
      <c r="D657" s="545"/>
      <c r="E657" s="545"/>
      <c r="F657" s="545"/>
    </row>
    <row r="658" spans="1:6" s="547" customFormat="1" x14ac:dyDescent="0.2">
      <c r="A658" s="545"/>
      <c r="B658" s="545"/>
      <c r="C658" s="545"/>
      <c r="D658" s="545"/>
      <c r="E658" s="545"/>
      <c r="F658" s="545"/>
    </row>
    <row r="659" spans="1:6" s="547" customFormat="1" x14ac:dyDescent="0.2">
      <c r="A659" s="545"/>
      <c r="B659" s="545"/>
      <c r="C659" s="545"/>
      <c r="D659" s="545"/>
      <c r="E659" s="545"/>
      <c r="F659" s="545"/>
    </row>
    <row r="660" spans="1:6" s="547" customFormat="1" x14ac:dyDescent="0.2">
      <c r="A660" s="545"/>
      <c r="B660" s="545"/>
      <c r="C660" s="545"/>
      <c r="D660" s="545"/>
      <c r="E660" s="545"/>
      <c r="F660" s="545"/>
    </row>
    <row r="661" spans="1:6" s="547" customFormat="1" x14ac:dyDescent="0.2">
      <c r="A661" s="545"/>
      <c r="B661" s="545"/>
      <c r="C661" s="545"/>
      <c r="D661" s="545"/>
      <c r="E661" s="545"/>
      <c r="F661" s="545"/>
    </row>
    <row r="662" spans="1:6" s="547" customFormat="1" x14ac:dyDescent="0.2">
      <c r="A662" s="545"/>
      <c r="B662" s="545"/>
      <c r="C662" s="545"/>
      <c r="D662" s="545"/>
      <c r="E662" s="545"/>
      <c r="F662" s="545"/>
    </row>
    <row r="663" spans="1:6" s="547" customFormat="1" x14ac:dyDescent="0.2">
      <c r="A663" s="545"/>
      <c r="B663" s="545"/>
      <c r="C663" s="545"/>
      <c r="D663" s="545"/>
      <c r="E663" s="545"/>
      <c r="F663" s="545"/>
    </row>
    <row r="664" spans="1:6" s="547" customFormat="1" x14ac:dyDescent="0.2">
      <c r="A664" s="545"/>
      <c r="B664" s="545"/>
      <c r="C664" s="545"/>
      <c r="D664" s="545"/>
      <c r="E664" s="545"/>
      <c r="F664" s="545"/>
    </row>
    <row r="665" spans="1:6" s="547" customFormat="1" x14ac:dyDescent="0.2">
      <c r="A665" s="545"/>
      <c r="B665" s="545"/>
      <c r="C665" s="545"/>
      <c r="D665" s="545"/>
      <c r="E665" s="545"/>
      <c r="F665" s="545"/>
    </row>
    <row r="666" spans="1:6" s="547" customFormat="1" x14ac:dyDescent="0.2">
      <c r="A666" s="545"/>
      <c r="B666" s="545"/>
      <c r="C666" s="545"/>
      <c r="D666" s="545"/>
      <c r="E666" s="545"/>
      <c r="F666" s="545"/>
    </row>
    <row r="667" spans="1:6" s="547" customFormat="1" x14ac:dyDescent="0.2">
      <c r="A667" s="545"/>
      <c r="B667" s="545"/>
      <c r="C667" s="545"/>
      <c r="D667" s="545"/>
      <c r="E667" s="545"/>
      <c r="F667" s="545"/>
    </row>
    <row r="668" spans="1:6" s="547" customFormat="1" x14ac:dyDescent="0.2">
      <c r="A668" s="545"/>
      <c r="B668" s="545"/>
      <c r="C668" s="545"/>
      <c r="D668" s="545"/>
      <c r="E668" s="545"/>
      <c r="F668" s="545"/>
    </row>
    <row r="669" spans="1:6" s="547" customFormat="1" x14ac:dyDescent="0.2">
      <c r="A669" s="545"/>
      <c r="B669" s="545"/>
      <c r="C669" s="545"/>
      <c r="D669" s="545"/>
      <c r="E669" s="545"/>
      <c r="F669" s="545"/>
    </row>
    <row r="670" spans="1:6" s="547" customFormat="1" x14ac:dyDescent="0.2">
      <c r="A670" s="545"/>
      <c r="B670" s="545"/>
      <c r="C670" s="545"/>
      <c r="D670" s="545"/>
      <c r="E670" s="545"/>
      <c r="F670" s="545"/>
    </row>
    <row r="671" spans="1:6" s="547" customFormat="1" x14ac:dyDescent="0.2">
      <c r="A671" s="545"/>
      <c r="B671" s="545"/>
      <c r="C671" s="545"/>
      <c r="D671" s="545"/>
      <c r="E671" s="545"/>
      <c r="F671" s="545"/>
    </row>
    <row r="672" spans="1:6" s="547" customFormat="1" x14ac:dyDescent="0.2">
      <c r="A672" s="545"/>
      <c r="B672" s="545"/>
      <c r="C672" s="545"/>
      <c r="D672" s="545"/>
      <c r="E672" s="545"/>
      <c r="F672" s="545"/>
    </row>
    <row r="673" spans="1:6" s="547" customFormat="1" x14ac:dyDescent="0.2">
      <c r="A673" s="545"/>
      <c r="B673" s="545"/>
      <c r="C673" s="545"/>
      <c r="D673" s="545"/>
      <c r="E673" s="545"/>
      <c r="F673" s="545"/>
    </row>
    <row r="674" spans="1:6" s="547" customFormat="1" x14ac:dyDescent="0.2">
      <c r="A674" s="545"/>
      <c r="B674" s="545"/>
      <c r="C674" s="545"/>
      <c r="D674" s="545"/>
      <c r="E674" s="545"/>
      <c r="F674" s="545"/>
    </row>
    <row r="675" spans="1:6" s="547" customFormat="1" x14ac:dyDescent="0.2">
      <c r="A675" s="545"/>
      <c r="B675" s="545"/>
      <c r="C675" s="545"/>
      <c r="D675" s="545"/>
      <c r="E675" s="545"/>
      <c r="F675" s="545"/>
    </row>
    <row r="676" spans="1:6" s="547" customFormat="1" x14ac:dyDescent="0.2">
      <c r="A676" s="545"/>
      <c r="B676" s="545"/>
      <c r="C676" s="545"/>
      <c r="D676" s="545"/>
      <c r="E676" s="545"/>
      <c r="F676" s="545"/>
    </row>
    <row r="677" spans="1:6" s="547" customFormat="1" x14ac:dyDescent="0.2">
      <c r="A677" s="545"/>
      <c r="B677" s="545"/>
      <c r="C677" s="545"/>
      <c r="D677" s="545"/>
      <c r="E677" s="545"/>
      <c r="F677" s="545"/>
    </row>
    <row r="678" spans="1:6" s="547" customFormat="1" x14ac:dyDescent="0.2">
      <c r="A678" s="545"/>
      <c r="B678" s="545"/>
      <c r="C678" s="545"/>
      <c r="D678" s="545"/>
      <c r="E678" s="545"/>
      <c r="F678" s="545"/>
    </row>
    <row r="679" spans="1:6" s="547" customFormat="1" x14ac:dyDescent="0.2">
      <c r="A679" s="545"/>
      <c r="B679" s="545"/>
      <c r="C679" s="545"/>
      <c r="D679" s="545"/>
      <c r="E679" s="545"/>
      <c r="F679" s="545"/>
    </row>
    <row r="680" spans="1:6" s="547" customFormat="1" x14ac:dyDescent="0.2">
      <c r="A680" s="545"/>
      <c r="B680" s="545"/>
      <c r="C680" s="545"/>
      <c r="D680" s="545"/>
      <c r="E680" s="545"/>
      <c r="F680" s="545"/>
    </row>
    <row r="681" spans="1:6" s="547" customFormat="1" x14ac:dyDescent="0.2">
      <c r="A681" s="545"/>
      <c r="B681" s="545"/>
      <c r="C681" s="545"/>
      <c r="D681" s="545"/>
      <c r="E681" s="545"/>
      <c r="F681" s="545"/>
    </row>
    <row r="682" spans="1:6" s="547" customFormat="1" x14ac:dyDescent="0.2">
      <c r="A682" s="545"/>
      <c r="B682" s="545"/>
      <c r="C682" s="545"/>
      <c r="D682" s="545"/>
      <c r="E682" s="545"/>
      <c r="F682" s="545"/>
    </row>
    <row r="683" spans="1:6" s="547" customFormat="1" x14ac:dyDescent="0.2">
      <c r="A683" s="545"/>
      <c r="B683" s="545"/>
      <c r="C683" s="545"/>
      <c r="D683" s="545"/>
      <c r="E683" s="545"/>
      <c r="F683" s="545"/>
    </row>
    <row r="684" spans="1:6" s="547" customFormat="1" x14ac:dyDescent="0.2">
      <c r="A684" s="545"/>
      <c r="B684" s="545"/>
      <c r="C684" s="545"/>
      <c r="D684" s="545"/>
      <c r="E684" s="545"/>
      <c r="F684" s="545"/>
    </row>
    <row r="685" spans="1:6" s="547" customFormat="1" x14ac:dyDescent="0.2">
      <c r="A685" s="545"/>
      <c r="B685" s="545"/>
      <c r="C685" s="545"/>
      <c r="D685" s="545"/>
      <c r="E685" s="545"/>
      <c r="F685" s="545"/>
    </row>
    <row r="686" spans="1:6" s="547" customFormat="1" x14ac:dyDescent="0.2">
      <c r="A686" s="545"/>
      <c r="B686" s="545"/>
      <c r="C686" s="545"/>
      <c r="D686" s="545"/>
      <c r="E686" s="545"/>
      <c r="F686" s="545"/>
    </row>
    <row r="687" spans="1:6" s="547" customFormat="1" x14ac:dyDescent="0.2">
      <c r="A687" s="545"/>
      <c r="B687" s="545"/>
      <c r="C687" s="545"/>
      <c r="D687" s="545"/>
      <c r="E687" s="545"/>
      <c r="F687" s="545"/>
    </row>
    <row r="688" spans="1:6" s="547" customFormat="1" x14ac:dyDescent="0.2">
      <c r="A688" s="545"/>
      <c r="B688" s="545"/>
      <c r="C688" s="545"/>
      <c r="D688" s="545"/>
      <c r="E688" s="545"/>
      <c r="F688" s="545"/>
    </row>
    <row r="689" spans="1:6" s="547" customFormat="1" x14ac:dyDescent="0.2">
      <c r="A689" s="545"/>
      <c r="B689" s="545"/>
      <c r="C689" s="545"/>
      <c r="D689" s="545"/>
      <c r="E689" s="545"/>
      <c r="F689" s="545"/>
    </row>
    <row r="690" spans="1:6" s="547" customFormat="1" x14ac:dyDescent="0.2">
      <c r="A690" s="545"/>
      <c r="B690" s="545"/>
      <c r="C690" s="545"/>
      <c r="D690" s="545"/>
      <c r="E690" s="545"/>
      <c r="F690" s="545"/>
    </row>
    <row r="691" spans="1:6" s="547" customFormat="1" x14ac:dyDescent="0.2">
      <c r="A691" s="545"/>
      <c r="B691" s="545"/>
      <c r="C691" s="545"/>
      <c r="D691" s="545"/>
      <c r="E691" s="545"/>
      <c r="F691" s="545"/>
    </row>
    <row r="692" spans="1:6" s="547" customFormat="1" x14ac:dyDescent="0.2">
      <c r="A692" s="545"/>
      <c r="B692" s="545"/>
      <c r="C692" s="545"/>
      <c r="D692" s="545"/>
      <c r="E692" s="545"/>
      <c r="F692" s="545"/>
    </row>
    <row r="693" spans="1:6" s="547" customFormat="1" x14ac:dyDescent="0.2">
      <c r="A693" s="545"/>
      <c r="B693" s="545"/>
      <c r="C693" s="545"/>
      <c r="D693" s="545"/>
      <c r="E693" s="545"/>
      <c r="F693" s="545"/>
    </row>
    <row r="694" spans="1:6" s="547" customFormat="1" x14ac:dyDescent="0.2">
      <c r="A694" s="545"/>
      <c r="B694" s="545"/>
      <c r="C694" s="545"/>
      <c r="D694" s="545"/>
      <c r="E694" s="545"/>
      <c r="F694" s="545"/>
    </row>
    <row r="695" spans="1:6" s="547" customFormat="1" x14ac:dyDescent="0.2">
      <c r="A695" s="545"/>
      <c r="B695" s="545"/>
      <c r="C695" s="545"/>
      <c r="D695" s="545"/>
      <c r="E695" s="545"/>
      <c r="F695" s="545"/>
    </row>
    <row r="696" spans="1:6" s="547" customFormat="1" x14ac:dyDescent="0.2">
      <c r="A696" s="545"/>
      <c r="B696" s="545"/>
      <c r="C696" s="545"/>
      <c r="D696" s="545"/>
      <c r="E696" s="545"/>
      <c r="F696" s="545"/>
    </row>
    <row r="697" spans="1:6" s="547" customFormat="1" x14ac:dyDescent="0.2">
      <c r="A697" s="545"/>
      <c r="B697" s="545"/>
      <c r="C697" s="545"/>
      <c r="D697" s="545"/>
      <c r="E697" s="545"/>
      <c r="F697" s="545"/>
    </row>
    <row r="698" spans="1:6" s="547" customFormat="1" x14ac:dyDescent="0.2">
      <c r="A698" s="545"/>
      <c r="B698" s="545"/>
      <c r="C698" s="545"/>
      <c r="D698" s="545"/>
      <c r="E698" s="545"/>
      <c r="F698" s="545"/>
    </row>
    <row r="699" spans="1:6" s="547" customFormat="1" x14ac:dyDescent="0.2">
      <c r="A699" s="545"/>
      <c r="B699" s="545"/>
      <c r="C699" s="545"/>
      <c r="D699" s="545"/>
      <c r="E699" s="545"/>
      <c r="F699" s="545"/>
    </row>
    <row r="700" spans="1:6" s="547" customFormat="1" x14ac:dyDescent="0.2">
      <c r="A700" s="545"/>
      <c r="B700" s="545"/>
      <c r="C700" s="545"/>
      <c r="D700" s="545"/>
      <c r="E700" s="545"/>
      <c r="F700" s="545"/>
    </row>
    <row r="701" spans="1:6" s="547" customFormat="1" x14ac:dyDescent="0.2">
      <c r="A701" s="545"/>
      <c r="B701" s="545"/>
      <c r="C701" s="545"/>
      <c r="D701" s="545"/>
      <c r="E701" s="545"/>
      <c r="F701" s="545"/>
    </row>
    <row r="702" spans="1:6" s="547" customFormat="1" x14ac:dyDescent="0.2">
      <c r="A702" s="545"/>
      <c r="B702" s="545"/>
      <c r="C702" s="545"/>
      <c r="D702" s="545"/>
      <c r="E702" s="545"/>
      <c r="F702" s="545"/>
    </row>
    <row r="703" spans="1:6" s="547" customFormat="1" x14ac:dyDescent="0.2">
      <c r="A703" s="545"/>
      <c r="B703" s="545"/>
      <c r="C703" s="545"/>
      <c r="D703" s="545"/>
      <c r="E703" s="545"/>
      <c r="F703" s="545"/>
    </row>
    <row r="704" spans="1:6" s="547" customFormat="1" x14ac:dyDescent="0.2">
      <c r="A704" s="545"/>
      <c r="B704" s="545"/>
      <c r="C704" s="545"/>
      <c r="D704" s="545"/>
      <c r="E704" s="545"/>
      <c r="F704" s="545"/>
    </row>
    <row r="705" spans="1:6" s="547" customFormat="1" x14ac:dyDescent="0.2">
      <c r="A705" s="545"/>
      <c r="B705" s="545"/>
      <c r="C705" s="545"/>
      <c r="D705" s="545"/>
      <c r="E705" s="545"/>
      <c r="F705" s="545"/>
    </row>
    <row r="706" spans="1:6" s="547" customFormat="1" x14ac:dyDescent="0.2">
      <c r="A706" s="545"/>
      <c r="B706" s="545"/>
      <c r="C706" s="545"/>
      <c r="D706" s="545"/>
      <c r="E706" s="545"/>
      <c r="F706" s="545"/>
    </row>
    <row r="707" spans="1:6" s="547" customFormat="1" x14ac:dyDescent="0.2">
      <c r="A707" s="545"/>
      <c r="B707" s="545"/>
      <c r="C707" s="545"/>
      <c r="D707" s="545"/>
      <c r="E707" s="545"/>
      <c r="F707" s="545"/>
    </row>
    <row r="708" spans="1:6" s="547" customFormat="1" x14ac:dyDescent="0.2">
      <c r="A708" s="545"/>
      <c r="B708" s="545"/>
      <c r="C708" s="545"/>
      <c r="D708" s="545"/>
      <c r="E708" s="545"/>
      <c r="F708" s="545"/>
    </row>
    <row r="709" spans="1:6" s="547" customFormat="1" x14ac:dyDescent="0.2">
      <c r="A709" s="545"/>
      <c r="B709" s="545"/>
      <c r="C709" s="545"/>
      <c r="D709" s="545"/>
      <c r="E709" s="545"/>
      <c r="F709" s="545"/>
    </row>
    <row r="710" spans="1:6" s="547" customFormat="1" x14ac:dyDescent="0.2">
      <c r="A710" s="545"/>
      <c r="B710" s="545"/>
      <c r="C710" s="545"/>
      <c r="D710" s="545"/>
      <c r="E710" s="545"/>
      <c r="F710" s="545"/>
    </row>
    <row r="711" spans="1:6" s="547" customFormat="1" x14ac:dyDescent="0.2">
      <c r="A711" s="545"/>
      <c r="B711" s="545"/>
      <c r="C711" s="545"/>
      <c r="D711" s="545"/>
      <c r="E711" s="545"/>
      <c r="F711" s="545"/>
    </row>
    <row r="712" spans="1:6" s="547" customFormat="1" x14ac:dyDescent="0.2">
      <c r="A712" s="545"/>
      <c r="B712" s="545"/>
      <c r="C712" s="545"/>
      <c r="D712" s="545"/>
      <c r="E712" s="545"/>
      <c r="F712" s="545"/>
    </row>
    <row r="713" spans="1:6" s="547" customFormat="1" x14ac:dyDescent="0.2">
      <c r="A713" s="545"/>
      <c r="B713" s="545"/>
      <c r="C713" s="545"/>
      <c r="D713" s="545"/>
      <c r="E713" s="545"/>
      <c r="F713" s="545"/>
    </row>
    <row r="714" spans="1:6" s="547" customFormat="1" x14ac:dyDescent="0.2">
      <c r="A714" s="545"/>
      <c r="B714" s="545"/>
      <c r="C714" s="545"/>
      <c r="D714" s="545"/>
      <c r="E714" s="545"/>
      <c r="F714" s="545"/>
    </row>
    <row r="715" spans="1:6" s="547" customFormat="1" x14ac:dyDescent="0.2">
      <c r="A715" s="545"/>
      <c r="B715" s="545"/>
      <c r="C715" s="545"/>
      <c r="D715" s="545"/>
      <c r="E715" s="545"/>
      <c r="F715" s="545"/>
    </row>
    <row r="716" spans="1:6" s="547" customFormat="1" x14ac:dyDescent="0.2">
      <c r="A716" s="545"/>
      <c r="B716" s="545"/>
      <c r="C716" s="545"/>
      <c r="D716" s="545"/>
      <c r="E716" s="545"/>
      <c r="F716" s="545"/>
    </row>
    <row r="717" spans="1:6" s="547" customFormat="1" x14ac:dyDescent="0.2">
      <c r="A717" s="545"/>
      <c r="B717" s="545"/>
      <c r="C717" s="545"/>
      <c r="D717" s="545"/>
      <c r="E717" s="545"/>
      <c r="F717" s="545"/>
    </row>
    <row r="718" spans="1:6" s="547" customFormat="1" x14ac:dyDescent="0.2">
      <c r="A718" s="545"/>
      <c r="B718" s="545"/>
      <c r="C718" s="545"/>
      <c r="D718" s="545"/>
      <c r="E718" s="545"/>
      <c r="F718" s="545"/>
    </row>
    <row r="719" spans="1:6" s="547" customFormat="1" x14ac:dyDescent="0.2">
      <c r="A719" s="545"/>
      <c r="B719" s="545"/>
      <c r="C719" s="545"/>
      <c r="D719" s="545"/>
      <c r="E719" s="545"/>
      <c r="F719" s="545"/>
    </row>
    <row r="720" spans="1:6" s="547" customFormat="1" x14ac:dyDescent="0.2">
      <c r="A720" s="545"/>
      <c r="B720" s="545"/>
      <c r="C720" s="545"/>
      <c r="D720" s="545"/>
      <c r="E720" s="545"/>
      <c r="F720" s="545"/>
    </row>
    <row r="721" spans="1:6" s="547" customFormat="1" x14ac:dyDescent="0.2">
      <c r="A721" s="545"/>
      <c r="B721" s="545"/>
      <c r="C721" s="545"/>
      <c r="D721" s="545"/>
      <c r="E721" s="545"/>
      <c r="F721" s="545"/>
    </row>
    <row r="722" spans="1:6" s="547" customFormat="1" x14ac:dyDescent="0.2">
      <c r="A722" s="545"/>
      <c r="B722" s="545"/>
      <c r="C722" s="545"/>
      <c r="D722" s="545"/>
      <c r="E722" s="545"/>
      <c r="F722" s="545"/>
    </row>
    <row r="723" spans="1:6" s="547" customFormat="1" x14ac:dyDescent="0.2">
      <c r="A723" s="545"/>
      <c r="B723" s="545"/>
      <c r="C723" s="545"/>
      <c r="D723" s="545"/>
      <c r="E723" s="545"/>
      <c r="F723" s="545"/>
    </row>
    <row r="724" spans="1:6" s="547" customFormat="1" x14ac:dyDescent="0.2">
      <c r="A724" s="545"/>
      <c r="B724" s="545"/>
      <c r="C724" s="545"/>
      <c r="D724" s="545"/>
      <c r="E724" s="545"/>
      <c r="F724" s="545"/>
    </row>
    <row r="725" spans="1:6" s="547" customFormat="1" x14ac:dyDescent="0.2">
      <c r="A725" s="545"/>
      <c r="B725" s="545"/>
      <c r="C725" s="545"/>
      <c r="D725" s="545"/>
      <c r="E725" s="545"/>
      <c r="F725" s="545"/>
    </row>
    <row r="726" spans="1:6" s="547" customFormat="1" x14ac:dyDescent="0.2">
      <c r="A726" s="545"/>
      <c r="B726" s="545"/>
      <c r="C726" s="545"/>
      <c r="D726" s="545"/>
      <c r="E726" s="545"/>
      <c r="F726" s="545"/>
    </row>
    <row r="727" spans="1:6" s="547" customFormat="1" x14ac:dyDescent="0.2">
      <c r="A727" s="545"/>
      <c r="B727" s="545"/>
      <c r="C727" s="545"/>
      <c r="D727" s="545"/>
      <c r="E727" s="545"/>
      <c r="F727" s="545"/>
    </row>
    <row r="728" spans="1:6" s="547" customFormat="1" x14ac:dyDescent="0.2">
      <c r="A728" s="545"/>
      <c r="B728" s="545"/>
      <c r="C728" s="545"/>
      <c r="D728" s="545"/>
      <c r="E728" s="545"/>
      <c r="F728" s="545"/>
    </row>
    <row r="729" spans="1:6" s="547" customFormat="1" x14ac:dyDescent="0.2">
      <c r="A729" s="545"/>
      <c r="B729" s="545"/>
      <c r="C729" s="545"/>
      <c r="D729" s="545"/>
      <c r="E729" s="545"/>
      <c r="F729" s="545"/>
    </row>
    <row r="730" spans="1:6" s="547" customFormat="1" x14ac:dyDescent="0.2">
      <c r="A730" s="545"/>
      <c r="B730" s="545"/>
      <c r="C730" s="545"/>
      <c r="D730" s="545"/>
      <c r="E730" s="545"/>
      <c r="F730" s="545"/>
    </row>
    <row r="731" spans="1:6" s="547" customFormat="1" x14ac:dyDescent="0.2">
      <c r="A731" s="545"/>
      <c r="B731" s="545"/>
      <c r="C731" s="545"/>
      <c r="D731" s="545"/>
      <c r="E731" s="545"/>
      <c r="F731" s="545"/>
    </row>
    <row r="732" spans="1:6" s="547" customFormat="1" x14ac:dyDescent="0.2">
      <c r="A732" s="545"/>
      <c r="B732" s="545"/>
      <c r="C732" s="545"/>
      <c r="D732" s="545"/>
      <c r="E732" s="545"/>
      <c r="F732" s="545"/>
    </row>
    <row r="733" spans="1:6" s="547" customFormat="1" x14ac:dyDescent="0.2">
      <c r="A733" s="545"/>
      <c r="B733" s="545"/>
      <c r="C733" s="545"/>
      <c r="D733" s="545"/>
      <c r="E733" s="545"/>
      <c r="F733" s="545"/>
    </row>
    <row r="734" spans="1:6" s="547" customFormat="1" x14ac:dyDescent="0.2">
      <c r="A734" s="545"/>
      <c r="B734" s="545"/>
      <c r="C734" s="545"/>
      <c r="D734" s="545"/>
      <c r="E734" s="545"/>
      <c r="F734" s="545"/>
    </row>
    <row r="735" spans="1:6" s="547" customFormat="1" x14ac:dyDescent="0.2">
      <c r="A735" s="545"/>
      <c r="B735" s="545"/>
      <c r="C735" s="545"/>
      <c r="D735" s="545"/>
      <c r="E735" s="545"/>
      <c r="F735" s="545"/>
    </row>
    <row r="736" spans="1:6" s="547" customFormat="1" x14ac:dyDescent="0.2">
      <c r="A736" s="545"/>
      <c r="B736" s="545"/>
      <c r="C736" s="545"/>
      <c r="D736" s="545"/>
      <c r="E736" s="545"/>
      <c r="F736" s="545"/>
    </row>
    <row r="737" spans="1:6" s="547" customFormat="1" x14ac:dyDescent="0.2">
      <c r="A737" s="545"/>
      <c r="B737" s="545"/>
      <c r="C737" s="545"/>
      <c r="D737" s="545"/>
      <c r="E737" s="545"/>
      <c r="F737" s="545"/>
    </row>
    <row r="738" spans="1:6" s="547" customFormat="1" x14ac:dyDescent="0.2">
      <c r="A738" s="545"/>
      <c r="B738" s="545"/>
      <c r="C738" s="545"/>
      <c r="D738" s="545"/>
      <c r="E738" s="545"/>
      <c r="F738" s="545"/>
    </row>
    <row r="739" spans="1:6" s="547" customFormat="1" x14ac:dyDescent="0.2">
      <c r="A739" s="545"/>
      <c r="B739" s="545"/>
      <c r="C739" s="545"/>
      <c r="D739" s="545"/>
      <c r="E739" s="545"/>
      <c r="F739" s="545"/>
    </row>
    <row r="740" spans="1:6" s="547" customFormat="1" x14ac:dyDescent="0.2">
      <c r="A740" s="545"/>
      <c r="B740" s="545"/>
      <c r="C740" s="545"/>
      <c r="D740" s="545"/>
      <c r="E740" s="545"/>
      <c r="F740" s="545"/>
    </row>
    <row r="741" spans="1:6" s="547" customFormat="1" x14ac:dyDescent="0.2">
      <c r="A741" s="545"/>
      <c r="B741" s="545"/>
      <c r="C741" s="545"/>
      <c r="D741" s="545"/>
      <c r="E741" s="545"/>
      <c r="F741" s="545"/>
    </row>
    <row r="742" spans="1:6" s="547" customFormat="1" x14ac:dyDescent="0.2">
      <c r="A742" s="545"/>
      <c r="B742" s="545"/>
      <c r="C742" s="545"/>
      <c r="D742" s="545"/>
      <c r="E742" s="545"/>
      <c r="F742" s="545"/>
    </row>
    <row r="743" spans="1:6" s="547" customFormat="1" x14ac:dyDescent="0.2">
      <c r="A743" s="545"/>
      <c r="B743" s="545"/>
      <c r="C743" s="545"/>
      <c r="D743" s="545"/>
      <c r="E743" s="545"/>
      <c r="F743" s="545"/>
    </row>
    <row r="744" spans="1:6" s="547" customFormat="1" x14ac:dyDescent="0.2">
      <c r="A744" s="545"/>
      <c r="B744" s="545"/>
      <c r="C744" s="545"/>
      <c r="D744" s="545"/>
      <c r="E744" s="545"/>
      <c r="F744" s="545"/>
    </row>
    <row r="745" spans="1:6" s="547" customFormat="1" x14ac:dyDescent="0.2">
      <c r="A745" s="545"/>
      <c r="B745" s="545"/>
      <c r="C745" s="545"/>
      <c r="D745" s="545"/>
      <c r="E745" s="545"/>
      <c r="F745" s="545"/>
    </row>
    <row r="746" spans="1:6" s="547" customFormat="1" x14ac:dyDescent="0.2">
      <c r="A746" s="545"/>
      <c r="B746" s="545"/>
      <c r="C746" s="545"/>
      <c r="D746" s="545"/>
      <c r="E746" s="545"/>
      <c r="F746" s="545"/>
    </row>
    <row r="747" spans="1:6" s="547" customFormat="1" x14ac:dyDescent="0.2">
      <c r="A747" s="545"/>
      <c r="B747" s="545"/>
      <c r="C747" s="545"/>
      <c r="D747" s="545"/>
      <c r="E747" s="545"/>
      <c r="F747" s="545"/>
    </row>
    <row r="748" spans="1:6" s="547" customFormat="1" x14ac:dyDescent="0.2">
      <c r="A748" s="545"/>
      <c r="B748" s="545"/>
      <c r="C748" s="545"/>
      <c r="D748" s="545"/>
      <c r="E748" s="545"/>
      <c r="F748" s="545"/>
    </row>
    <row r="749" spans="1:6" s="547" customFormat="1" x14ac:dyDescent="0.2">
      <c r="A749" s="545"/>
      <c r="B749" s="545"/>
      <c r="C749" s="545"/>
      <c r="D749" s="545"/>
      <c r="E749" s="545"/>
      <c r="F749" s="545"/>
    </row>
    <row r="750" spans="1:6" s="547" customFormat="1" x14ac:dyDescent="0.2">
      <c r="A750" s="545"/>
      <c r="B750" s="545"/>
      <c r="C750" s="545"/>
      <c r="D750" s="545"/>
      <c r="E750" s="545"/>
      <c r="F750" s="545"/>
    </row>
    <row r="751" spans="1:6" s="547" customFormat="1" x14ac:dyDescent="0.2">
      <c r="A751" s="545"/>
      <c r="B751" s="545"/>
      <c r="C751" s="545"/>
      <c r="D751" s="545"/>
      <c r="E751" s="545"/>
      <c r="F751" s="545"/>
    </row>
    <row r="752" spans="1:6" s="547" customFormat="1" x14ac:dyDescent="0.2">
      <c r="A752" s="545"/>
      <c r="B752" s="545"/>
      <c r="C752" s="545"/>
      <c r="D752" s="545"/>
      <c r="E752" s="545"/>
      <c r="F752" s="545"/>
    </row>
    <row r="753" spans="1:6" s="547" customFormat="1" x14ac:dyDescent="0.2">
      <c r="A753" s="545"/>
      <c r="B753" s="545"/>
      <c r="C753" s="545"/>
      <c r="D753" s="545"/>
      <c r="E753" s="545"/>
      <c r="F753" s="545"/>
    </row>
    <row r="754" spans="1:6" s="547" customFormat="1" x14ac:dyDescent="0.2">
      <c r="A754" s="545"/>
      <c r="B754" s="545"/>
      <c r="C754" s="545"/>
      <c r="D754" s="545"/>
      <c r="E754" s="545"/>
      <c r="F754" s="545"/>
    </row>
    <row r="755" spans="1:6" s="547" customFormat="1" x14ac:dyDescent="0.2">
      <c r="A755" s="545"/>
      <c r="B755" s="545"/>
      <c r="C755" s="545"/>
      <c r="D755" s="545"/>
      <c r="E755" s="545"/>
      <c r="F755" s="545"/>
    </row>
    <row r="756" spans="1:6" s="547" customFormat="1" x14ac:dyDescent="0.2">
      <c r="A756" s="545"/>
      <c r="B756" s="545"/>
      <c r="C756" s="545"/>
      <c r="D756" s="545"/>
      <c r="E756" s="545"/>
      <c r="F756" s="545"/>
    </row>
    <row r="757" spans="1:6" s="547" customFormat="1" x14ac:dyDescent="0.2">
      <c r="A757" s="545"/>
      <c r="B757" s="545"/>
      <c r="C757" s="545"/>
      <c r="D757" s="545"/>
      <c r="E757" s="545"/>
      <c r="F757" s="545"/>
    </row>
    <row r="758" spans="1:6" s="547" customFormat="1" x14ac:dyDescent="0.2">
      <c r="A758" s="545"/>
      <c r="B758" s="545"/>
      <c r="C758" s="545"/>
      <c r="D758" s="545"/>
      <c r="E758" s="545"/>
      <c r="F758" s="545"/>
    </row>
    <row r="759" spans="1:6" s="547" customFormat="1" x14ac:dyDescent="0.2">
      <c r="A759" s="545"/>
      <c r="B759" s="545"/>
      <c r="C759" s="545"/>
      <c r="D759" s="545"/>
      <c r="E759" s="545"/>
      <c r="F759" s="545"/>
    </row>
    <row r="760" spans="1:6" s="547" customFormat="1" x14ac:dyDescent="0.2">
      <c r="A760" s="545"/>
      <c r="B760" s="545"/>
      <c r="C760" s="545"/>
      <c r="D760" s="545"/>
      <c r="E760" s="545"/>
      <c r="F760" s="545"/>
    </row>
    <row r="761" spans="1:6" s="547" customFormat="1" x14ac:dyDescent="0.2">
      <c r="A761" s="545"/>
      <c r="B761" s="545"/>
      <c r="C761" s="545"/>
      <c r="D761" s="545"/>
      <c r="E761" s="545"/>
      <c r="F761" s="545"/>
    </row>
    <row r="762" spans="1:6" s="547" customFormat="1" x14ac:dyDescent="0.2">
      <c r="A762" s="545"/>
      <c r="B762" s="545"/>
      <c r="C762" s="545"/>
      <c r="D762" s="545"/>
      <c r="E762" s="545"/>
      <c r="F762" s="545"/>
    </row>
    <row r="763" spans="1:6" s="547" customFormat="1" x14ac:dyDescent="0.2">
      <c r="A763" s="545"/>
      <c r="B763" s="545"/>
      <c r="C763" s="545"/>
      <c r="D763" s="545"/>
      <c r="E763" s="545"/>
      <c r="F763" s="545"/>
    </row>
    <row r="764" spans="1:6" s="547" customFormat="1" x14ac:dyDescent="0.2">
      <c r="A764" s="545"/>
      <c r="B764" s="545"/>
      <c r="C764" s="545"/>
      <c r="D764" s="545"/>
      <c r="E764" s="545"/>
      <c r="F764" s="545"/>
    </row>
    <row r="765" spans="1:6" s="547" customFormat="1" x14ac:dyDescent="0.2">
      <c r="A765" s="545"/>
      <c r="B765" s="545"/>
      <c r="C765" s="545"/>
      <c r="D765" s="545"/>
      <c r="E765" s="545"/>
      <c r="F765" s="545"/>
    </row>
    <row r="766" spans="1:6" s="547" customFormat="1" x14ac:dyDescent="0.2">
      <c r="A766" s="545"/>
      <c r="B766" s="545"/>
      <c r="C766" s="545"/>
      <c r="D766" s="545"/>
      <c r="E766" s="545"/>
      <c r="F766" s="545"/>
    </row>
    <row r="767" spans="1:6" s="547" customFormat="1" x14ac:dyDescent="0.2">
      <c r="A767" s="545"/>
      <c r="B767" s="545"/>
      <c r="C767" s="545"/>
      <c r="D767" s="545"/>
      <c r="E767" s="545"/>
      <c r="F767" s="545"/>
    </row>
    <row r="768" spans="1:6" s="547" customFormat="1" x14ac:dyDescent="0.2">
      <c r="A768" s="545"/>
      <c r="B768" s="545"/>
      <c r="C768" s="545"/>
      <c r="D768" s="545"/>
      <c r="E768" s="545"/>
      <c r="F768" s="545"/>
    </row>
    <row r="769" spans="1:6" s="547" customFormat="1" x14ac:dyDescent="0.2">
      <c r="A769" s="545"/>
      <c r="B769" s="545"/>
      <c r="C769" s="545"/>
      <c r="D769" s="545"/>
      <c r="E769" s="545"/>
      <c r="F769" s="545"/>
    </row>
    <row r="770" spans="1:6" s="547" customFormat="1" x14ac:dyDescent="0.2">
      <c r="A770" s="545"/>
      <c r="B770" s="545"/>
      <c r="C770" s="545"/>
      <c r="D770" s="545"/>
      <c r="E770" s="545"/>
      <c r="F770" s="545"/>
    </row>
    <row r="771" spans="1:6" s="547" customFormat="1" x14ac:dyDescent="0.2">
      <c r="A771" s="545"/>
      <c r="B771" s="545"/>
      <c r="C771" s="545"/>
      <c r="D771" s="545"/>
      <c r="E771" s="545"/>
      <c r="F771" s="545"/>
    </row>
    <row r="772" spans="1:6" s="547" customFormat="1" x14ac:dyDescent="0.2">
      <c r="A772" s="545"/>
      <c r="B772" s="545"/>
      <c r="C772" s="545"/>
      <c r="D772" s="545"/>
      <c r="E772" s="545"/>
      <c r="F772" s="545"/>
    </row>
    <row r="773" spans="1:6" s="547" customFormat="1" x14ac:dyDescent="0.2">
      <c r="A773" s="545"/>
      <c r="B773" s="545"/>
      <c r="C773" s="545"/>
      <c r="D773" s="545"/>
      <c r="E773" s="545"/>
      <c r="F773" s="545"/>
    </row>
    <row r="774" spans="1:6" s="547" customFormat="1" x14ac:dyDescent="0.2">
      <c r="A774" s="545"/>
      <c r="B774" s="545"/>
      <c r="C774" s="545"/>
      <c r="D774" s="545"/>
      <c r="E774" s="545"/>
      <c r="F774" s="545"/>
    </row>
    <row r="775" spans="1:6" s="547" customFormat="1" x14ac:dyDescent="0.2">
      <c r="A775" s="545"/>
      <c r="B775" s="545"/>
      <c r="C775" s="545"/>
      <c r="D775" s="545"/>
      <c r="E775" s="545"/>
      <c r="F775" s="545"/>
    </row>
    <row r="776" spans="1:6" s="547" customFormat="1" x14ac:dyDescent="0.2">
      <c r="A776" s="545"/>
      <c r="B776" s="545"/>
      <c r="C776" s="545"/>
      <c r="D776" s="545"/>
      <c r="E776" s="545"/>
      <c r="F776" s="545"/>
    </row>
    <row r="777" spans="1:6" s="547" customFormat="1" x14ac:dyDescent="0.2">
      <c r="A777" s="545"/>
      <c r="B777" s="545"/>
      <c r="C777" s="545"/>
      <c r="D777" s="545"/>
      <c r="E777" s="545"/>
      <c r="F777" s="545"/>
    </row>
    <row r="778" spans="1:6" s="547" customFormat="1" x14ac:dyDescent="0.2">
      <c r="A778" s="545"/>
      <c r="B778" s="545"/>
      <c r="C778" s="545"/>
      <c r="D778" s="545"/>
      <c r="E778" s="545"/>
      <c r="F778" s="545"/>
    </row>
    <row r="779" spans="1:6" s="547" customFormat="1" x14ac:dyDescent="0.2">
      <c r="A779" s="545"/>
      <c r="B779" s="545"/>
      <c r="C779" s="545"/>
      <c r="D779" s="545"/>
      <c r="E779" s="545"/>
      <c r="F779" s="545"/>
    </row>
    <row r="780" spans="1:6" s="547" customFormat="1" x14ac:dyDescent="0.2">
      <c r="A780" s="545"/>
      <c r="B780" s="545"/>
      <c r="C780" s="545"/>
      <c r="D780" s="545"/>
      <c r="E780" s="545"/>
      <c r="F780" s="545"/>
    </row>
    <row r="781" spans="1:6" s="547" customFormat="1" x14ac:dyDescent="0.2">
      <c r="A781" s="545"/>
      <c r="B781" s="545"/>
      <c r="C781" s="545"/>
      <c r="D781" s="545"/>
      <c r="E781" s="545"/>
      <c r="F781" s="545"/>
    </row>
    <row r="782" spans="1:6" s="547" customFormat="1" x14ac:dyDescent="0.2">
      <c r="A782" s="545"/>
      <c r="B782" s="545"/>
      <c r="C782" s="545"/>
      <c r="D782" s="545"/>
      <c r="E782" s="545"/>
      <c r="F782" s="545"/>
    </row>
    <row r="783" spans="1:6" s="547" customFormat="1" x14ac:dyDescent="0.2">
      <c r="A783" s="545"/>
      <c r="B783" s="545"/>
      <c r="C783" s="545"/>
      <c r="D783" s="545"/>
      <c r="E783" s="545"/>
      <c r="F783" s="545"/>
    </row>
    <row r="784" spans="1:6" s="547" customFormat="1" x14ac:dyDescent="0.2">
      <c r="A784" s="545"/>
      <c r="B784" s="545"/>
      <c r="C784" s="545"/>
      <c r="D784" s="545"/>
      <c r="E784" s="545"/>
      <c r="F784" s="545"/>
    </row>
    <row r="785" spans="1:6" s="547" customFormat="1" x14ac:dyDescent="0.2">
      <c r="A785" s="545"/>
      <c r="B785" s="545"/>
      <c r="C785" s="545"/>
      <c r="D785" s="545"/>
      <c r="E785" s="545"/>
      <c r="F785" s="545"/>
    </row>
    <row r="786" spans="1:6" s="547" customFormat="1" x14ac:dyDescent="0.2">
      <c r="A786" s="545"/>
      <c r="B786" s="545"/>
      <c r="C786" s="545"/>
      <c r="D786" s="545"/>
      <c r="E786" s="545"/>
      <c r="F786" s="545"/>
    </row>
    <row r="787" spans="1:6" s="547" customFormat="1" x14ac:dyDescent="0.2">
      <c r="A787" s="545"/>
      <c r="B787" s="545"/>
      <c r="C787" s="545"/>
      <c r="D787" s="545"/>
      <c r="E787" s="545"/>
      <c r="F787" s="545"/>
    </row>
    <row r="788" spans="1:6" s="547" customFormat="1" x14ac:dyDescent="0.2">
      <c r="A788" s="545"/>
      <c r="B788" s="545"/>
      <c r="C788" s="545"/>
      <c r="D788" s="545"/>
      <c r="E788" s="545"/>
      <c r="F788" s="545"/>
    </row>
    <row r="789" spans="1:6" s="547" customFormat="1" x14ac:dyDescent="0.2">
      <c r="A789" s="545"/>
      <c r="B789" s="545"/>
      <c r="C789" s="545"/>
      <c r="D789" s="545"/>
      <c r="E789" s="545"/>
      <c r="F789" s="545"/>
    </row>
    <row r="790" spans="1:6" s="547" customFormat="1" x14ac:dyDescent="0.2">
      <c r="A790" s="545"/>
      <c r="B790" s="545"/>
      <c r="C790" s="545"/>
      <c r="D790" s="545"/>
      <c r="E790" s="545"/>
      <c r="F790" s="545"/>
    </row>
    <row r="791" spans="1:6" s="547" customFormat="1" x14ac:dyDescent="0.2">
      <c r="A791" s="545"/>
      <c r="B791" s="545"/>
      <c r="C791" s="545"/>
      <c r="D791" s="545"/>
      <c r="E791" s="545"/>
      <c r="F791" s="545"/>
    </row>
    <row r="792" spans="1:6" s="547" customFormat="1" x14ac:dyDescent="0.2">
      <c r="A792" s="545"/>
      <c r="B792" s="545"/>
      <c r="C792" s="545"/>
      <c r="D792" s="545"/>
      <c r="E792" s="545"/>
      <c r="F792" s="545"/>
    </row>
    <row r="793" spans="1:6" s="547" customFormat="1" x14ac:dyDescent="0.2">
      <c r="A793" s="545"/>
      <c r="B793" s="545"/>
      <c r="C793" s="545"/>
      <c r="D793" s="545"/>
      <c r="E793" s="545"/>
      <c r="F793" s="545"/>
    </row>
    <row r="794" spans="1:6" s="547" customFormat="1" x14ac:dyDescent="0.2">
      <c r="A794" s="545"/>
      <c r="B794" s="545"/>
      <c r="C794" s="545"/>
      <c r="D794" s="545"/>
      <c r="E794" s="545"/>
      <c r="F794" s="545"/>
    </row>
    <row r="795" spans="1:6" s="547" customFormat="1" x14ac:dyDescent="0.2">
      <c r="A795" s="545"/>
      <c r="B795" s="545"/>
      <c r="C795" s="545"/>
      <c r="D795" s="545"/>
      <c r="E795" s="545"/>
      <c r="F795" s="545"/>
    </row>
    <row r="796" spans="1:6" s="547" customFormat="1" x14ac:dyDescent="0.2">
      <c r="A796" s="545"/>
      <c r="B796" s="545"/>
      <c r="C796" s="545"/>
      <c r="D796" s="545"/>
      <c r="E796" s="545"/>
      <c r="F796" s="545"/>
    </row>
    <row r="797" spans="1:6" s="547" customFormat="1" x14ac:dyDescent="0.2">
      <c r="A797" s="545"/>
      <c r="B797" s="545"/>
      <c r="C797" s="545"/>
      <c r="D797" s="545"/>
      <c r="E797" s="545"/>
      <c r="F797" s="545"/>
    </row>
    <row r="798" spans="1:6" s="547" customFormat="1" x14ac:dyDescent="0.2">
      <c r="A798" s="545"/>
      <c r="B798" s="545"/>
      <c r="C798" s="545"/>
      <c r="D798" s="545"/>
      <c r="E798" s="545"/>
      <c r="F798" s="545"/>
    </row>
    <row r="799" spans="1:6" s="547" customFormat="1" x14ac:dyDescent="0.2">
      <c r="A799" s="545"/>
      <c r="B799" s="545"/>
      <c r="C799" s="545"/>
      <c r="D799" s="545"/>
      <c r="E799" s="545"/>
      <c r="F799" s="545"/>
    </row>
    <row r="800" spans="1:6" s="547" customFormat="1" x14ac:dyDescent="0.2">
      <c r="A800" s="545"/>
      <c r="B800" s="545"/>
      <c r="C800" s="545"/>
      <c r="D800" s="545"/>
      <c r="E800" s="545"/>
      <c r="F800" s="545"/>
    </row>
    <row r="801" spans="1:6" s="547" customFormat="1" x14ac:dyDescent="0.2">
      <c r="A801" s="545"/>
      <c r="B801" s="545"/>
      <c r="C801" s="545"/>
      <c r="D801" s="545"/>
      <c r="E801" s="545"/>
      <c r="F801" s="545"/>
    </row>
    <row r="802" spans="1:6" s="547" customFormat="1" x14ac:dyDescent="0.2">
      <c r="A802" s="545"/>
      <c r="B802" s="545"/>
      <c r="C802" s="545"/>
      <c r="D802" s="545"/>
      <c r="E802" s="545"/>
      <c r="F802" s="545"/>
    </row>
    <row r="803" spans="1:6" s="547" customFormat="1" x14ac:dyDescent="0.2">
      <c r="A803" s="545"/>
      <c r="B803" s="545"/>
      <c r="C803" s="545"/>
      <c r="D803" s="545"/>
      <c r="E803" s="545"/>
      <c r="F803" s="545"/>
    </row>
    <row r="804" spans="1:6" s="547" customFormat="1" x14ac:dyDescent="0.2">
      <c r="A804" s="545"/>
      <c r="B804" s="545"/>
      <c r="C804" s="545"/>
      <c r="D804" s="545"/>
      <c r="E804" s="545"/>
      <c r="F804" s="545"/>
    </row>
    <row r="805" spans="1:6" s="547" customFormat="1" x14ac:dyDescent="0.2">
      <c r="A805" s="545"/>
      <c r="B805" s="545"/>
      <c r="C805" s="545"/>
      <c r="D805" s="545"/>
      <c r="E805" s="545"/>
      <c r="F805" s="545"/>
    </row>
    <row r="806" spans="1:6" s="547" customFormat="1" x14ac:dyDescent="0.2">
      <c r="A806" s="545"/>
      <c r="B806" s="545"/>
      <c r="C806" s="545"/>
      <c r="D806" s="545"/>
      <c r="E806" s="545"/>
      <c r="F806" s="545"/>
    </row>
    <row r="807" spans="1:6" s="547" customFormat="1" x14ac:dyDescent="0.2">
      <c r="A807" s="545"/>
      <c r="B807" s="545"/>
      <c r="C807" s="545"/>
      <c r="D807" s="545"/>
      <c r="E807" s="545"/>
      <c r="F807" s="545"/>
    </row>
    <row r="808" spans="1:6" s="547" customFormat="1" x14ac:dyDescent="0.2">
      <c r="A808" s="545"/>
      <c r="B808" s="545"/>
      <c r="C808" s="545"/>
      <c r="D808" s="545"/>
      <c r="E808" s="545"/>
      <c r="F808" s="545"/>
    </row>
    <row r="809" spans="1:6" s="547" customFormat="1" x14ac:dyDescent="0.2">
      <c r="A809" s="545"/>
      <c r="B809" s="545"/>
      <c r="C809" s="545"/>
      <c r="D809" s="545"/>
      <c r="E809" s="545"/>
      <c r="F809" s="545"/>
    </row>
    <row r="810" spans="1:6" s="547" customFormat="1" x14ac:dyDescent="0.2">
      <c r="A810" s="545"/>
      <c r="B810" s="545"/>
      <c r="C810" s="545"/>
      <c r="D810" s="545"/>
      <c r="E810" s="545"/>
      <c r="F810" s="545"/>
    </row>
    <row r="811" spans="1:6" s="547" customFormat="1" x14ac:dyDescent="0.2">
      <c r="A811" s="545"/>
      <c r="B811" s="545"/>
      <c r="C811" s="545"/>
      <c r="D811" s="545"/>
      <c r="E811" s="545"/>
      <c r="F811" s="545"/>
    </row>
    <row r="812" spans="1:6" s="547" customFormat="1" x14ac:dyDescent="0.2">
      <c r="A812" s="545"/>
      <c r="B812" s="545"/>
      <c r="C812" s="545"/>
      <c r="D812" s="545"/>
      <c r="E812" s="545"/>
      <c r="F812" s="545"/>
    </row>
    <row r="813" spans="1:6" s="547" customFormat="1" x14ac:dyDescent="0.2">
      <c r="A813" s="545"/>
      <c r="B813" s="545"/>
      <c r="C813" s="545"/>
      <c r="D813" s="545"/>
      <c r="E813" s="545"/>
      <c r="F813" s="545"/>
    </row>
    <row r="814" spans="1:6" s="547" customFormat="1" x14ac:dyDescent="0.2">
      <c r="A814" s="545"/>
      <c r="B814" s="545"/>
      <c r="C814" s="545"/>
      <c r="D814" s="545"/>
      <c r="E814" s="545"/>
      <c r="F814" s="545"/>
    </row>
    <row r="815" spans="1:6" s="547" customFormat="1" x14ac:dyDescent="0.2">
      <c r="A815" s="545"/>
      <c r="B815" s="545"/>
      <c r="C815" s="545"/>
      <c r="D815" s="545"/>
      <c r="E815" s="545"/>
      <c r="F815" s="545"/>
    </row>
    <row r="816" spans="1:6" s="547" customFormat="1" x14ac:dyDescent="0.2">
      <c r="A816" s="545"/>
      <c r="B816" s="545"/>
      <c r="C816" s="545"/>
      <c r="D816" s="545"/>
      <c r="E816" s="545"/>
      <c r="F816" s="545"/>
    </row>
    <row r="817" spans="1:6" s="547" customFormat="1" x14ac:dyDescent="0.2">
      <c r="A817" s="545"/>
      <c r="B817" s="545"/>
      <c r="C817" s="545"/>
      <c r="D817" s="545"/>
      <c r="E817" s="545"/>
      <c r="F817" s="545"/>
    </row>
    <row r="818" spans="1:6" s="547" customFormat="1" x14ac:dyDescent="0.2">
      <c r="A818" s="545"/>
      <c r="B818" s="545"/>
      <c r="C818" s="545"/>
      <c r="D818" s="545"/>
      <c r="E818" s="545"/>
      <c r="F818" s="545"/>
    </row>
    <row r="819" spans="1:6" s="547" customFormat="1" x14ac:dyDescent="0.2">
      <c r="A819" s="545"/>
      <c r="B819" s="545"/>
      <c r="C819" s="545"/>
      <c r="D819" s="545"/>
      <c r="E819" s="545"/>
      <c r="F819" s="545"/>
    </row>
    <row r="820" spans="1:6" s="547" customFormat="1" x14ac:dyDescent="0.2">
      <c r="A820" s="545"/>
      <c r="B820" s="545"/>
      <c r="C820" s="545"/>
      <c r="D820" s="545"/>
      <c r="E820" s="545"/>
      <c r="F820" s="545"/>
    </row>
    <row r="821" spans="1:6" s="547" customFormat="1" x14ac:dyDescent="0.2">
      <c r="A821" s="545"/>
      <c r="B821" s="545"/>
      <c r="C821" s="545"/>
      <c r="D821" s="545"/>
      <c r="E821" s="545"/>
      <c r="F821" s="545"/>
    </row>
    <row r="822" spans="1:6" s="547" customFormat="1" x14ac:dyDescent="0.2">
      <c r="A822" s="545"/>
      <c r="B822" s="545"/>
      <c r="C822" s="545"/>
      <c r="D822" s="545"/>
      <c r="E822" s="545"/>
      <c r="F822" s="545"/>
    </row>
    <row r="823" spans="1:6" s="547" customFormat="1" x14ac:dyDescent="0.2">
      <c r="A823" s="545"/>
      <c r="B823" s="545"/>
      <c r="C823" s="545"/>
      <c r="D823" s="545"/>
      <c r="E823" s="545"/>
      <c r="F823" s="545"/>
    </row>
    <row r="824" spans="1:6" s="547" customFormat="1" x14ac:dyDescent="0.2">
      <c r="A824" s="545"/>
      <c r="B824" s="545"/>
      <c r="C824" s="545"/>
      <c r="D824" s="545"/>
      <c r="E824" s="545"/>
      <c r="F824" s="545"/>
    </row>
    <row r="825" spans="1:6" s="547" customFormat="1" x14ac:dyDescent="0.2">
      <c r="A825" s="545"/>
      <c r="B825" s="545"/>
      <c r="C825" s="545"/>
      <c r="D825" s="545"/>
      <c r="E825" s="545"/>
      <c r="F825" s="545"/>
    </row>
    <row r="826" spans="1:6" s="547" customFormat="1" x14ac:dyDescent="0.2">
      <c r="A826" s="545"/>
      <c r="B826" s="545"/>
      <c r="C826" s="545"/>
      <c r="D826" s="545"/>
      <c r="E826" s="545"/>
      <c r="F826" s="545"/>
    </row>
    <row r="827" spans="1:6" s="547" customFormat="1" x14ac:dyDescent="0.2">
      <c r="A827" s="545"/>
      <c r="B827" s="545"/>
      <c r="C827" s="545"/>
      <c r="D827" s="545"/>
      <c r="E827" s="545"/>
      <c r="F827" s="545"/>
    </row>
    <row r="828" spans="1:6" s="547" customFormat="1" x14ac:dyDescent="0.2">
      <c r="A828" s="545"/>
      <c r="B828" s="545"/>
      <c r="C828" s="545"/>
      <c r="D828" s="545"/>
      <c r="E828" s="545"/>
      <c r="F828" s="545"/>
    </row>
    <row r="829" spans="1:6" s="547" customFormat="1" x14ac:dyDescent="0.2">
      <c r="A829" s="545"/>
      <c r="B829" s="545"/>
      <c r="C829" s="545"/>
      <c r="D829" s="545"/>
      <c r="E829" s="545"/>
      <c r="F829" s="545"/>
    </row>
    <row r="830" spans="1:6" s="547" customFormat="1" x14ac:dyDescent="0.2">
      <c r="A830" s="545"/>
      <c r="B830" s="545"/>
      <c r="C830" s="545"/>
      <c r="D830" s="545"/>
      <c r="E830" s="545"/>
      <c r="F830" s="545"/>
    </row>
    <row r="831" spans="1:6" s="547" customFormat="1" x14ac:dyDescent="0.2">
      <c r="A831" s="545"/>
      <c r="B831" s="545"/>
      <c r="C831" s="545"/>
      <c r="D831" s="545"/>
      <c r="E831" s="545"/>
      <c r="F831" s="545"/>
    </row>
    <row r="832" spans="1:6" s="547" customFormat="1" x14ac:dyDescent="0.2">
      <c r="A832" s="545"/>
      <c r="B832" s="545"/>
      <c r="C832" s="545"/>
      <c r="D832" s="545"/>
      <c r="E832" s="545"/>
      <c r="F832" s="545"/>
    </row>
    <row r="833" spans="1:6" s="547" customFormat="1" x14ac:dyDescent="0.2">
      <c r="A833" s="545"/>
      <c r="B833" s="545"/>
      <c r="C833" s="545"/>
      <c r="D833" s="545"/>
      <c r="E833" s="545"/>
      <c r="F833" s="545"/>
    </row>
    <row r="834" spans="1:6" s="547" customFormat="1" x14ac:dyDescent="0.2">
      <c r="A834" s="545"/>
      <c r="B834" s="545"/>
      <c r="C834" s="545"/>
      <c r="D834" s="545"/>
      <c r="E834" s="545"/>
      <c r="F834" s="545"/>
    </row>
    <row r="835" spans="1:6" s="547" customFormat="1" x14ac:dyDescent="0.2">
      <c r="A835" s="545"/>
      <c r="B835" s="545"/>
      <c r="C835" s="545"/>
      <c r="D835" s="545"/>
      <c r="E835" s="545"/>
      <c r="F835" s="545"/>
    </row>
    <row r="836" spans="1:6" s="547" customFormat="1" x14ac:dyDescent="0.2">
      <c r="A836" s="545"/>
      <c r="B836" s="545"/>
      <c r="C836" s="545"/>
      <c r="D836" s="545"/>
      <c r="E836" s="545"/>
      <c r="F836" s="545"/>
    </row>
    <row r="837" spans="1:6" s="547" customFormat="1" x14ac:dyDescent="0.2">
      <c r="A837" s="545"/>
      <c r="B837" s="545"/>
      <c r="C837" s="545"/>
      <c r="D837" s="545"/>
      <c r="E837" s="545"/>
      <c r="F837" s="545"/>
    </row>
    <row r="838" spans="1:6" s="547" customFormat="1" x14ac:dyDescent="0.2">
      <c r="A838" s="545"/>
      <c r="B838" s="545"/>
      <c r="C838" s="545"/>
      <c r="D838" s="545"/>
      <c r="E838" s="545"/>
      <c r="F838" s="545"/>
    </row>
    <row r="839" spans="1:6" s="547" customFormat="1" x14ac:dyDescent="0.2">
      <c r="A839" s="545"/>
      <c r="B839" s="545"/>
      <c r="C839" s="545"/>
      <c r="D839" s="545"/>
      <c r="E839" s="545"/>
      <c r="F839" s="545"/>
    </row>
    <row r="840" spans="1:6" s="547" customFormat="1" x14ac:dyDescent="0.2">
      <c r="A840" s="545"/>
      <c r="B840" s="545"/>
      <c r="C840" s="545"/>
      <c r="D840" s="545"/>
      <c r="E840" s="545"/>
      <c r="F840" s="545"/>
    </row>
    <row r="841" spans="1:6" s="547" customFormat="1" x14ac:dyDescent="0.2">
      <c r="A841" s="545"/>
      <c r="B841" s="545"/>
      <c r="C841" s="545"/>
      <c r="D841" s="545"/>
      <c r="E841" s="545"/>
      <c r="F841" s="545"/>
    </row>
    <row r="842" spans="1:6" s="547" customFormat="1" x14ac:dyDescent="0.2">
      <c r="A842" s="545"/>
      <c r="B842" s="545"/>
      <c r="C842" s="545"/>
      <c r="D842" s="545"/>
      <c r="E842" s="545"/>
      <c r="F842" s="545"/>
    </row>
    <row r="843" spans="1:6" s="547" customFormat="1" x14ac:dyDescent="0.2">
      <c r="A843" s="545"/>
      <c r="B843" s="545"/>
      <c r="C843" s="545"/>
      <c r="D843" s="545"/>
      <c r="E843" s="545"/>
      <c r="F843" s="545"/>
    </row>
    <row r="844" spans="1:6" s="547" customFormat="1" x14ac:dyDescent="0.2">
      <c r="A844" s="545"/>
      <c r="B844" s="545"/>
      <c r="C844" s="545"/>
      <c r="D844" s="545"/>
      <c r="E844" s="545"/>
      <c r="F844" s="545"/>
    </row>
    <row r="845" spans="1:6" s="547" customFormat="1" x14ac:dyDescent="0.2">
      <c r="A845" s="545"/>
      <c r="B845" s="545"/>
      <c r="C845" s="545"/>
      <c r="D845" s="545"/>
      <c r="E845" s="545"/>
      <c r="F845" s="545"/>
    </row>
    <row r="846" spans="1:6" s="547" customFormat="1" x14ac:dyDescent="0.2">
      <c r="A846" s="545"/>
      <c r="B846" s="545"/>
      <c r="C846" s="545"/>
      <c r="D846" s="545"/>
      <c r="E846" s="545"/>
      <c r="F846" s="545"/>
    </row>
    <row r="847" spans="1:6" s="547" customFormat="1" x14ac:dyDescent="0.2">
      <c r="A847" s="545"/>
      <c r="B847" s="545"/>
      <c r="C847" s="545"/>
      <c r="D847" s="545"/>
      <c r="E847" s="545"/>
      <c r="F847" s="545"/>
    </row>
    <row r="848" spans="1:6" s="547" customFormat="1" x14ac:dyDescent="0.2">
      <c r="A848" s="545"/>
      <c r="B848" s="545"/>
      <c r="C848" s="545"/>
      <c r="D848" s="545"/>
      <c r="E848" s="545"/>
      <c r="F848" s="545"/>
    </row>
    <row r="849" spans="1:6" s="547" customFormat="1" x14ac:dyDescent="0.2">
      <c r="A849" s="545"/>
      <c r="B849" s="545"/>
      <c r="C849" s="545"/>
      <c r="D849" s="545"/>
      <c r="E849" s="545"/>
      <c r="F849" s="545"/>
    </row>
    <row r="850" spans="1:6" s="547" customFormat="1" x14ac:dyDescent="0.2">
      <c r="A850" s="545"/>
      <c r="B850" s="545"/>
      <c r="C850" s="545"/>
      <c r="D850" s="545"/>
      <c r="E850" s="545"/>
      <c r="F850" s="545"/>
    </row>
    <row r="851" spans="1:6" s="547" customFormat="1" x14ac:dyDescent="0.2">
      <c r="A851" s="545"/>
      <c r="B851" s="545"/>
      <c r="C851" s="545"/>
      <c r="D851" s="545"/>
      <c r="E851" s="545"/>
      <c r="F851" s="545"/>
    </row>
    <row r="852" spans="1:6" s="547" customFormat="1" x14ac:dyDescent="0.2">
      <c r="A852" s="545"/>
      <c r="B852" s="545"/>
      <c r="C852" s="545"/>
      <c r="D852" s="545"/>
      <c r="E852" s="545"/>
      <c r="F852" s="545"/>
    </row>
    <row r="853" spans="1:6" s="547" customFormat="1" x14ac:dyDescent="0.2">
      <c r="A853" s="545"/>
      <c r="B853" s="545"/>
      <c r="C853" s="545"/>
      <c r="D853" s="545"/>
      <c r="E853" s="545"/>
      <c r="F853" s="545"/>
    </row>
    <row r="854" spans="1:6" s="547" customFormat="1" x14ac:dyDescent="0.2">
      <c r="A854" s="545"/>
      <c r="B854" s="545"/>
      <c r="C854" s="545"/>
      <c r="D854" s="545"/>
      <c r="E854" s="545"/>
      <c r="F854" s="545"/>
    </row>
    <row r="855" spans="1:6" s="547" customFormat="1" x14ac:dyDescent="0.2">
      <c r="A855" s="545"/>
      <c r="B855" s="545"/>
      <c r="C855" s="545"/>
      <c r="D855" s="545"/>
      <c r="E855" s="545"/>
      <c r="F855" s="545"/>
    </row>
    <row r="856" spans="1:6" s="547" customFormat="1" x14ac:dyDescent="0.2">
      <c r="A856" s="545"/>
      <c r="B856" s="545"/>
      <c r="C856" s="545"/>
      <c r="D856" s="545"/>
      <c r="E856" s="545"/>
      <c r="F856" s="545"/>
    </row>
    <row r="857" spans="1:6" s="547" customFormat="1" x14ac:dyDescent="0.2">
      <c r="A857" s="545"/>
      <c r="B857" s="545"/>
      <c r="C857" s="545"/>
      <c r="D857" s="545"/>
      <c r="E857" s="545"/>
      <c r="F857" s="545"/>
    </row>
    <row r="858" spans="1:6" s="547" customFormat="1" x14ac:dyDescent="0.2">
      <c r="A858" s="545"/>
      <c r="B858" s="545"/>
      <c r="C858" s="545"/>
      <c r="D858" s="545"/>
      <c r="E858" s="545"/>
      <c r="F858" s="545"/>
    </row>
    <row r="859" spans="1:6" s="547" customFormat="1" x14ac:dyDescent="0.2">
      <c r="A859" s="545"/>
      <c r="B859" s="545"/>
      <c r="C859" s="545"/>
      <c r="D859" s="545"/>
      <c r="E859" s="545"/>
      <c r="F859" s="545"/>
    </row>
    <row r="860" spans="1:6" s="547" customFormat="1" x14ac:dyDescent="0.2">
      <c r="A860" s="545"/>
      <c r="B860" s="545"/>
      <c r="C860" s="545"/>
      <c r="D860" s="545"/>
      <c r="E860" s="545"/>
      <c r="F860" s="545"/>
    </row>
    <row r="861" spans="1:6" s="547" customFormat="1" x14ac:dyDescent="0.2">
      <c r="A861" s="545"/>
      <c r="B861" s="545"/>
      <c r="C861" s="545"/>
      <c r="D861" s="545"/>
      <c r="E861" s="545"/>
      <c r="F861" s="545"/>
    </row>
    <row r="862" spans="1:6" s="547" customFormat="1" x14ac:dyDescent="0.2">
      <c r="A862" s="545"/>
      <c r="B862" s="545"/>
      <c r="C862" s="545"/>
      <c r="D862" s="545"/>
      <c r="E862" s="545"/>
      <c r="F862" s="545"/>
    </row>
    <row r="863" spans="1:6" s="547" customFormat="1" x14ac:dyDescent="0.2">
      <c r="A863" s="545"/>
      <c r="B863" s="545"/>
      <c r="C863" s="545"/>
      <c r="D863" s="545"/>
      <c r="E863" s="545"/>
      <c r="F863" s="545"/>
    </row>
    <row r="864" spans="1:6" s="547" customFormat="1" x14ac:dyDescent="0.2">
      <c r="A864" s="545"/>
      <c r="B864" s="545"/>
      <c r="C864" s="545"/>
      <c r="D864" s="545"/>
      <c r="E864" s="545"/>
      <c r="F864" s="545"/>
    </row>
    <row r="865" spans="1:6" s="547" customFormat="1" x14ac:dyDescent="0.2">
      <c r="A865" s="545"/>
      <c r="B865" s="545"/>
      <c r="C865" s="545"/>
      <c r="D865" s="545"/>
      <c r="E865" s="545"/>
      <c r="F865" s="545"/>
    </row>
    <row r="866" spans="1:6" s="547" customFormat="1" x14ac:dyDescent="0.2">
      <c r="A866" s="545"/>
      <c r="B866" s="545"/>
      <c r="C866" s="545"/>
      <c r="D866" s="545"/>
      <c r="E866" s="545"/>
      <c r="F866" s="545"/>
    </row>
    <row r="867" spans="1:6" s="547" customFormat="1" x14ac:dyDescent="0.2">
      <c r="A867" s="545"/>
      <c r="B867" s="545"/>
      <c r="C867" s="545"/>
      <c r="D867" s="545"/>
      <c r="E867" s="545"/>
      <c r="F867" s="545"/>
    </row>
    <row r="868" spans="1:6" s="547" customFormat="1" x14ac:dyDescent="0.2">
      <c r="A868" s="545"/>
      <c r="B868" s="545"/>
      <c r="C868" s="545"/>
      <c r="D868" s="545"/>
      <c r="E868" s="545"/>
      <c r="F868" s="545"/>
    </row>
    <row r="869" spans="1:6" s="547" customFormat="1" x14ac:dyDescent="0.2">
      <c r="A869" s="545"/>
      <c r="B869" s="545"/>
      <c r="C869" s="545"/>
      <c r="D869" s="545"/>
      <c r="E869" s="545"/>
      <c r="F869" s="545"/>
    </row>
    <row r="870" spans="1:6" s="547" customFormat="1" x14ac:dyDescent="0.2">
      <c r="A870" s="545"/>
      <c r="B870" s="545"/>
      <c r="C870" s="545"/>
      <c r="D870" s="545"/>
      <c r="E870" s="545"/>
      <c r="F870" s="545"/>
    </row>
    <row r="871" spans="1:6" s="547" customFormat="1" x14ac:dyDescent="0.2">
      <c r="A871" s="545"/>
      <c r="B871" s="545"/>
      <c r="C871" s="545"/>
      <c r="D871" s="545"/>
      <c r="E871" s="545"/>
      <c r="F871" s="545"/>
    </row>
    <row r="872" spans="1:6" s="547" customFormat="1" x14ac:dyDescent="0.2">
      <c r="A872" s="545"/>
      <c r="B872" s="545"/>
      <c r="C872" s="545"/>
      <c r="D872" s="545"/>
      <c r="E872" s="545"/>
      <c r="F872" s="545"/>
    </row>
    <row r="873" spans="1:6" s="547" customFormat="1" x14ac:dyDescent="0.2">
      <c r="A873" s="545"/>
      <c r="B873" s="545"/>
      <c r="C873" s="545"/>
      <c r="D873" s="545"/>
      <c r="E873" s="545"/>
      <c r="F873" s="545"/>
    </row>
    <row r="874" spans="1:6" s="547" customFormat="1" x14ac:dyDescent="0.2">
      <c r="A874" s="545"/>
      <c r="B874" s="545"/>
      <c r="C874" s="545"/>
      <c r="D874" s="545"/>
      <c r="E874" s="545"/>
      <c r="F874" s="545"/>
    </row>
    <row r="875" spans="1:6" s="547" customFormat="1" x14ac:dyDescent="0.2">
      <c r="A875" s="545"/>
      <c r="B875" s="545"/>
      <c r="C875" s="545"/>
      <c r="D875" s="545"/>
      <c r="E875" s="545"/>
      <c r="F875" s="545"/>
    </row>
    <row r="876" spans="1:6" s="547" customFormat="1" x14ac:dyDescent="0.2">
      <c r="A876" s="545"/>
      <c r="B876" s="545"/>
      <c r="C876" s="545"/>
      <c r="D876" s="545"/>
      <c r="E876" s="545"/>
      <c r="F876" s="545"/>
    </row>
    <row r="877" spans="1:6" s="547" customFormat="1" x14ac:dyDescent="0.2">
      <c r="A877" s="545"/>
      <c r="B877" s="545"/>
      <c r="C877" s="545"/>
      <c r="D877" s="545"/>
      <c r="E877" s="545"/>
      <c r="F877" s="545"/>
    </row>
    <row r="878" spans="1:6" s="547" customFormat="1" x14ac:dyDescent="0.2">
      <c r="A878" s="545"/>
      <c r="B878" s="545"/>
      <c r="C878" s="545"/>
      <c r="D878" s="545"/>
      <c r="E878" s="545"/>
      <c r="F878" s="545"/>
    </row>
    <row r="879" spans="1:6" s="547" customFormat="1" x14ac:dyDescent="0.2">
      <c r="A879" s="545"/>
      <c r="B879" s="545"/>
      <c r="C879" s="545"/>
      <c r="D879" s="545"/>
      <c r="E879" s="545"/>
      <c r="F879" s="545"/>
    </row>
    <row r="880" spans="1:6" s="547" customFormat="1" x14ac:dyDescent="0.2">
      <c r="A880" s="545"/>
      <c r="B880" s="545"/>
      <c r="C880" s="545"/>
      <c r="D880" s="545"/>
      <c r="E880" s="545"/>
      <c r="F880" s="545"/>
    </row>
    <row r="881" spans="1:6" s="547" customFormat="1" x14ac:dyDescent="0.2">
      <c r="A881" s="545"/>
      <c r="B881" s="545"/>
      <c r="C881" s="545"/>
      <c r="D881" s="545"/>
      <c r="E881" s="545"/>
      <c r="F881" s="545"/>
    </row>
    <row r="882" spans="1:6" s="547" customFormat="1" x14ac:dyDescent="0.2">
      <c r="A882" s="545"/>
      <c r="B882" s="545"/>
      <c r="C882" s="545"/>
      <c r="D882" s="545"/>
      <c r="E882" s="545"/>
      <c r="F882" s="545"/>
    </row>
    <row r="883" spans="1:6" s="547" customFormat="1" x14ac:dyDescent="0.2">
      <c r="A883" s="545"/>
      <c r="B883" s="545"/>
      <c r="C883" s="545"/>
      <c r="D883" s="545"/>
      <c r="E883" s="545"/>
      <c r="F883" s="545"/>
    </row>
    <row r="884" spans="1:6" s="547" customFormat="1" x14ac:dyDescent="0.2">
      <c r="A884" s="545"/>
      <c r="B884" s="545"/>
      <c r="C884" s="545"/>
      <c r="D884" s="545"/>
      <c r="E884" s="545"/>
      <c r="F884" s="545"/>
    </row>
    <row r="885" spans="1:6" s="547" customFormat="1" x14ac:dyDescent="0.2">
      <c r="A885" s="545"/>
      <c r="B885" s="545"/>
      <c r="C885" s="545"/>
      <c r="D885" s="545"/>
      <c r="E885" s="545"/>
      <c r="F885" s="545"/>
    </row>
    <row r="886" spans="1:6" s="547" customFormat="1" x14ac:dyDescent="0.2">
      <c r="A886" s="545"/>
      <c r="B886" s="545"/>
      <c r="C886" s="545"/>
      <c r="D886" s="545"/>
      <c r="E886" s="545"/>
      <c r="F886" s="545"/>
    </row>
    <row r="887" spans="1:6" s="547" customFormat="1" x14ac:dyDescent="0.2">
      <c r="A887" s="545"/>
      <c r="B887" s="545"/>
      <c r="C887" s="545"/>
      <c r="D887" s="545"/>
      <c r="E887" s="545"/>
      <c r="F887" s="545"/>
    </row>
    <row r="888" spans="1:6" s="547" customFormat="1" x14ac:dyDescent="0.2">
      <c r="A888" s="545"/>
      <c r="B888" s="545"/>
      <c r="C888" s="545"/>
      <c r="D888" s="545"/>
      <c r="E888" s="545"/>
      <c r="F888" s="545"/>
    </row>
    <row r="889" spans="1:6" s="547" customFormat="1" x14ac:dyDescent="0.2">
      <c r="A889" s="545"/>
      <c r="B889" s="545"/>
      <c r="C889" s="545"/>
      <c r="D889" s="545"/>
      <c r="E889" s="545"/>
      <c r="F889" s="545"/>
    </row>
    <row r="890" spans="1:6" s="547" customFormat="1" x14ac:dyDescent="0.2">
      <c r="A890" s="545"/>
      <c r="B890" s="545"/>
      <c r="C890" s="545"/>
      <c r="D890" s="545"/>
      <c r="E890" s="545"/>
      <c r="F890" s="545"/>
    </row>
    <row r="891" spans="1:6" s="547" customFormat="1" x14ac:dyDescent="0.2">
      <c r="A891" s="545"/>
      <c r="B891" s="545"/>
      <c r="C891" s="545"/>
      <c r="D891" s="545"/>
      <c r="E891" s="545"/>
      <c r="F891" s="545"/>
    </row>
    <row r="892" spans="1:6" s="547" customFormat="1" x14ac:dyDescent="0.2">
      <c r="A892" s="545"/>
      <c r="B892" s="545"/>
      <c r="C892" s="545"/>
      <c r="D892" s="545"/>
      <c r="E892" s="545"/>
      <c r="F892" s="545"/>
    </row>
    <row r="893" spans="1:6" s="547" customFormat="1" x14ac:dyDescent="0.2">
      <c r="A893" s="545"/>
      <c r="B893" s="545"/>
      <c r="C893" s="545"/>
      <c r="D893" s="545"/>
      <c r="E893" s="545"/>
      <c r="F893" s="545"/>
    </row>
    <row r="894" spans="1:6" s="547" customFormat="1" x14ac:dyDescent="0.2">
      <c r="A894" s="545"/>
      <c r="B894" s="545"/>
      <c r="C894" s="545"/>
      <c r="D894" s="545"/>
      <c r="E894" s="545"/>
      <c r="F894" s="545"/>
    </row>
    <row r="895" spans="1:6" s="547" customFormat="1" x14ac:dyDescent="0.2">
      <c r="A895" s="545"/>
      <c r="B895" s="545"/>
      <c r="C895" s="545"/>
      <c r="D895" s="545"/>
      <c r="E895" s="545"/>
      <c r="F895" s="545"/>
    </row>
    <row r="896" spans="1:6" s="547" customFormat="1" x14ac:dyDescent="0.2">
      <c r="A896" s="545"/>
      <c r="B896" s="545"/>
      <c r="C896" s="545"/>
      <c r="D896" s="545"/>
      <c r="E896" s="545"/>
      <c r="F896" s="545"/>
    </row>
    <row r="897" spans="1:6" s="547" customFormat="1" x14ac:dyDescent="0.2">
      <c r="A897" s="545"/>
      <c r="B897" s="545"/>
      <c r="C897" s="545"/>
      <c r="D897" s="545"/>
      <c r="E897" s="545"/>
      <c r="F897" s="545"/>
    </row>
    <row r="898" spans="1:6" s="547" customFormat="1" x14ac:dyDescent="0.2">
      <c r="A898" s="545"/>
      <c r="B898" s="545"/>
      <c r="C898" s="545"/>
      <c r="D898" s="545"/>
      <c r="E898" s="545"/>
      <c r="F898" s="545"/>
    </row>
    <row r="899" spans="1:6" s="547" customFormat="1" x14ac:dyDescent="0.2">
      <c r="A899" s="545"/>
      <c r="B899" s="545"/>
      <c r="C899" s="545"/>
      <c r="D899" s="545"/>
      <c r="E899" s="545"/>
      <c r="F899" s="545"/>
    </row>
    <row r="900" spans="1:6" s="547" customFormat="1" x14ac:dyDescent="0.2">
      <c r="A900" s="545"/>
      <c r="B900" s="545"/>
      <c r="C900" s="545"/>
      <c r="D900" s="545"/>
      <c r="E900" s="545"/>
      <c r="F900" s="545"/>
    </row>
    <row r="901" spans="1:6" s="547" customFormat="1" x14ac:dyDescent="0.2">
      <c r="A901" s="545"/>
      <c r="B901" s="545"/>
      <c r="C901" s="545"/>
      <c r="D901" s="545"/>
      <c r="E901" s="545"/>
      <c r="F901" s="545"/>
    </row>
    <row r="902" spans="1:6" s="547" customFormat="1" x14ac:dyDescent="0.2">
      <c r="A902" s="545"/>
      <c r="B902" s="545"/>
      <c r="C902" s="545"/>
      <c r="D902" s="545"/>
      <c r="E902" s="545"/>
      <c r="F902" s="545"/>
    </row>
    <row r="903" spans="1:6" s="547" customFormat="1" x14ac:dyDescent="0.2">
      <c r="A903" s="545"/>
      <c r="B903" s="545"/>
      <c r="C903" s="545"/>
      <c r="D903" s="545"/>
      <c r="E903" s="545"/>
      <c r="F903" s="545"/>
    </row>
    <row r="904" spans="1:6" s="547" customFormat="1" x14ac:dyDescent="0.2">
      <c r="A904" s="545"/>
      <c r="B904" s="545"/>
      <c r="C904" s="545"/>
      <c r="D904" s="545"/>
      <c r="E904" s="545"/>
      <c r="F904" s="545"/>
    </row>
    <row r="905" spans="1:6" s="547" customFormat="1" x14ac:dyDescent="0.2">
      <c r="A905" s="545"/>
      <c r="B905" s="545"/>
      <c r="C905" s="545"/>
      <c r="D905" s="545"/>
      <c r="E905" s="545"/>
      <c r="F905" s="545"/>
    </row>
    <row r="906" spans="1:6" s="547" customFormat="1" x14ac:dyDescent="0.2">
      <c r="A906" s="545"/>
      <c r="B906" s="545"/>
      <c r="C906" s="545"/>
      <c r="D906" s="545"/>
      <c r="E906" s="545"/>
      <c r="F906" s="545"/>
    </row>
    <row r="907" spans="1:6" s="547" customFormat="1" x14ac:dyDescent="0.2">
      <c r="A907" s="545"/>
      <c r="B907" s="545"/>
      <c r="C907" s="545"/>
      <c r="D907" s="545"/>
      <c r="E907" s="545"/>
      <c r="F907" s="545"/>
    </row>
    <row r="908" spans="1:6" s="547" customFormat="1" x14ac:dyDescent="0.2">
      <c r="A908" s="545"/>
      <c r="B908" s="545"/>
      <c r="C908" s="545"/>
      <c r="D908" s="545"/>
      <c r="E908" s="545"/>
      <c r="F908" s="545"/>
    </row>
    <row r="909" spans="1:6" s="547" customFormat="1" x14ac:dyDescent="0.2">
      <c r="A909" s="545"/>
      <c r="B909" s="545"/>
      <c r="C909" s="545"/>
      <c r="D909" s="545"/>
      <c r="E909" s="545"/>
      <c r="F909" s="545"/>
    </row>
    <row r="910" spans="1:6" s="547" customFormat="1" x14ac:dyDescent="0.2">
      <c r="A910" s="545"/>
      <c r="B910" s="545"/>
      <c r="C910" s="545"/>
      <c r="D910" s="545"/>
      <c r="E910" s="545"/>
      <c r="F910" s="545"/>
    </row>
    <row r="911" spans="1:6" s="547" customFormat="1" x14ac:dyDescent="0.2">
      <c r="A911" s="545"/>
      <c r="B911" s="545"/>
      <c r="C911" s="545"/>
      <c r="D911" s="545"/>
      <c r="E911" s="545"/>
      <c r="F911" s="545"/>
    </row>
    <row r="912" spans="1:6" s="547" customFormat="1" x14ac:dyDescent="0.2">
      <c r="A912" s="545"/>
      <c r="B912" s="545"/>
      <c r="C912" s="545"/>
      <c r="D912" s="545"/>
      <c r="E912" s="545"/>
      <c r="F912" s="545"/>
    </row>
    <row r="913" spans="1:6" s="547" customFormat="1" x14ac:dyDescent="0.2">
      <c r="A913" s="545"/>
      <c r="B913" s="545"/>
      <c r="C913" s="545"/>
      <c r="D913" s="545"/>
      <c r="E913" s="545"/>
      <c r="F913" s="545"/>
    </row>
    <row r="914" spans="1:6" s="547" customFormat="1" x14ac:dyDescent="0.2">
      <c r="A914" s="545"/>
      <c r="B914" s="545"/>
      <c r="C914" s="545"/>
      <c r="D914" s="545"/>
      <c r="E914" s="545"/>
      <c r="F914" s="545"/>
    </row>
    <row r="915" spans="1:6" s="547" customFormat="1" x14ac:dyDescent="0.2">
      <c r="A915" s="545"/>
      <c r="B915" s="545"/>
      <c r="C915" s="545"/>
      <c r="D915" s="545"/>
      <c r="E915" s="545"/>
      <c r="F915" s="545"/>
    </row>
    <row r="916" spans="1:6" s="547" customFormat="1" x14ac:dyDescent="0.2">
      <c r="A916" s="545"/>
      <c r="B916" s="545"/>
      <c r="C916" s="545"/>
      <c r="D916" s="545"/>
      <c r="E916" s="545"/>
      <c r="F916" s="545"/>
    </row>
    <row r="917" spans="1:6" s="547" customFormat="1" x14ac:dyDescent="0.2">
      <c r="A917" s="545"/>
      <c r="B917" s="545"/>
      <c r="C917" s="545"/>
      <c r="D917" s="545"/>
      <c r="E917" s="545"/>
      <c r="F917" s="545"/>
    </row>
    <row r="918" spans="1:6" s="547" customFormat="1" x14ac:dyDescent="0.2">
      <c r="A918" s="545"/>
      <c r="B918" s="545"/>
      <c r="C918" s="545"/>
      <c r="D918" s="545"/>
      <c r="E918" s="545"/>
      <c r="F918" s="545"/>
    </row>
    <row r="919" spans="1:6" s="547" customFormat="1" x14ac:dyDescent="0.2">
      <c r="A919" s="545"/>
      <c r="B919" s="545"/>
      <c r="C919" s="545"/>
      <c r="D919" s="545"/>
      <c r="E919" s="545"/>
      <c r="F919" s="545"/>
    </row>
    <row r="920" spans="1:6" s="547" customFormat="1" x14ac:dyDescent="0.2">
      <c r="A920" s="545"/>
      <c r="B920" s="545"/>
      <c r="C920" s="545"/>
      <c r="D920" s="545"/>
      <c r="E920" s="545"/>
      <c r="F920" s="545"/>
    </row>
    <row r="921" spans="1:6" s="547" customFormat="1" x14ac:dyDescent="0.2">
      <c r="A921" s="545"/>
      <c r="B921" s="545"/>
      <c r="C921" s="545"/>
      <c r="D921" s="545"/>
      <c r="E921" s="545"/>
      <c r="F921" s="545"/>
    </row>
    <row r="922" spans="1:6" s="547" customFormat="1" x14ac:dyDescent="0.2">
      <c r="A922" s="545"/>
      <c r="B922" s="545"/>
      <c r="C922" s="545"/>
      <c r="D922" s="545"/>
      <c r="E922" s="545"/>
      <c r="F922" s="545"/>
    </row>
    <row r="923" spans="1:6" s="547" customFormat="1" x14ac:dyDescent="0.2">
      <c r="A923" s="545"/>
      <c r="B923" s="545"/>
      <c r="C923" s="545"/>
      <c r="D923" s="545"/>
      <c r="E923" s="545"/>
      <c r="F923" s="545"/>
    </row>
    <row r="924" spans="1:6" s="547" customFormat="1" x14ac:dyDescent="0.2">
      <c r="A924" s="545"/>
      <c r="B924" s="545"/>
      <c r="C924" s="545"/>
      <c r="D924" s="545"/>
      <c r="E924" s="545"/>
      <c r="F924" s="545"/>
    </row>
    <row r="925" spans="1:6" s="547" customFormat="1" x14ac:dyDescent="0.2">
      <c r="A925" s="545"/>
      <c r="B925" s="545"/>
      <c r="C925" s="545"/>
      <c r="D925" s="545"/>
      <c r="E925" s="545"/>
      <c r="F925" s="545"/>
    </row>
    <row r="926" spans="1:6" s="547" customFormat="1" x14ac:dyDescent="0.2">
      <c r="A926" s="545"/>
      <c r="B926" s="545"/>
      <c r="C926" s="545"/>
      <c r="D926" s="545"/>
      <c r="E926" s="545"/>
      <c r="F926" s="545"/>
    </row>
    <row r="927" spans="1:6" s="547" customFormat="1" x14ac:dyDescent="0.2">
      <c r="A927" s="545"/>
      <c r="B927" s="545"/>
      <c r="C927" s="545"/>
      <c r="D927" s="545"/>
      <c r="E927" s="545"/>
      <c r="F927" s="545"/>
    </row>
    <row r="928" spans="1:6" s="547" customFormat="1" x14ac:dyDescent="0.2">
      <c r="A928" s="545"/>
      <c r="B928" s="545"/>
      <c r="C928" s="545"/>
      <c r="D928" s="545"/>
      <c r="E928" s="545"/>
      <c r="F928" s="545"/>
    </row>
    <row r="929" spans="1:6" s="547" customFormat="1" x14ac:dyDescent="0.2">
      <c r="A929" s="545"/>
      <c r="B929" s="545"/>
      <c r="C929" s="545"/>
      <c r="D929" s="545"/>
      <c r="E929" s="545"/>
      <c r="F929" s="545"/>
    </row>
    <row r="930" spans="1:6" s="547" customFormat="1" x14ac:dyDescent="0.2">
      <c r="A930" s="545"/>
      <c r="B930" s="545"/>
      <c r="C930" s="545"/>
      <c r="D930" s="545"/>
      <c r="E930" s="545"/>
      <c r="F930" s="545"/>
    </row>
    <row r="931" spans="1:6" s="547" customFormat="1" x14ac:dyDescent="0.2">
      <c r="A931" s="545"/>
      <c r="B931" s="545"/>
      <c r="C931" s="545"/>
      <c r="D931" s="545"/>
      <c r="E931" s="545"/>
      <c r="F931" s="545"/>
    </row>
    <row r="932" spans="1:6" s="547" customFormat="1" x14ac:dyDescent="0.2">
      <c r="A932" s="545"/>
      <c r="B932" s="545"/>
      <c r="C932" s="545"/>
      <c r="D932" s="545"/>
      <c r="E932" s="545"/>
      <c r="F932" s="545"/>
    </row>
    <row r="933" spans="1:6" s="547" customFormat="1" x14ac:dyDescent="0.2">
      <c r="A933" s="545"/>
      <c r="B933" s="545"/>
      <c r="C933" s="545"/>
      <c r="D933" s="545"/>
      <c r="E933" s="545"/>
      <c r="F933" s="545"/>
    </row>
    <row r="934" spans="1:6" s="547" customFormat="1" x14ac:dyDescent="0.2">
      <c r="A934" s="545"/>
      <c r="B934" s="545"/>
      <c r="C934" s="545"/>
      <c r="D934" s="545"/>
      <c r="E934" s="545"/>
      <c r="F934" s="545"/>
    </row>
    <row r="935" spans="1:6" s="547" customFormat="1" x14ac:dyDescent="0.2">
      <c r="A935" s="545"/>
      <c r="B935" s="545"/>
      <c r="C935" s="545"/>
      <c r="D935" s="545"/>
      <c r="E935" s="545"/>
      <c r="F935" s="545"/>
    </row>
    <row r="936" spans="1:6" s="547" customFormat="1" x14ac:dyDescent="0.2">
      <c r="A936" s="545"/>
      <c r="B936" s="545"/>
      <c r="C936" s="545"/>
      <c r="D936" s="545"/>
      <c r="E936" s="545"/>
      <c r="F936" s="545"/>
    </row>
    <row r="937" spans="1:6" s="547" customFormat="1" x14ac:dyDescent="0.2">
      <c r="A937" s="545"/>
      <c r="B937" s="545"/>
      <c r="C937" s="545"/>
      <c r="D937" s="545"/>
      <c r="E937" s="545"/>
      <c r="F937" s="545"/>
    </row>
    <row r="938" spans="1:6" s="547" customFormat="1" x14ac:dyDescent="0.2">
      <c r="A938" s="545"/>
      <c r="B938" s="545"/>
      <c r="C938" s="545"/>
      <c r="D938" s="545"/>
      <c r="E938" s="545"/>
      <c r="F938" s="545"/>
    </row>
    <row r="939" spans="1:6" s="547" customFormat="1" x14ac:dyDescent="0.2">
      <c r="A939" s="545"/>
      <c r="B939" s="545"/>
      <c r="C939" s="545"/>
      <c r="D939" s="545"/>
      <c r="E939" s="545"/>
      <c r="F939" s="545"/>
    </row>
    <row r="940" spans="1:6" s="547" customFormat="1" x14ac:dyDescent="0.2">
      <c r="A940" s="545"/>
      <c r="B940" s="545"/>
      <c r="C940" s="545"/>
      <c r="D940" s="545"/>
      <c r="E940" s="545"/>
      <c r="F940" s="545"/>
    </row>
    <row r="941" spans="1:6" s="547" customFormat="1" x14ac:dyDescent="0.2">
      <c r="A941" s="545"/>
      <c r="B941" s="545"/>
      <c r="C941" s="545"/>
      <c r="D941" s="545"/>
      <c r="E941" s="545"/>
      <c r="F941" s="545"/>
    </row>
    <row r="942" spans="1:6" s="547" customFormat="1" x14ac:dyDescent="0.2">
      <c r="A942" s="545"/>
      <c r="B942" s="545"/>
      <c r="C942" s="545"/>
      <c r="D942" s="545"/>
      <c r="E942" s="545"/>
      <c r="F942" s="545"/>
    </row>
    <row r="943" spans="1:6" s="547" customFormat="1" x14ac:dyDescent="0.2">
      <c r="A943" s="545"/>
      <c r="B943" s="545"/>
      <c r="C943" s="545"/>
      <c r="D943" s="545"/>
      <c r="E943" s="545"/>
      <c r="F943" s="545"/>
    </row>
    <row r="944" spans="1:6" s="547" customFormat="1" x14ac:dyDescent="0.2">
      <c r="A944" s="545"/>
      <c r="B944" s="545"/>
      <c r="C944" s="545"/>
      <c r="D944" s="545"/>
      <c r="E944" s="545"/>
      <c r="F944" s="545"/>
    </row>
    <row r="945" spans="1:6" s="547" customFormat="1" x14ac:dyDescent="0.2">
      <c r="A945" s="545"/>
      <c r="B945" s="545"/>
      <c r="C945" s="545"/>
      <c r="D945" s="545"/>
      <c r="E945" s="545"/>
      <c r="F945" s="545"/>
    </row>
    <row r="946" spans="1:6" s="547" customFormat="1" x14ac:dyDescent="0.2">
      <c r="A946" s="545"/>
      <c r="B946" s="545"/>
      <c r="C946" s="545"/>
      <c r="D946" s="545"/>
      <c r="E946" s="545"/>
      <c r="F946" s="545"/>
    </row>
    <row r="947" spans="1:6" s="547" customFormat="1" x14ac:dyDescent="0.2">
      <c r="A947" s="545"/>
      <c r="B947" s="545"/>
      <c r="C947" s="545"/>
      <c r="D947" s="545"/>
      <c r="E947" s="545"/>
      <c r="F947" s="545"/>
    </row>
    <row r="948" spans="1:6" s="547" customFormat="1" x14ac:dyDescent="0.2">
      <c r="A948" s="545"/>
      <c r="B948" s="545"/>
      <c r="C948" s="545"/>
      <c r="D948" s="545"/>
      <c r="E948" s="545"/>
      <c r="F948" s="545"/>
    </row>
    <row r="949" spans="1:6" s="547" customFormat="1" x14ac:dyDescent="0.2">
      <c r="A949" s="545"/>
      <c r="B949" s="545"/>
      <c r="C949" s="545"/>
      <c r="D949" s="545"/>
      <c r="E949" s="545"/>
      <c r="F949" s="545"/>
    </row>
    <row r="950" spans="1:6" s="547" customFormat="1" x14ac:dyDescent="0.2">
      <c r="A950" s="545"/>
      <c r="B950" s="545"/>
      <c r="C950" s="545"/>
      <c r="D950" s="545"/>
      <c r="E950" s="545"/>
      <c r="F950" s="545"/>
    </row>
    <row r="951" spans="1:6" s="547" customFormat="1" x14ac:dyDescent="0.2">
      <c r="A951" s="545"/>
      <c r="B951" s="545"/>
      <c r="C951" s="545"/>
      <c r="D951" s="545"/>
      <c r="E951" s="545"/>
      <c r="F951" s="545"/>
    </row>
    <row r="952" spans="1:6" s="547" customFormat="1" x14ac:dyDescent="0.2">
      <c r="A952" s="545"/>
      <c r="B952" s="545"/>
      <c r="C952" s="545"/>
      <c r="D952" s="545"/>
      <c r="E952" s="545"/>
      <c r="F952" s="545"/>
    </row>
    <row r="953" spans="1:6" s="547" customFormat="1" x14ac:dyDescent="0.2">
      <c r="A953" s="545"/>
      <c r="B953" s="545"/>
      <c r="C953" s="545"/>
      <c r="D953" s="545"/>
      <c r="E953" s="545"/>
      <c r="F953" s="545"/>
    </row>
    <row r="954" spans="1:6" s="547" customFormat="1" x14ac:dyDescent="0.2">
      <c r="A954" s="545"/>
      <c r="B954" s="545"/>
      <c r="C954" s="545"/>
      <c r="D954" s="545"/>
      <c r="E954" s="545"/>
      <c r="F954" s="545"/>
    </row>
    <row r="955" spans="1:6" s="547" customFormat="1" x14ac:dyDescent="0.2">
      <c r="A955" s="545"/>
      <c r="B955" s="545"/>
      <c r="C955" s="545"/>
      <c r="D955" s="545"/>
      <c r="E955" s="545"/>
      <c r="F955" s="545"/>
    </row>
    <row r="956" spans="1:6" s="547" customFormat="1" x14ac:dyDescent="0.2">
      <c r="A956" s="545"/>
      <c r="B956" s="545"/>
      <c r="C956" s="545"/>
      <c r="D956" s="545"/>
      <c r="E956" s="545"/>
      <c r="F956" s="545"/>
    </row>
    <row r="957" spans="1:6" s="547" customFormat="1" x14ac:dyDescent="0.2">
      <c r="A957" s="545"/>
      <c r="B957" s="545"/>
      <c r="C957" s="545"/>
      <c r="D957" s="545"/>
      <c r="E957" s="545"/>
      <c r="F957" s="545"/>
    </row>
    <row r="958" spans="1:6" s="547" customFormat="1" x14ac:dyDescent="0.2">
      <c r="A958" s="545"/>
      <c r="B958" s="545"/>
      <c r="C958" s="545"/>
      <c r="D958" s="545"/>
      <c r="E958" s="545"/>
      <c r="F958" s="545"/>
    </row>
    <row r="959" spans="1:6" s="547" customFormat="1" x14ac:dyDescent="0.2">
      <c r="A959" s="545"/>
      <c r="B959" s="545"/>
      <c r="C959" s="545"/>
      <c r="D959" s="545"/>
      <c r="E959" s="545"/>
      <c r="F959" s="545"/>
    </row>
    <row r="960" spans="1:6" s="547" customFormat="1" x14ac:dyDescent="0.2">
      <c r="A960" s="545"/>
      <c r="B960" s="545"/>
      <c r="C960" s="545"/>
      <c r="D960" s="545"/>
      <c r="E960" s="545"/>
      <c r="F960" s="545"/>
    </row>
    <row r="961" spans="1:6" s="547" customFormat="1" x14ac:dyDescent="0.2">
      <c r="A961" s="545"/>
      <c r="B961" s="545"/>
      <c r="C961" s="545"/>
      <c r="D961" s="545"/>
      <c r="E961" s="545"/>
      <c r="F961" s="545"/>
    </row>
    <row r="962" spans="1:6" s="547" customFormat="1" x14ac:dyDescent="0.2">
      <c r="A962" s="545"/>
      <c r="B962" s="545"/>
      <c r="C962" s="545"/>
      <c r="D962" s="545"/>
      <c r="E962" s="545"/>
      <c r="F962" s="545"/>
    </row>
    <row r="963" spans="1:6" s="547" customFormat="1" x14ac:dyDescent="0.2">
      <c r="A963" s="545"/>
      <c r="B963" s="545"/>
      <c r="C963" s="545"/>
      <c r="D963" s="545"/>
      <c r="E963" s="545"/>
      <c r="F963" s="545"/>
    </row>
    <row r="964" spans="1:6" s="547" customFormat="1" x14ac:dyDescent="0.2">
      <c r="A964" s="545"/>
      <c r="B964" s="545"/>
      <c r="C964" s="545"/>
      <c r="D964" s="545"/>
      <c r="E964" s="545"/>
      <c r="F964" s="545"/>
    </row>
    <row r="965" spans="1:6" s="547" customFormat="1" x14ac:dyDescent="0.2">
      <c r="A965" s="545"/>
      <c r="B965" s="545"/>
      <c r="C965" s="545"/>
      <c r="D965" s="545"/>
      <c r="E965" s="545"/>
      <c r="F965" s="545"/>
    </row>
    <row r="966" spans="1:6" s="547" customFormat="1" x14ac:dyDescent="0.2">
      <c r="A966" s="545"/>
      <c r="B966" s="545"/>
      <c r="C966" s="545"/>
      <c r="D966" s="545"/>
      <c r="E966" s="545"/>
      <c r="F966" s="545"/>
    </row>
    <row r="967" spans="1:6" s="547" customFormat="1" x14ac:dyDescent="0.2">
      <c r="A967" s="545"/>
      <c r="B967" s="545"/>
      <c r="C967" s="545"/>
      <c r="D967" s="545"/>
      <c r="E967" s="545"/>
      <c r="F967" s="545"/>
    </row>
    <row r="968" spans="1:6" s="547" customFormat="1" x14ac:dyDescent="0.2">
      <c r="A968" s="545"/>
      <c r="B968" s="545"/>
      <c r="C968" s="545"/>
      <c r="D968" s="545"/>
      <c r="E968" s="545"/>
      <c r="F968" s="545"/>
    </row>
    <row r="969" spans="1:6" s="547" customFormat="1" x14ac:dyDescent="0.2">
      <c r="A969" s="545"/>
      <c r="B969" s="545"/>
      <c r="C969" s="545"/>
      <c r="D969" s="545"/>
      <c r="E969" s="545"/>
      <c r="F969" s="545"/>
    </row>
    <row r="970" spans="1:6" s="547" customFormat="1" x14ac:dyDescent="0.2">
      <c r="A970" s="545"/>
      <c r="B970" s="545"/>
      <c r="C970" s="545"/>
      <c r="D970" s="545"/>
      <c r="E970" s="545"/>
      <c r="F970" s="545"/>
    </row>
    <row r="971" spans="1:6" s="547" customFormat="1" x14ac:dyDescent="0.2">
      <c r="A971" s="545"/>
      <c r="B971" s="545"/>
      <c r="C971" s="545"/>
      <c r="D971" s="545"/>
      <c r="E971" s="545"/>
      <c r="F971" s="545"/>
    </row>
  </sheetData>
  <printOptions gridLines="1"/>
  <pageMargins left="0.7" right="0.7" top="0.75" bottom="0.75" header="0.3" footer="0.3"/>
  <pageSetup paperSize="9" scale="84" orientation="portrait" r:id="rId1"/>
  <headerFooter>
    <oddHeader>&amp;R&amp;"Times New Roman,Bold Italic"&amp;8&amp;UGENERAL SUMMARY</oddHead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2F1F-3AB4-43DD-8370-03AE7D20C839}">
  <dimension ref="A1:J36"/>
  <sheetViews>
    <sheetView view="pageBreakPreview" topLeftCell="A28" zoomScaleNormal="100" zoomScaleSheetLayoutView="100" zoomScalePageLayoutView="85" workbookViewId="0">
      <selection activeCell="B32" sqref="B32:I32"/>
    </sheetView>
  </sheetViews>
  <sheetFormatPr defaultColWidth="9.140625" defaultRowHeight="15" x14ac:dyDescent="0.25"/>
  <cols>
    <col min="1" max="1" width="9.140625" style="496"/>
    <col min="2" max="16384" width="9.140625" style="482"/>
  </cols>
  <sheetData>
    <row r="1" spans="1:10" ht="60" customHeight="1" x14ac:dyDescent="0.25">
      <c r="A1" s="675" t="s">
        <v>1052</v>
      </c>
      <c r="B1" s="675"/>
      <c r="C1" s="675"/>
      <c r="D1" s="675"/>
      <c r="E1" s="675"/>
      <c r="F1" s="675"/>
      <c r="G1" s="675"/>
      <c r="H1" s="675"/>
      <c r="I1" s="675"/>
      <c r="J1" s="675"/>
    </row>
    <row r="2" spans="1:10" ht="18" x14ac:dyDescent="0.25">
      <c r="A2" s="483"/>
      <c r="B2" s="484"/>
      <c r="C2" s="484"/>
      <c r="D2" s="484"/>
    </row>
    <row r="3" spans="1:10" ht="18" x14ac:dyDescent="0.25">
      <c r="A3" s="483"/>
      <c r="B3" s="484"/>
      <c r="C3" s="484"/>
      <c r="D3" s="484"/>
    </row>
    <row r="4" spans="1:10" ht="33" x14ac:dyDescent="0.25">
      <c r="A4" s="676" t="s">
        <v>958</v>
      </c>
      <c r="B4" s="676"/>
      <c r="C4" s="676"/>
      <c r="D4" s="676"/>
      <c r="E4" s="676"/>
      <c r="F4" s="676"/>
      <c r="G4" s="676"/>
      <c r="H4" s="676"/>
      <c r="I4" s="676"/>
      <c r="J4" s="676"/>
    </row>
    <row r="5" spans="1:10" x14ac:dyDescent="0.25">
      <c r="A5" s="482"/>
      <c r="D5" s="484"/>
    </row>
    <row r="6" spans="1:10" ht="18" x14ac:dyDescent="0.25">
      <c r="A6" s="485"/>
      <c r="B6" s="486"/>
      <c r="C6" s="484"/>
      <c r="D6" s="484"/>
    </row>
    <row r="7" spans="1:10" ht="18" x14ac:dyDescent="0.25">
      <c r="A7" s="485"/>
      <c r="B7" s="486"/>
      <c r="C7" s="484"/>
      <c r="D7" s="484"/>
    </row>
    <row r="8" spans="1:10" ht="29.25" x14ac:dyDescent="0.25">
      <c r="A8" s="487" t="s">
        <v>954</v>
      </c>
      <c r="B8" s="484"/>
      <c r="C8" s="484"/>
      <c r="D8" s="484"/>
      <c r="E8" s="484"/>
      <c r="F8" s="484"/>
      <c r="G8" s="484"/>
    </row>
    <row r="9" spans="1:10" ht="39" customHeight="1" x14ac:dyDescent="0.25">
      <c r="A9" s="677" t="s">
        <v>1053</v>
      </c>
      <c r="B9" s="677"/>
      <c r="C9" s="677"/>
      <c r="D9" s="677"/>
      <c r="E9" s="677"/>
      <c r="F9" s="677"/>
      <c r="G9" s="677"/>
      <c r="H9" s="677"/>
      <c r="I9" s="677"/>
      <c r="J9" s="677"/>
    </row>
    <row r="10" spans="1:10" ht="14.45" customHeight="1" x14ac:dyDescent="0.25">
      <c r="A10" s="677"/>
      <c r="B10" s="677"/>
      <c r="C10" s="677"/>
      <c r="D10" s="677"/>
      <c r="E10" s="677"/>
      <c r="F10" s="677"/>
      <c r="G10" s="677"/>
      <c r="H10" s="677"/>
      <c r="I10" s="677"/>
      <c r="J10" s="677"/>
    </row>
    <row r="11" spans="1:10" x14ac:dyDescent="0.25">
      <c r="A11" s="677"/>
      <c r="B11" s="677"/>
      <c r="C11" s="677"/>
      <c r="D11" s="677"/>
      <c r="E11" s="677"/>
      <c r="F11" s="677"/>
      <c r="G11" s="677"/>
      <c r="H11" s="677"/>
      <c r="I11" s="677"/>
      <c r="J11" s="677"/>
    </row>
    <row r="12" spans="1:10" ht="14.45" customHeight="1" x14ac:dyDescent="0.25">
      <c r="A12" s="488"/>
      <c r="B12" s="488"/>
      <c r="C12" s="488"/>
      <c r="D12" s="488"/>
      <c r="E12" s="488"/>
      <c r="F12" s="488"/>
      <c r="G12" s="488"/>
      <c r="H12" s="488"/>
      <c r="I12" s="488"/>
      <c r="J12" s="488"/>
    </row>
    <row r="13" spans="1:10" ht="14.45" customHeight="1" x14ac:dyDescent="0.25">
      <c r="A13" s="488"/>
      <c r="B13" s="488"/>
      <c r="C13" s="488"/>
      <c r="D13" s="488"/>
      <c r="E13" s="488"/>
      <c r="F13" s="488"/>
      <c r="G13" s="488"/>
      <c r="H13" s="488"/>
      <c r="I13" s="488"/>
      <c r="J13" s="488"/>
    </row>
    <row r="14" spans="1:10" ht="29.25" x14ac:dyDescent="0.25">
      <c r="A14" s="487" t="s">
        <v>955</v>
      </c>
      <c r="B14" s="484"/>
      <c r="C14" s="484"/>
      <c r="D14" s="484"/>
      <c r="E14" s="484"/>
      <c r="F14" s="484"/>
      <c r="G14" s="484"/>
    </row>
    <row r="15" spans="1:10" ht="39" customHeight="1" x14ac:dyDescent="0.25">
      <c r="A15" s="677" t="s">
        <v>1054</v>
      </c>
      <c r="B15" s="677"/>
      <c r="C15" s="677"/>
      <c r="D15" s="677"/>
      <c r="E15" s="677"/>
      <c r="F15" s="677"/>
      <c r="G15" s="677"/>
      <c r="H15" s="677"/>
      <c r="I15" s="677"/>
      <c r="J15" s="677"/>
    </row>
    <row r="16" spans="1:10" ht="14.45" customHeight="1" x14ac:dyDescent="0.25">
      <c r="A16" s="677"/>
      <c r="B16" s="677"/>
      <c r="C16" s="677"/>
      <c r="D16" s="677"/>
      <c r="E16" s="677"/>
      <c r="F16" s="677"/>
      <c r="G16" s="677"/>
      <c r="H16" s="677"/>
      <c r="I16" s="677"/>
      <c r="J16" s="677"/>
    </row>
    <row r="17" spans="1:10" x14ac:dyDescent="0.25">
      <c r="A17" s="677"/>
      <c r="B17" s="677"/>
      <c r="C17" s="677"/>
      <c r="D17" s="677"/>
      <c r="E17" s="677"/>
      <c r="F17" s="677"/>
      <c r="G17" s="677"/>
      <c r="H17" s="677"/>
      <c r="I17" s="677"/>
      <c r="J17" s="677"/>
    </row>
    <row r="18" spans="1:10" ht="14.45" customHeight="1" x14ac:dyDescent="0.25">
      <c r="A18" s="488"/>
      <c r="B18" s="488"/>
      <c r="C18" s="488"/>
      <c r="D18" s="488"/>
      <c r="E18" s="488"/>
      <c r="F18" s="488"/>
      <c r="G18" s="488"/>
      <c r="H18" s="488"/>
      <c r="I18" s="488"/>
      <c r="J18" s="488"/>
    </row>
    <row r="19" spans="1:10" ht="14.45" customHeight="1" x14ac:dyDescent="0.25">
      <c r="A19" s="488"/>
      <c r="B19" s="488"/>
      <c r="C19" s="488"/>
      <c r="D19" s="488"/>
      <c r="E19" s="488"/>
      <c r="F19" s="488"/>
      <c r="G19" s="488"/>
      <c r="H19" s="488"/>
      <c r="I19" s="488"/>
      <c r="J19" s="488"/>
    </row>
    <row r="20" spans="1:10" ht="14.45" customHeight="1" x14ac:dyDescent="0.25">
      <c r="A20" s="488"/>
      <c r="B20" s="488"/>
      <c r="C20" s="488"/>
      <c r="D20" s="488"/>
      <c r="E20" s="488"/>
      <c r="F20" s="488"/>
      <c r="G20" s="488"/>
      <c r="H20" s="488"/>
      <c r="I20" s="488"/>
      <c r="J20" s="488"/>
    </row>
    <row r="21" spans="1:10" ht="14.45" customHeight="1" x14ac:dyDescent="0.25">
      <c r="A21" s="488"/>
      <c r="B21" s="488"/>
      <c r="C21" s="488"/>
      <c r="D21" s="488"/>
      <c r="E21" s="488"/>
      <c r="F21" s="488"/>
      <c r="G21" s="488"/>
      <c r="H21" s="488"/>
      <c r="I21" s="488"/>
      <c r="J21" s="488"/>
    </row>
    <row r="22" spans="1:10" ht="14.45" customHeight="1" x14ac:dyDescent="0.25">
      <c r="A22" s="489" t="s">
        <v>956</v>
      </c>
      <c r="B22" s="488"/>
      <c r="C22" s="488"/>
      <c r="D22" s="488"/>
      <c r="E22" s="488"/>
      <c r="F22" s="488"/>
      <c r="G22" s="488"/>
      <c r="H22" s="488"/>
      <c r="I22" s="488"/>
      <c r="J22" s="488"/>
    </row>
    <row r="23" spans="1:10" ht="14.45" customHeight="1" x14ac:dyDescent="0.25">
      <c r="A23" s="489"/>
      <c r="B23" s="488"/>
      <c r="C23" s="488"/>
      <c r="D23" s="488"/>
      <c r="E23" s="488"/>
      <c r="F23" s="488"/>
      <c r="G23" s="488"/>
      <c r="H23" s="488"/>
      <c r="I23" s="488"/>
      <c r="J23" s="488"/>
    </row>
    <row r="24" spans="1:10" ht="14.45" customHeight="1" x14ac:dyDescent="0.25">
      <c r="A24" s="489"/>
      <c r="B24" s="488"/>
      <c r="C24" s="488"/>
      <c r="D24" s="488"/>
      <c r="E24" s="488"/>
      <c r="F24" s="488"/>
      <c r="G24" s="488"/>
      <c r="H24" s="488"/>
      <c r="I24" s="488"/>
      <c r="J24" s="488"/>
    </row>
    <row r="25" spans="1:10" ht="14.45" customHeight="1" x14ac:dyDescent="0.25">
      <c r="A25" s="489"/>
      <c r="B25" s="488"/>
      <c r="C25" s="488"/>
      <c r="D25" s="488"/>
      <c r="E25" s="488"/>
      <c r="F25" s="488"/>
      <c r="G25" s="488"/>
      <c r="H25" s="488"/>
      <c r="I25" s="488"/>
      <c r="J25" s="488"/>
    </row>
    <row r="26" spans="1:10" ht="14.45" customHeight="1" x14ac:dyDescent="0.25">
      <c r="A26" s="489"/>
      <c r="B26" s="488"/>
      <c r="C26" s="488"/>
      <c r="D26" s="488"/>
      <c r="E26" s="488"/>
      <c r="F26" s="488"/>
      <c r="G26" s="488"/>
      <c r="H26" s="488"/>
      <c r="I26" s="488"/>
      <c r="J26" s="488"/>
    </row>
    <row r="27" spans="1:10" ht="14.45" customHeight="1" x14ac:dyDescent="0.25">
      <c r="A27" s="488"/>
      <c r="B27" s="488"/>
      <c r="C27" s="488"/>
      <c r="D27" s="488"/>
      <c r="E27" s="488"/>
      <c r="F27" s="488"/>
      <c r="G27" s="488"/>
      <c r="H27" s="488"/>
      <c r="I27" s="488"/>
      <c r="J27" s="488"/>
    </row>
    <row r="28" spans="1:10" ht="38.25" x14ac:dyDescent="0.25">
      <c r="A28" s="678" t="s">
        <v>982</v>
      </c>
      <c r="B28" s="678"/>
      <c r="C28" s="678"/>
      <c r="D28" s="678"/>
      <c r="E28" s="678"/>
      <c r="F28" s="678"/>
      <c r="G28" s="678"/>
      <c r="H28" s="678"/>
      <c r="I28" s="678"/>
      <c r="J28" s="678"/>
    </row>
    <row r="29" spans="1:10" ht="38.25" x14ac:dyDescent="0.25">
      <c r="A29" s="490"/>
      <c r="B29" s="490"/>
      <c r="C29" s="490"/>
      <c r="D29" s="490"/>
      <c r="E29" s="490"/>
      <c r="F29" s="490"/>
      <c r="G29" s="490"/>
      <c r="H29" s="490"/>
      <c r="I29" s="490"/>
      <c r="J29" s="490"/>
    </row>
    <row r="30" spans="1:10" ht="38.25" x14ac:dyDescent="0.25">
      <c r="A30" s="679" t="s">
        <v>957</v>
      </c>
      <c r="B30" s="679"/>
      <c r="C30" s="679"/>
      <c r="D30" s="679"/>
      <c r="E30" s="490"/>
      <c r="F30" s="490"/>
      <c r="G30" s="490"/>
      <c r="H30" s="490"/>
      <c r="I30" s="490"/>
      <c r="J30" s="490"/>
    </row>
    <row r="31" spans="1:10" ht="21.6" customHeight="1" x14ac:dyDescent="0.25">
      <c r="A31" s="491"/>
      <c r="B31" s="680" t="s">
        <v>984</v>
      </c>
      <c r="C31" s="680"/>
      <c r="D31" s="680"/>
      <c r="E31" s="680"/>
      <c r="F31" s="680"/>
      <c r="G31" s="680"/>
      <c r="H31" s="680"/>
      <c r="I31" s="680"/>
      <c r="J31" s="490"/>
    </row>
    <row r="32" spans="1:10" ht="14.45" customHeight="1" x14ac:dyDescent="0.25">
      <c r="A32" s="484"/>
      <c r="B32" s="673"/>
      <c r="C32" s="673"/>
      <c r="D32" s="673"/>
      <c r="E32" s="673"/>
      <c r="F32" s="673"/>
      <c r="G32" s="673"/>
      <c r="H32" s="673"/>
      <c r="I32" s="673"/>
      <c r="J32" s="484"/>
    </row>
    <row r="33" spans="1:10" ht="14.45" customHeight="1" x14ac:dyDescent="0.25">
      <c r="A33" s="488"/>
      <c r="B33" s="488"/>
      <c r="C33" s="488"/>
      <c r="D33" s="488"/>
      <c r="E33" s="488"/>
      <c r="F33" s="488"/>
      <c r="G33" s="488"/>
      <c r="H33" s="488"/>
      <c r="I33" s="488"/>
      <c r="J33" s="488"/>
    </row>
    <row r="34" spans="1:10" x14ac:dyDescent="0.25">
      <c r="A34" s="492"/>
      <c r="B34" s="493"/>
      <c r="C34" s="484"/>
      <c r="D34" s="494"/>
    </row>
    <row r="35" spans="1:10" ht="29.25" x14ac:dyDescent="0.25">
      <c r="A35" s="674" t="s">
        <v>1055</v>
      </c>
      <c r="B35" s="674"/>
      <c r="C35" s="674"/>
      <c r="D35" s="674"/>
      <c r="E35" s="674"/>
      <c r="F35" s="674"/>
      <c r="G35" s="674"/>
      <c r="H35" s="674"/>
      <c r="I35" s="674"/>
      <c r="J35" s="674"/>
    </row>
    <row r="36" spans="1:10" x14ac:dyDescent="0.25">
      <c r="A36" s="495"/>
      <c r="G36" s="489"/>
    </row>
  </sheetData>
  <mergeCells count="9">
    <mergeCell ref="B32:I32"/>
    <mergeCell ref="A35:J35"/>
    <mergeCell ref="A1:J1"/>
    <mergeCell ref="A4:J4"/>
    <mergeCell ref="A9:J11"/>
    <mergeCell ref="A15:J17"/>
    <mergeCell ref="A28:J28"/>
    <mergeCell ref="A30:D30"/>
    <mergeCell ref="B31:I31"/>
  </mergeCells>
  <printOptions horizontalCentered="1"/>
  <pageMargins left="1.1000000000000001" right="0.45" top="0.5" bottom="0.2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D006-C1F5-4949-B6D2-C5EF2C28422B}">
  <dimension ref="A1:J29"/>
  <sheetViews>
    <sheetView view="pageBreakPreview" topLeftCell="A2" zoomScaleNormal="96" zoomScaleSheetLayoutView="100" workbookViewId="0">
      <selection activeCell="D11" sqref="D11"/>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row r="6" spans="1:10" ht="17.25" customHeight="1" x14ac:dyDescent="0.4"/>
    <row r="8" spans="1:10" ht="8.25" customHeight="1" x14ac:dyDescent="0.4"/>
    <row r="9" spans="1:10" hidden="1" x14ac:dyDescent="0.4"/>
    <row r="10" spans="1:10" ht="5.25" hidden="1" customHeight="1" x14ac:dyDescent="0.4"/>
    <row r="12" spans="1:10" ht="17.25" customHeight="1" x14ac:dyDescent="0.4"/>
    <row r="15" spans="1:10" ht="26.25" customHeight="1" x14ac:dyDescent="0.4">
      <c r="A15" s="682" t="s">
        <v>1037</v>
      </c>
      <c r="B15" s="682"/>
      <c r="C15" s="682"/>
      <c r="D15" s="682"/>
      <c r="E15" s="682"/>
      <c r="F15" s="682"/>
      <c r="G15" s="682"/>
      <c r="H15" s="682"/>
      <c r="I15" s="682"/>
      <c r="J15" s="682"/>
    </row>
    <row r="16" spans="1:10" ht="26.25" customHeight="1" x14ac:dyDescent="0.4">
      <c r="A16" s="682"/>
      <c r="B16" s="682"/>
      <c r="C16" s="682"/>
      <c r="D16" s="682"/>
      <c r="E16" s="682"/>
      <c r="F16" s="682"/>
      <c r="G16" s="682"/>
      <c r="H16" s="682"/>
      <c r="I16" s="682"/>
      <c r="J16" s="682"/>
    </row>
    <row r="17" spans="1:10" ht="26.25" customHeight="1" x14ac:dyDescent="0.4">
      <c r="A17" s="682"/>
      <c r="B17" s="682"/>
      <c r="C17" s="682"/>
      <c r="D17" s="682"/>
      <c r="E17" s="682"/>
      <c r="F17" s="682"/>
      <c r="G17" s="682"/>
      <c r="H17" s="682"/>
      <c r="I17" s="682"/>
      <c r="J17" s="682"/>
    </row>
    <row r="18" spans="1:10" ht="26.25" customHeight="1" x14ac:dyDescent="0.4">
      <c r="A18" s="682"/>
      <c r="B18" s="682"/>
      <c r="C18" s="682"/>
      <c r="D18" s="682"/>
      <c r="E18" s="682"/>
      <c r="F18" s="682"/>
      <c r="G18" s="682"/>
      <c r="H18" s="682"/>
      <c r="I18" s="682"/>
      <c r="J18" s="682"/>
    </row>
    <row r="19" spans="1:10" ht="26.25" customHeight="1" x14ac:dyDescent="0.4">
      <c r="A19" s="682"/>
      <c r="B19" s="682"/>
      <c r="C19" s="682"/>
      <c r="D19" s="682"/>
      <c r="E19" s="682"/>
      <c r="F19" s="682"/>
      <c r="G19" s="682"/>
      <c r="H19" s="682"/>
      <c r="I19" s="682"/>
      <c r="J19" s="682"/>
    </row>
    <row r="20" spans="1:10" ht="26.25" customHeight="1" x14ac:dyDescent="0.4">
      <c r="A20" s="682"/>
      <c r="B20" s="682"/>
      <c r="C20" s="682"/>
      <c r="D20" s="682"/>
      <c r="E20" s="682"/>
      <c r="F20" s="682"/>
      <c r="G20" s="682"/>
      <c r="H20" s="682"/>
      <c r="I20" s="682"/>
      <c r="J20" s="682"/>
    </row>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15:J20"/>
    <mergeCell ref="A29:J29"/>
  </mergeCells>
  <pageMargins left="0.7" right="0.7" top="0.75" bottom="0.75" header="0.3" footer="0.3"/>
  <pageSetup paperSize="9" scale="7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B573-D7AC-4C96-9C9A-3A5BA557FDFA}">
  <dimension ref="A1:S1050"/>
  <sheetViews>
    <sheetView view="pageBreakPreview" topLeftCell="A547" zoomScale="120" zoomScaleNormal="100" zoomScaleSheetLayoutView="120" workbookViewId="0">
      <selection activeCell="C555" sqref="C555"/>
    </sheetView>
  </sheetViews>
  <sheetFormatPr defaultColWidth="9.140625" defaultRowHeight="16.5" x14ac:dyDescent="0.25"/>
  <cols>
    <col min="1" max="1" width="4.85546875" style="206" bestFit="1" customWidth="1"/>
    <col min="2" max="2" width="46.7109375" style="214" customWidth="1"/>
    <col min="3" max="3" width="9.5703125" style="205" bestFit="1" customWidth="1"/>
    <col min="4" max="4" width="6.85546875" style="206" bestFit="1" customWidth="1"/>
    <col min="5" max="5" width="16" style="304" bestFit="1" customWidth="1"/>
    <col min="6" max="6" width="17.5703125" style="207" bestFit="1" customWidth="1"/>
    <col min="7" max="7" width="9.28515625" style="208" customWidth="1"/>
    <col min="8" max="9" width="9.140625" style="208"/>
    <col min="10" max="10" width="12.5703125" style="208" bestFit="1" customWidth="1"/>
    <col min="11" max="11" width="9.140625" style="208"/>
    <col min="12" max="12" width="12.42578125" style="208" bestFit="1" customWidth="1"/>
    <col min="13" max="16384" width="9.140625" style="208"/>
  </cols>
  <sheetData>
    <row r="1" spans="1:9" x14ac:dyDescent="0.25">
      <c r="A1" s="209" t="s">
        <v>796</v>
      </c>
      <c r="B1" s="220" t="s">
        <v>913</v>
      </c>
      <c r="C1" s="221" t="s">
        <v>773</v>
      </c>
      <c r="D1" s="209" t="s">
        <v>765</v>
      </c>
      <c r="E1" s="303" t="s">
        <v>914</v>
      </c>
      <c r="F1" s="222" t="s">
        <v>768</v>
      </c>
    </row>
    <row r="2" spans="1:9" x14ac:dyDescent="0.25">
      <c r="A2" s="203"/>
      <c r="B2" s="204" t="s">
        <v>508</v>
      </c>
    </row>
    <row r="3" spans="1:9" x14ac:dyDescent="0.25">
      <c r="B3" s="209"/>
    </row>
    <row r="4" spans="1:9" x14ac:dyDescent="0.25">
      <c r="B4" s="210" t="s">
        <v>509</v>
      </c>
    </row>
    <row r="5" spans="1:9" x14ac:dyDescent="0.25">
      <c r="B5" s="210"/>
    </row>
    <row r="6" spans="1:9" s="214" customFormat="1" x14ac:dyDescent="0.25">
      <c r="A6" s="206"/>
      <c r="B6" s="211" t="s">
        <v>44</v>
      </c>
      <c r="C6" s="205"/>
      <c r="D6" s="206"/>
      <c r="E6" s="304"/>
      <c r="F6" s="212"/>
    </row>
    <row r="7" spans="1:9" s="214" customFormat="1" ht="15" x14ac:dyDescent="0.25">
      <c r="A7" s="206"/>
      <c r="C7" s="205"/>
      <c r="D7" s="206"/>
      <c r="E7" s="304"/>
      <c r="F7" s="212"/>
    </row>
    <row r="8" spans="1:9" ht="17.25" customHeight="1" x14ac:dyDescent="0.25">
      <c r="B8" s="211" t="s">
        <v>510</v>
      </c>
      <c r="I8" s="208">
        <f>272*2</f>
        <v>544</v>
      </c>
    </row>
    <row r="9" spans="1:9" ht="40.5" customHeight="1" x14ac:dyDescent="0.25">
      <c r="A9" s="206" t="s">
        <v>2</v>
      </c>
      <c r="B9" s="215" t="s">
        <v>45</v>
      </c>
      <c r="C9" s="205">
        <v>249</v>
      </c>
      <c r="D9" s="206" t="s">
        <v>511</v>
      </c>
      <c r="E9" s="304">
        <v>500</v>
      </c>
      <c r="F9" s="207">
        <f t="shared" ref="F9:F18" si="0">C9*E9</f>
        <v>124500</v>
      </c>
      <c r="I9" s="208">
        <f>144*2</f>
        <v>288</v>
      </c>
    </row>
    <row r="10" spans="1:9" ht="51.75" customHeight="1" x14ac:dyDescent="0.25">
      <c r="A10" s="206" t="s">
        <v>4</v>
      </c>
      <c r="B10" s="215" t="s">
        <v>512</v>
      </c>
      <c r="C10" s="205">
        <v>77</v>
      </c>
      <c r="D10" s="206" t="s">
        <v>513</v>
      </c>
      <c r="E10" s="304">
        <v>1900</v>
      </c>
      <c r="F10" s="207">
        <f t="shared" si="0"/>
        <v>146300</v>
      </c>
      <c r="I10" s="208">
        <f>SUM(I8:I9)</f>
        <v>832</v>
      </c>
    </row>
    <row r="11" spans="1:9" ht="45" customHeight="1" x14ac:dyDescent="0.25">
      <c r="A11" s="206" t="s">
        <v>5</v>
      </c>
      <c r="B11" s="215" t="s">
        <v>49</v>
      </c>
      <c r="C11" s="205">
        <v>52</v>
      </c>
      <c r="D11" s="206" t="s">
        <v>513</v>
      </c>
      <c r="E11" s="304">
        <f>E10</f>
        <v>1900</v>
      </c>
      <c r="F11" s="207">
        <f t="shared" si="0"/>
        <v>98800</v>
      </c>
      <c r="I11" s="208">
        <f>I10*1.5*0.69</f>
        <v>861.11999999999989</v>
      </c>
    </row>
    <row r="12" spans="1:9" ht="55.5" customHeight="1" x14ac:dyDescent="0.25">
      <c r="A12" s="206" t="s">
        <v>6</v>
      </c>
      <c r="B12" s="215" t="s">
        <v>514</v>
      </c>
      <c r="D12" s="206" t="s">
        <v>513</v>
      </c>
      <c r="E12" s="304">
        <f>E10</f>
        <v>1900</v>
      </c>
      <c r="F12" s="207">
        <f t="shared" si="0"/>
        <v>0</v>
      </c>
    </row>
    <row r="13" spans="1:9" ht="30.75" customHeight="1" x14ac:dyDescent="0.25">
      <c r="A13" s="206" t="s">
        <v>7</v>
      </c>
      <c r="B13" s="215" t="s">
        <v>19</v>
      </c>
      <c r="C13" s="205">
        <v>66</v>
      </c>
      <c r="D13" s="206" t="s">
        <v>511</v>
      </c>
      <c r="E13" s="304">
        <f>'[31]AJIWE STRIP MALL '!E49</f>
        <v>250</v>
      </c>
      <c r="F13" s="207">
        <f t="shared" si="0"/>
        <v>16500</v>
      </c>
    </row>
    <row r="14" spans="1:9" ht="30.75" customHeight="1" x14ac:dyDescent="0.25">
      <c r="A14" s="206" t="s">
        <v>8</v>
      </c>
      <c r="B14" s="215" t="s">
        <v>515</v>
      </c>
      <c r="C14" s="205">
        <v>12</v>
      </c>
      <c r="D14" s="206" t="s">
        <v>513</v>
      </c>
      <c r="E14" s="304">
        <v>1400</v>
      </c>
      <c r="F14" s="207">
        <f t="shared" si="0"/>
        <v>16800</v>
      </c>
    </row>
    <row r="15" spans="1:9" ht="44.25" customHeight="1" x14ac:dyDescent="0.25">
      <c r="A15" s="206" t="s">
        <v>9</v>
      </c>
      <c r="B15" s="215" t="s">
        <v>516</v>
      </c>
      <c r="C15" s="205">
        <v>55</v>
      </c>
      <c r="D15" s="206" t="s">
        <v>513</v>
      </c>
      <c r="E15" s="304">
        <v>900</v>
      </c>
      <c r="F15" s="207">
        <f t="shared" si="0"/>
        <v>49500</v>
      </c>
    </row>
    <row r="16" spans="1:9" ht="44.25" customHeight="1" x14ac:dyDescent="0.25">
      <c r="A16" s="206" t="s">
        <v>10</v>
      </c>
      <c r="B16" s="218" t="s">
        <v>802</v>
      </c>
      <c r="C16" s="205">
        <v>44</v>
      </c>
      <c r="D16" s="206" t="s">
        <v>513</v>
      </c>
      <c r="E16" s="304">
        <v>6500</v>
      </c>
      <c r="F16" s="207">
        <f t="shared" si="0"/>
        <v>286000</v>
      </c>
    </row>
    <row r="17" spans="1:6" ht="36" customHeight="1" x14ac:dyDescent="0.25">
      <c r="A17" s="206" t="s">
        <v>11</v>
      </c>
      <c r="B17" s="215" t="s">
        <v>663</v>
      </c>
      <c r="C17" s="205">
        <v>147</v>
      </c>
      <c r="D17" s="206" t="s">
        <v>511</v>
      </c>
      <c r="E17" s="304">
        <v>4500</v>
      </c>
      <c r="F17" s="207">
        <f t="shared" si="0"/>
        <v>661500</v>
      </c>
    </row>
    <row r="18" spans="1:6" ht="36" customHeight="1" x14ac:dyDescent="0.25">
      <c r="A18" s="206" t="s">
        <v>12</v>
      </c>
      <c r="B18" s="215" t="s">
        <v>517</v>
      </c>
      <c r="D18" s="206" t="s">
        <v>511</v>
      </c>
      <c r="E18" s="304">
        <f>'[31]AJIWE STRIP MALL '!E54</f>
        <v>150</v>
      </c>
      <c r="F18" s="207">
        <f t="shared" si="0"/>
        <v>0</v>
      </c>
    </row>
    <row r="19" spans="1:6" x14ac:dyDescent="0.25">
      <c r="B19" s="211" t="s">
        <v>98</v>
      </c>
    </row>
    <row r="20" spans="1:6" ht="17.25" customHeight="1" x14ac:dyDescent="0.25">
      <c r="B20" s="219" t="s">
        <v>664</v>
      </c>
    </row>
    <row r="21" spans="1:6" ht="17.25" customHeight="1" x14ac:dyDescent="0.25">
      <c r="A21" s="206" t="s">
        <v>13</v>
      </c>
      <c r="B21" s="214" t="s">
        <v>803</v>
      </c>
      <c r="C21" s="205">
        <v>86</v>
      </c>
      <c r="D21" s="206" t="s">
        <v>511</v>
      </c>
      <c r="E21" s="304">
        <v>6500</v>
      </c>
      <c r="F21" s="207">
        <f>C21*E21</f>
        <v>559000</v>
      </c>
    </row>
    <row r="22" spans="1:6" ht="17.25" customHeight="1" x14ac:dyDescent="0.25"/>
    <row r="23" spans="1:6" ht="17.25" customHeight="1" x14ac:dyDescent="0.25"/>
    <row r="24" spans="1:6" ht="17.25" customHeight="1" x14ac:dyDescent="0.25"/>
    <row r="25" spans="1:6" ht="17.25" customHeight="1" x14ac:dyDescent="0.25"/>
    <row r="26" spans="1:6" ht="17.25" customHeight="1" x14ac:dyDescent="0.25"/>
    <row r="27" spans="1:6" ht="17.25" customHeight="1" x14ac:dyDescent="0.25"/>
    <row r="28" spans="1:6" ht="17.25" customHeight="1" x14ac:dyDescent="0.25"/>
    <row r="29" spans="1:6" ht="17.25" customHeight="1" x14ac:dyDescent="0.25"/>
    <row r="30" spans="1:6" ht="17.25" customHeight="1" x14ac:dyDescent="0.25"/>
    <row r="31" spans="1:6" ht="17.25" customHeight="1" x14ac:dyDescent="0.25">
      <c r="B31" s="220" t="s">
        <v>520</v>
      </c>
      <c r="C31" s="221"/>
      <c r="D31" s="209"/>
      <c r="E31" s="303" t="s">
        <v>15</v>
      </c>
      <c r="F31" s="285">
        <f>SUM(F9:F21)</f>
        <v>1958900</v>
      </c>
    </row>
    <row r="32" spans="1:6" x14ac:dyDescent="0.25">
      <c r="A32" s="209" t="s">
        <v>796</v>
      </c>
      <c r="B32" s="209" t="s">
        <v>913</v>
      </c>
      <c r="C32" s="221" t="s">
        <v>773</v>
      </c>
      <c r="D32" s="209" t="s">
        <v>765</v>
      </c>
      <c r="E32" s="303" t="s">
        <v>914</v>
      </c>
      <c r="F32" s="273" t="s">
        <v>768</v>
      </c>
    </row>
    <row r="33" spans="1:6" s="223" customFormat="1" ht="17.25" customHeight="1" x14ac:dyDescent="0.25">
      <c r="A33" s="209"/>
      <c r="B33" s="210" t="s">
        <v>521</v>
      </c>
      <c r="C33" s="221"/>
      <c r="D33" s="209"/>
      <c r="E33" s="303"/>
      <c r="F33" s="222"/>
    </row>
    <row r="34" spans="1:6" ht="30.75" customHeight="1" x14ac:dyDescent="0.25">
      <c r="B34" s="219" t="s">
        <v>522</v>
      </c>
    </row>
    <row r="35" spans="1:6" ht="22.9" customHeight="1" x14ac:dyDescent="0.25">
      <c r="B35" s="219" t="s">
        <v>916</v>
      </c>
    </row>
    <row r="36" spans="1:6" ht="22.5" customHeight="1" x14ac:dyDescent="0.25">
      <c r="A36" s="206" t="s">
        <v>2</v>
      </c>
      <c r="B36" s="214" t="s">
        <v>910</v>
      </c>
      <c r="C36" s="205">
        <v>12</v>
      </c>
      <c r="D36" s="206" t="s">
        <v>513</v>
      </c>
      <c r="E36" s="304">
        <v>95000</v>
      </c>
      <c r="F36" s="207">
        <f>C36*E36</f>
        <v>1140000</v>
      </c>
    </row>
    <row r="37" spans="1:6" ht="21.75" customHeight="1" x14ac:dyDescent="0.25">
      <c r="A37" s="206" t="s">
        <v>4</v>
      </c>
      <c r="B37" s="214" t="s">
        <v>519</v>
      </c>
      <c r="C37" s="205">
        <v>22</v>
      </c>
      <c r="D37" s="206" t="s">
        <v>513</v>
      </c>
      <c r="E37" s="304">
        <f>E36</f>
        <v>95000</v>
      </c>
      <c r="F37" s="207">
        <f>C37*E37</f>
        <v>2090000</v>
      </c>
    </row>
    <row r="38" spans="1:6" s="214" customFormat="1" ht="15" x14ac:dyDescent="0.3">
      <c r="A38" s="535"/>
      <c r="B38" s="541"/>
      <c r="C38" s="537"/>
      <c r="D38" s="538"/>
      <c r="E38" s="638"/>
      <c r="F38" s="540"/>
    </row>
    <row r="39" spans="1:6" s="214" customFormat="1" ht="15" x14ac:dyDescent="0.3">
      <c r="A39" s="535"/>
      <c r="B39" s="536" t="s">
        <v>797</v>
      </c>
      <c r="C39" s="537"/>
      <c r="D39" s="538"/>
      <c r="E39" s="638"/>
      <c r="F39" s="540"/>
    </row>
    <row r="40" spans="1:6" s="214" customFormat="1" ht="30" x14ac:dyDescent="0.3">
      <c r="A40" s="535"/>
      <c r="B40" s="542" t="s">
        <v>915</v>
      </c>
      <c r="C40" s="537"/>
      <c r="D40" s="538"/>
      <c r="E40" s="638"/>
      <c r="F40" s="540"/>
    </row>
    <row r="41" spans="1:6" s="214" customFormat="1" ht="14.25" customHeight="1" x14ac:dyDescent="0.3">
      <c r="A41" s="535"/>
      <c r="B41" s="541"/>
      <c r="C41" s="537"/>
      <c r="D41" s="538"/>
      <c r="E41" s="638"/>
      <c r="F41" s="540"/>
    </row>
    <row r="42" spans="1:6" s="214" customFormat="1" ht="15" x14ac:dyDescent="0.3">
      <c r="A42" s="535" t="s">
        <v>5</v>
      </c>
      <c r="B42" s="543" t="s">
        <v>912</v>
      </c>
      <c r="C42" s="537">
        <v>16</v>
      </c>
      <c r="D42" s="538" t="s">
        <v>47</v>
      </c>
      <c r="E42" s="638">
        <v>95000</v>
      </c>
      <c r="F42" s="540">
        <f>E42*C42</f>
        <v>1520000</v>
      </c>
    </row>
    <row r="43" spans="1:6" s="214" customFormat="1" ht="15" x14ac:dyDescent="0.3">
      <c r="A43" s="535" t="s">
        <v>6</v>
      </c>
      <c r="B43" s="543" t="s">
        <v>917</v>
      </c>
      <c r="C43" s="537">
        <v>1</v>
      </c>
      <c r="D43" s="538" t="s">
        <v>47</v>
      </c>
      <c r="E43" s="638">
        <f>E42</f>
        <v>95000</v>
      </c>
      <c r="F43" s="540">
        <f>E43*C43</f>
        <v>95000</v>
      </c>
    </row>
    <row r="44" spans="1:6" s="214" customFormat="1" ht="10.15" customHeight="1" x14ac:dyDescent="0.35">
      <c r="A44" s="535"/>
      <c r="B44" s="544"/>
      <c r="C44" s="537"/>
      <c r="D44" s="538"/>
      <c r="E44" s="638"/>
      <c r="F44" s="540"/>
    </row>
    <row r="45" spans="1:6" s="214" customFormat="1" ht="15" x14ac:dyDescent="0.3">
      <c r="A45" s="535"/>
      <c r="B45" s="536" t="s">
        <v>798</v>
      </c>
      <c r="C45" s="537"/>
      <c r="D45" s="538"/>
      <c r="E45" s="638"/>
      <c r="F45" s="540"/>
    </row>
    <row r="46" spans="1:6" s="214" customFormat="1" ht="15" x14ac:dyDescent="0.3">
      <c r="A46" s="535"/>
      <c r="B46" s="536" t="s">
        <v>102</v>
      </c>
      <c r="C46" s="537"/>
      <c r="D46" s="538"/>
      <c r="E46" s="638"/>
      <c r="F46" s="540"/>
    </row>
    <row r="47" spans="1:6" s="214" customFormat="1" ht="15" x14ac:dyDescent="0.3">
      <c r="A47" s="535"/>
      <c r="B47" s="536" t="s">
        <v>799</v>
      </c>
      <c r="C47" s="537"/>
      <c r="D47" s="538"/>
      <c r="E47" s="638"/>
      <c r="F47" s="540"/>
    </row>
    <row r="48" spans="1:6" s="214" customFormat="1" ht="11.65" customHeight="1" x14ac:dyDescent="0.3">
      <c r="A48" s="535"/>
      <c r="B48" s="543"/>
      <c r="C48" s="537"/>
      <c r="D48" s="538"/>
      <c r="E48" s="638"/>
      <c r="F48" s="540"/>
    </row>
    <row r="49" spans="1:6" s="214" customFormat="1" ht="15" x14ac:dyDescent="0.3">
      <c r="A49" s="535" t="s">
        <v>7</v>
      </c>
      <c r="B49" s="543" t="s">
        <v>1013</v>
      </c>
      <c r="C49" s="537">
        <v>890</v>
      </c>
      <c r="D49" s="538" t="s">
        <v>75</v>
      </c>
      <c r="E49" s="638">
        <v>1450</v>
      </c>
      <c r="F49" s="540">
        <f>E49*C49</f>
        <v>1290500</v>
      </c>
    </row>
    <row r="50" spans="1:6" s="214" customFormat="1" ht="15" x14ac:dyDescent="0.3">
      <c r="A50" s="535" t="s">
        <v>8</v>
      </c>
      <c r="B50" s="543" t="s">
        <v>918</v>
      </c>
      <c r="C50" s="537"/>
      <c r="D50" s="538" t="s">
        <v>75</v>
      </c>
      <c r="E50" s="638">
        <f>E49</f>
        <v>1450</v>
      </c>
      <c r="F50" s="540">
        <f>E50*C50</f>
        <v>0</v>
      </c>
    </row>
    <row r="51" spans="1:6" s="214" customFormat="1" ht="15" x14ac:dyDescent="0.3">
      <c r="A51" s="535" t="s">
        <v>9</v>
      </c>
      <c r="B51" s="543" t="s">
        <v>903</v>
      </c>
      <c r="C51" s="537">
        <v>443</v>
      </c>
      <c r="D51" s="538" t="s">
        <v>75</v>
      </c>
      <c r="E51" s="638">
        <f>E49</f>
        <v>1450</v>
      </c>
      <c r="F51" s="540">
        <f>E51*C51</f>
        <v>642350</v>
      </c>
    </row>
    <row r="52" spans="1:6" s="214" customFormat="1" ht="15" x14ac:dyDescent="0.3">
      <c r="A52" s="535" t="s">
        <v>10</v>
      </c>
      <c r="B52" s="543" t="s">
        <v>919</v>
      </c>
      <c r="C52" s="537"/>
      <c r="D52" s="538" t="s">
        <v>75</v>
      </c>
      <c r="E52" s="638">
        <f>E51</f>
        <v>1450</v>
      </c>
      <c r="F52" s="540">
        <f>E52*C52</f>
        <v>0</v>
      </c>
    </row>
    <row r="53" spans="1:6" s="214" customFormat="1" ht="15" x14ac:dyDescent="0.3">
      <c r="A53" s="535" t="s">
        <v>11</v>
      </c>
      <c r="B53" s="543" t="s">
        <v>922</v>
      </c>
      <c r="C53" s="537">
        <v>75</v>
      </c>
      <c r="D53" s="538" t="s">
        <v>75</v>
      </c>
      <c r="E53" s="638">
        <f>E52</f>
        <v>1450</v>
      </c>
      <c r="F53" s="540">
        <f>E53*C53</f>
        <v>108750</v>
      </c>
    </row>
    <row r="54" spans="1:6" s="214" customFormat="1" ht="12.4" customHeight="1" x14ac:dyDescent="0.3">
      <c r="A54" s="535"/>
      <c r="B54" s="543"/>
      <c r="C54" s="537"/>
      <c r="D54" s="538"/>
      <c r="E54" s="638"/>
      <c r="F54" s="540"/>
    </row>
    <row r="55" spans="1:6" s="214" customFormat="1" ht="15" x14ac:dyDescent="0.3">
      <c r="A55" s="535"/>
      <c r="B55" s="536" t="s">
        <v>67</v>
      </c>
      <c r="C55" s="537"/>
      <c r="D55" s="538"/>
      <c r="E55" s="638"/>
      <c r="F55" s="540"/>
    </row>
    <row r="56" spans="1:6" s="214" customFormat="1" ht="15" x14ac:dyDescent="0.3">
      <c r="A56" s="535"/>
      <c r="B56" s="536" t="s">
        <v>800</v>
      </c>
      <c r="C56" s="537"/>
      <c r="D56" s="538"/>
      <c r="E56" s="638"/>
      <c r="F56" s="540"/>
    </row>
    <row r="57" spans="1:6" s="214" customFormat="1" ht="13.9" customHeight="1" x14ac:dyDescent="0.3">
      <c r="A57" s="535"/>
      <c r="B57" s="543"/>
      <c r="C57" s="537"/>
      <c r="D57" s="538"/>
      <c r="E57" s="638"/>
      <c r="F57" s="540"/>
    </row>
    <row r="58" spans="1:6" s="214" customFormat="1" ht="15" x14ac:dyDescent="0.3">
      <c r="A58" s="535" t="s">
        <v>12</v>
      </c>
      <c r="B58" s="543" t="s">
        <v>920</v>
      </c>
      <c r="C58" s="537">
        <v>38</v>
      </c>
      <c r="D58" s="538" t="s">
        <v>35</v>
      </c>
      <c r="E58" s="638">
        <v>8500</v>
      </c>
      <c r="F58" s="540">
        <f>E58*C58</f>
        <v>323000</v>
      </c>
    </row>
    <row r="59" spans="1:6" s="214" customFormat="1" ht="15" x14ac:dyDescent="0.3">
      <c r="A59" s="535" t="s">
        <v>13</v>
      </c>
      <c r="B59" s="543" t="s">
        <v>921</v>
      </c>
      <c r="C59" s="537">
        <v>23</v>
      </c>
      <c r="D59" s="538" t="s">
        <v>35</v>
      </c>
      <c r="E59" s="638">
        <f>E58</f>
        <v>8500</v>
      </c>
      <c r="F59" s="540">
        <f>E59*C59</f>
        <v>195500</v>
      </c>
    </row>
    <row r="60" spans="1:6" s="214" customFormat="1" ht="15" x14ac:dyDescent="0.3">
      <c r="A60" s="535"/>
      <c r="B60" s="543"/>
      <c r="C60" s="537"/>
      <c r="D60" s="538"/>
      <c r="E60" s="638"/>
      <c r="F60" s="540"/>
    </row>
    <row r="61" spans="1:6" ht="49.5" customHeight="1" x14ac:dyDescent="0.25">
      <c r="B61" s="224" t="s">
        <v>524</v>
      </c>
    </row>
    <row r="62" spans="1:6" ht="20.25" customHeight="1" x14ac:dyDescent="0.25">
      <c r="A62" s="206" t="s">
        <v>14</v>
      </c>
      <c r="B62" s="218" t="s">
        <v>39</v>
      </c>
      <c r="C62" s="205">
        <v>148</v>
      </c>
      <c r="D62" s="206" t="s">
        <v>511</v>
      </c>
      <c r="E62" s="304">
        <v>2000</v>
      </c>
      <c r="F62" s="207">
        <f>C62*E62</f>
        <v>296000</v>
      </c>
    </row>
    <row r="63" spans="1:6" x14ac:dyDescent="0.25">
      <c r="B63" s="218"/>
    </row>
    <row r="64" spans="1:6" ht="21" customHeight="1" x14ac:dyDescent="0.25">
      <c r="B64" s="211" t="s">
        <v>67</v>
      </c>
    </row>
    <row r="65" spans="1:6" ht="24.75" customHeight="1" x14ac:dyDescent="0.25">
      <c r="B65" s="219" t="s">
        <v>120</v>
      </c>
    </row>
    <row r="66" spans="1:6" ht="21.75" customHeight="1" x14ac:dyDescent="0.25">
      <c r="A66" s="206" t="s">
        <v>15</v>
      </c>
      <c r="B66" s="214" t="s">
        <v>911</v>
      </c>
      <c r="C66" s="205">
        <v>51</v>
      </c>
      <c r="D66" s="206" t="s">
        <v>511</v>
      </c>
      <c r="E66" s="304">
        <v>8500</v>
      </c>
      <c r="F66" s="207">
        <f>C66*E66</f>
        <v>433500</v>
      </c>
    </row>
    <row r="67" spans="1:6" ht="21.75" customHeight="1" x14ac:dyDescent="0.25"/>
    <row r="68" spans="1:6" ht="21.75" customHeight="1" x14ac:dyDescent="0.25"/>
    <row r="69" spans="1:6" ht="23.25" customHeight="1" x14ac:dyDescent="0.25"/>
    <row r="72" spans="1:6" x14ac:dyDescent="0.25">
      <c r="B72" s="225" t="s">
        <v>525</v>
      </c>
      <c r="E72" s="303" t="s">
        <v>15</v>
      </c>
      <c r="F72" s="222">
        <f>SUM(F35:F71)</f>
        <v>8134600</v>
      </c>
    </row>
    <row r="73" spans="1:6" x14ac:dyDescent="0.25">
      <c r="A73" s="209" t="s">
        <v>796</v>
      </c>
      <c r="B73" s="209" t="s">
        <v>913</v>
      </c>
      <c r="C73" s="221" t="s">
        <v>773</v>
      </c>
      <c r="D73" s="209" t="s">
        <v>765</v>
      </c>
      <c r="E73" s="303" t="s">
        <v>914</v>
      </c>
      <c r="F73" s="273" t="s">
        <v>768</v>
      </c>
    </row>
    <row r="74" spans="1:6" x14ac:dyDescent="0.25">
      <c r="B74" s="210" t="s">
        <v>521</v>
      </c>
    </row>
    <row r="75" spans="1:6" x14ac:dyDescent="0.25">
      <c r="B75" s="210"/>
    </row>
    <row r="76" spans="1:6" x14ac:dyDescent="0.25">
      <c r="B76" s="211" t="s">
        <v>84</v>
      </c>
      <c r="C76" s="221"/>
      <c r="D76" s="209"/>
      <c r="E76" s="303"/>
      <c r="F76" s="286"/>
    </row>
    <row r="77" spans="1:6" x14ac:dyDescent="0.25">
      <c r="B77" s="226"/>
      <c r="C77" s="221"/>
      <c r="D77" s="209"/>
      <c r="E77" s="303"/>
      <c r="F77" s="286"/>
    </row>
    <row r="78" spans="1:6" ht="57.75" customHeight="1" x14ac:dyDescent="0.25">
      <c r="B78" s="224" t="s">
        <v>526</v>
      </c>
      <c r="C78" s="221"/>
      <c r="D78" s="209"/>
      <c r="E78" s="303"/>
      <c r="F78" s="286"/>
    </row>
    <row r="79" spans="1:6" x14ac:dyDescent="0.25">
      <c r="B79" s="224"/>
      <c r="C79" s="221"/>
      <c r="D79" s="209"/>
      <c r="E79" s="303"/>
      <c r="F79" s="286"/>
    </row>
    <row r="80" spans="1:6" x14ac:dyDescent="0.25">
      <c r="A80" s="206" t="s">
        <v>2</v>
      </c>
      <c r="B80" s="218" t="s">
        <v>527</v>
      </c>
      <c r="C80" s="205">
        <v>146</v>
      </c>
      <c r="D80" s="206" t="s">
        <v>511</v>
      </c>
      <c r="E80" s="304">
        <v>13000</v>
      </c>
      <c r="F80" s="207">
        <f>C80*E80</f>
        <v>1898000</v>
      </c>
    </row>
    <row r="82" spans="1:6" x14ac:dyDescent="0.25">
      <c r="B82" s="219" t="s">
        <v>528</v>
      </c>
      <c r="F82" s="227"/>
    </row>
    <row r="83" spans="1:6" x14ac:dyDescent="0.25">
      <c r="B83" s="219" t="s">
        <v>529</v>
      </c>
      <c r="F83" s="227"/>
    </row>
    <row r="84" spans="1:6" x14ac:dyDescent="0.25">
      <c r="F84" s="227"/>
    </row>
    <row r="85" spans="1:6" ht="29.25" customHeight="1" x14ac:dyDescent="0.25">
      <c r="A85" s="206" t="s">
        <v>4</v>
      </c>
      <c r="B85" s="215" t="s">
        <v>530</v>
      </c>
      <c r="C85" s="205">
        <v>148</v>
      </c>
      <c r="D85" s="206" t="s">
        <v>511</v>
      </c>
      <c r="E85" s="304">
        <v>650</v>
      </c>
      <c r="F85" s="207">
        <f>C85*E85</f>
        <v>96200</v>
      </c>
    </row>
    <row r="86" spans="1:6" x14ac:dyDescent="0.25">
      <c r="B86" s="215"/>
      <c r="F86" s="227"/>
    </row>
    <row r="87" spans="1:6" x14ac:dyDescent="0.25">
      <c r="B87" s="228"/>
      <c r="F87" s="227"/>
    </row>
    <row r="88" spans="1:6" ht="29.25" customHeight="1" x14ac:dyDescent="0.25">
      <c r="B88" s="228" t="s">
        <v>923</v>
      </c>
      <c r="C88" s="214"/>
      <c r="D88" s="389"/>
      <c r="E88" s="231"/>
    </row>
    <row r="89" spans="1:6" ht="29.25" customHeight="1" x14ac:dyDescent="0.25">
      <c r="A89" s="206" t="s">
        <v>5</v>
      </c>
      <c r="B89" s="215" t="s">
        <v>924</v>
      </c>
      <c r="C89" s="391">
        <f>0*2*1.57</f>
        <v>0</v>
      </c>
      <c r="D89" s="206" t="s">
        <v>511</v>
      </c>
      <c r="E89" s="639">
        <v>9500</v>
      </c>
      <c r="F89" s="207">
        <f>C89*E89</f>
        <v>0</v>
      </c>
    </row>
    <row r="90" spans="1:6" ht="29.25" customHeight="1" x14ac:dyDescent="0.25">
      <c r="A90" s="206" t="s">
        <v>6</v>
      </c>
      <c r="B90" s="215" t="s">
        <v>925</v>
      </c>
      <c r="C90" s="391">
        <f>0*2*0.15</f>
        <v>0</v>
      </c>
      <c r="D90" s="206" t="s">
        <v>511</v>
      </c>
      <c r="E90" s="639">
        <f>E89*0.3</f>
        <v>2850</v>
      </c>
      <c r="F90" s="207">
        <f>C90*E90</f>
        <v>0</v>
      </c>
    </row>
    <row r="91" spans="1:6" ht="35.25" customHeight="1" x14ac:dyDescent="0.25">
      <c r="B91" s="215"/>
      <c r="F91" s="229"/>
    </row>
    <row r="92" spans="1:6" x14ac:dyDescent="0.25">
      <c r="B92" s="215"/>
      <c r="F92" s="227"/>
    </row>
    <row r="93" spans="1:6" ht="18.75" customHeight="1" x14ac:dyDescent="0.25">
      <c r="B93" s="225" t="s">
        <v>525</v>
      </c>
      <c r="E93" s="303" t="s">
        <v>15</v>
      </c>
      <c r="F93" s="222">
        <f>SUM(F76:F92)</f>
        <v>1994200</v>
      </c>
    </row>
    <row r="94" spans="1:6" x14ac:dyDescent="0.25">
      <c r="B94" s="215"/>
      <c r="F94" s="227"/>
    </row>
    <row r="95" spans="1:6" x14ac:dyDescent="0.25">
      <c r="B95" s="225"/>
      <c r="E95" s="303"/>
      <c r="F95" s="285"/>
    </row>
    <row r="96" spans="1:6" x14ac:dyDescent="0.25">
      <c r="B96" s="211" t="s">
        <v>531</v>
      </c>
      <c r="E96" s="303"/>
      <c r="F96" s="285"/>
    </row>
    <row r="97" spans="1:6" x14ac:dyDescent="0.25">
      <c r="B97" s="231" t="s">
        <v>451</v>
      </c>
      <c r="E97" s="304">
        <f>F31</f>
        <v>1958900</v>
      </c>
      <c r="F97" s="230"/>
    </row>
    <row r="98" spans="1:6" x14ac:dyDescent="0.25">
      <c r="B98" s="232"/>
      <c r="F98" s="230"/>
    </row>
    <row r="99" spans="1:6" x14ac:dyDescent="0.25">
      <c r="B99" s="231" t="s">
        <v>452</v>
      </c>
      <c r="E99" s="304">
        <f>F72</f>
        <v>8134600</v>
      </c>
      <c r="F99" s="230"/>
    </row>
    <row r="100" spans="1:6" x14ac:dyDescent="0.25">
      <c r="B100" s="231"/>
      <c r="F100" s="230"/>
    </row>
    <row r="101" spans="1:6" x14ac:dyDescent="0.25">
      <c r="B101" s="231" t="s">
        <v>454</v>
      </c>
      <c r="E101" s="304">
        <f>F93</f>
        <v>1994200</v>
      </c>
      <c r="F101" s="230"/>
    </row>
    <row r="102" spans="1:6" x14ac:dyDescent="0.25">
      <c r="B102" s="233"/>
      <c r="F102" s="230"/>
    </row>
    <row r="103" spans="1:6" x14ac:dyDescent="0.25">
      <c r="B103" s="233"/>
      <c r="F103" s="230"/>
    </row>
    <row r="104" spans="1:6" x14ac:dyDescent="0.25">
      <c r="B104" s="233"/>
      <c r="F104" s="230"/>
    </row>
    <row r="105" spans="1:6" x14ac:dyDescent="0.25">
      <c r="B105" s="233"/>
      <c r="F105" s="230"/>
    </row>
    <row r="106" spans="1:6" x14ac:dyDescent="0.25">
      <c r="B106" s="233"/>
      <c r="F106" s="230"/>
    </row>
    <row r="107" spans="1:6" x14ac:dyDescent="0.25">
      <c r="B107" s="233"/>
      <c r="F107" s="230"/>
    </row>
    <row r="108" spans="1:6" x14ac:dyDescent="0.25">
      <c r="B108" s="233"/>
      <c r="F108" s="230"/>
    </row>
    <row r="109" spans="1:6" x14ac:dyDescent="0.25">
      <c r="B109" s="233"/>
      <c r="F109" s="230"/>
    </row>
    <row r="110" spans="1:6" x14ac:dyDescent="0.25">
      <c r="B110" s="234" t="s">
        <v>533</v>
      </c>
      <c r="C110" s="221"/>
      <c r="D110" s="209"/>
      <c r="F110" s="235"/>
    </row>
    <row r="111" spans="1:6" x14ac:dyDescent="0.25">
      <c r="B111" s="220" t="s">
        <v>534</v>
      </c>
      <c r="C111" s="221"/>
      <c r="D111" s="209"/>
      <c r="E111" s="303" t="s">
        <v>15</v>
      </c>
      <c r="F111" s="286">
        <f>SUM(E97:E102)</f>
        <v>12087700</v>
      </c>
    </row>
    <row r="112" spans="1:6" x14ac:dyDescent="0.25">
      <c r="A112" s="209" t="s">
        <v>796</v>
      </c>
      <c r="B112" s="209" t="s">
        <v>913</v>
      </c>
      <c r="C112" s="221" t="s">
        <v>773</v>
      </c>
      <c r="D112" s="209" t="s">
        <v>765</v>
      </c>
      <c r="E112" s="303" t="s">
        <v>914</v>
      </c>
      <c r="F112" s="273" t="s">
        <v>768</v>
      </c>
    </row>
    <row r="113" spans="1:6" x14ac:dyDescent="0.25">
      <c r="B113" s="204" t="s">
        <v>535</v>
      </c>
    </row>
    <row r="115" spans="1:6" x14ac:dyDescent="0.25">
      <c r="B115" s="210" t="s">
        <v>108</v>
      </c>
    </row>
    <row r="116" spans="1:6" x14ac:dyDescent="0.25">
      <c r="B116" s="210"/>
    </row>
    <row r="117" spans="1:6" x14ac:dyDescent="0.25">
      <c r="B117" s="211" t="s">
        <v>98</v>
      </c>
    </row>
    <row r="119" spans="1:6" x14ac:dyDescent="0.25">
      <c r="B119" s="219" t="s">
        <v>536</v>
      </c>
    </row>
    <row r="120" spans="1:6" x14ac:dyDescent="0.25">
      <c r="B120" s="219"/>
    </row>
    <row r="121" spans="1:6" x14ac:dyDescent="0.25">
      <c r="B121" s="219" t="s">
        <v>666</v>
      </c>
    </row>
    <row r="123" spans="1:6" x14ac:dyDescent="0.25">
      <c r="A123" s="206" t="s">
        <v>2</v>
      </c>
      <c r="B123" s="214" t="s">
        <v>65</v>
      </c>
      <c r="C123" s="205">
        <v>8</v>
      </c>
      <c r="D123" s="206" t="s">
        <v>513</v>
      </c>
      <c r="E123" s="304">
        <f>E42</f>
        <v>95000</v>
      </c>
      <c r="F123" s="207">
        <f>C123*E123</f>
        <v>760000</v>
      </c>
    </row>
    <row r="125" spans="1:6" x14ac:dyDescent="0.25">
      <c r="A125" s="206" t="s">
        <v>4</v>
      </c>
      <c r="B125" s="214" t="s">
        <v>537</v>
      </c>
      <c r="C125" s="205">
        <v>15</v>
      </c>
      <c r="D125" s="206" t="s">
        <v>513</v>
      </c>
      <c r="E125" s="304">
        <f>E123</f>
        <v>95000</v>
      </c>
      <c r="F125" s="207">
        <f>C125*E125</f>
        <v>1425000</v>
      </c>
    </row>
    <row r="127" spans="1:6" x14ac:dyDescent="0.25">
      <c r="A127" s="206" t="s">
        <v>5</v>
      </c>
      <c r="B127" s="214" t="s">
        <v>669</v>
      </c>
      <c r="D127" s="206" t="s">
        <v>513</v>
      </c>
      <c r="E127" s="304">
        <f>E125</f>
        <v>95000</v>
      </c>
      <c r="F127" s="207">
        <f>C127*E127</f>
        <v>0</v>
      </c>
    </row>
    <row r="129" spans="1:6" ht="24.75" customHeight="1" x14ac:dyDescent="0.25">
      <c r="B129" s="211" t="s">
        <v>102</v>
      </c>
    </row>
    <row r="131" spans="1:6" ht="30" x14ac:dyDescent="0.25">
      <c r="B131" s="224" t="s">
        <v>926</v>
      </c>
    </row>
    <row r="132" spans="1:6" x14ac:dyDescent="0.25">
      <c r="B132" s="224"/>
    </row>
    <row r="133" spans="1:6" x14ac:dyDescent="0.25">
      <c r="A133" s="206" t="s">
        <v>6</v>
      </c>
      <c r="B133" s="214" t="s">
        <v>671</v>
      </c>
      <c r="D133" s="206" t="s">
        <v>75</v>
      </c>
      <c r="E133" s="304">
        <f>E49</f>
        <v>1450</v>
      </c>
      <c r="F133" s="207">
        <f>C133*E133</f>
        <v>0</v>
      </c>
    </row>
    <row r="135" spans="1:6" x14ac:dyDescent="0.25">
      <c r="A135" s="206" t="s">
        <v>7</v>
      </c>
      <c r="B135" s="214" t="s">
        <v>538</v>
      </c>
      <c r="C135" s="205">
        <v>2495</v>
      </c>
      <c r="D135" s="206" t="s">
        <v>75</v>
      </c>
      <c r="E135" s="304">
        <f>E133</f>
        <v>1450</v>
      </c>
      <c r="F135" s="207">
        <f>C135*E135</f>
        <v>3617750</v>
      </c>
    </row>
    <row r="137" spans="1:6" x14ac:dyDescent="0.25">
      <c r="A137" s="206" t="s">
        <v>8</v>
      </c>
      <c r="B137" s="214" t="s">
        <v>539</v>
      </c>
      <c r="C137" s="205">
        <v>2380</v>
      </c>
      <c r="D137" s="206" t="s">
        <v>75</v>
      </c>
      <c r="E137" s="304">
        <f>E135</f>
        <v>1450</v>
      </c>
      <c r="F137" s="207">
        <f>C137*E137</f>
        <v>3451000</v>
      </c>
    </row>
    <row r="139" spans="1:6" x14ac:dyDescent="0.25">
      <c r="A139" s="206" t="s">
        <v>9</v>
      </c>
      <c r="B139" s="214" t="s">
        <v>672</v>
      </c>
      <c r="C139" s="205">
        <v>0</v>
      </c>
      <c r="D139" s="206" t="s">
        <v>75</v>
      </c>
      <c r="E139" s="304">
        <f>E133</f>
        <v>1450</v>
      </c>
      <c r="F139" s="207">
        <f>C139*E139</f>
        <v>0</v>
      </c>
    </row>
    <row r="141" spans="1:6" x14ac:dyDescent="0.25">
      <c r="A141" s="206" t="s">
        <v>10</v>
      </c>
      <c r="B141" s="214" t="s">
        <v>523</v>
      </c>
      <c r="C141" s="205">
        <v>1509</v>
      </c>
      <c r="D141" s="206" t="s">
        <v>75</v>
      </c>
      <c r="E141" s="304">
        <f>E137</f>
        <v>1450</v>
      </c>
      <c r="F141" s="207">
        <f>C141*E141</f>
        <v>2188050</v>
      </c>
    </row>
    <row r="143" spans="1:6" x14ac:dyDescent="0.25">
      <c r="B143" s="211" t="s">
        <v>67</v>
      </c>
    </row>
    <row r="145" spans="1:6" x14ac:dyDescent="0.25">
      <c r="B145" s="219" t="s">
        <v>120</v>
      </c>
    </row>
    <row r="147" spans="1:6" x14ac:dyDescent="0.25">
      <c r="A147" s="206" t="s">
        <v>11</v>
      </c>
      <c r="B147" s="214" t="s">
        <v>540</v>
      </c>
      <c r="C147" s="205">
        <v>130</v>
      </c>
      <c r="D147" s="206" t="s">
        <v>511</v>
      </c>
      <c r="E147" s="304">
        <f>E66</f>
        <v>8500</v>
      </c>
      <c r="F147" s="207">
        <f>C147*E147</f>
        <v>1105000</v>
      </c>
    </row>
    <row r="149" spans="1:6" x14ac:dyDescent="0.25">
      <c r="A149" s="206" t="s">
        <v>12</v>
      </c>
      <c r="B149" s="214" t="s">
        <v>541</v>
      </c>
      <c r="C149" s="205">
        <v>180</v>
      </c>
      <c r="D149" s="206" t="s">
        <v>511</v>
      </c>
      <c r="E149" s="304">
        <f>E147</f>
        <v>8500</v>
      </c>
      <c r="F149" s="207">
        <f>C149*E149</f>
        <v>1530000</v>
      </c>
    </row>
    <row r="155" spans="1:6" x14ac:dyDescent="0.25">
      <c r="B155" s="210" t="s">
        <v>108</v>
      </c>
    </row>
    <row r="156" spans="1:6" x14ac:dyDescent="0.25">
      <c r="B156" s="220" t="s">
        <v>542</v>
      </c>
      <c r="E156" s="303" t="s">
        <v>15</v>
      </c>
      <c r="F156" s="285">
        <f>SUM(F115:F155)</f>
        <v>14076800</v>
      </c>
    </row>
    <row r="157" spans="1:6" x14ac:dyDescent="0.25">
      <c r="A157" s="209" t="s">
        <v>796</v>
      </c>
      <c r="B157" s="209" t="s">
        <v>913</v>
      </c>
      <c r="C157" s="221" t="s">
        <v>773</v>
      </c>
      <c r="D157" s="209" t="s">
        <v>765</v>
      </c>
      <c r="E157" s="303" t="s">
        <v>914</v>
      </c>
      <c r="F157" s="273" t="s">
        <v>768</v>
      </c>
    </row>
    <row r="158" spans="1:6" x14ac:dyDescent="0.25">
      <c r="B158" s="204" t="s">
        <v>543</v>
      </c>
    </row>
    <row r="160" spans="1:6" x14ac:dyDescent="0.25">
      <c r="B160" s="210" t="s">
        <v>544</v>
      </c>
      <c r="F160" s="227"/>
    </row>
    <row r="161" spans="1:6" s="236" customFormat="1" x14ac:dyDescent="0.25">
      <c r="A161" s="206"/>
      <c r="B161" s="214"/>
      <c r="C161" s="205"/>
      <c r="D161" s="206"/>
      <c r="E161" s="304"/>
      <c r="F161" s="227"/>
    </row>
    <row r="162" spans="1:6" x14ac:dyDescent="0.25">
      <c r="B162" s="211" t="s">
        <v>98</v>
      </c>
    </row>
    <row r="163" spans="1:6" s="236" customFormat="1" x14ac:dyDescent="0.25">
      <c r="A163" s="206"/>
      <c r="B163" s="214"/>
      <c r="C163" s="205"/>
      <c r="D163" s="206"/>
      <c r="E163" s="304"/>
      <c r="F163" s="207"/>
    </row>
    <row r="164" spans="1:6" s="236" customFormat="1" x14ac:dyDescent="0.25">
      <c r="A164" s="206"/>
      <c r="B164" s="219" t="s">
        <v>536</v>
      </c>
      <c r="C164" s="205"/>
      <c r="D164" s="206"/>
      <c r="E164" s="304"/>
      <c r="F164" s="207"/>
    </row>
    <row r="165" spans="1:6" s="236" customFormat="1" x14ac:dyDescent="0.25">
      <c r="A165" s="206"/>
      <c r="B165" s="219"/>
      <c r="C165" s="205"/>
      <c r="D165" s="206"/>
      <c r="E165" s="304"/>
      <c r="F165" s="207"/>
    </row>
    <row r="166" spans="1:6" x14ac:dyDescent="0.25">
      <c r="B166" s="219" t="s">
        <v>666</v>
      </c>
    </row>
    <row r="168" spans="1:6" x14ac:dyDescent="0.25">
      <c r="A168" s="206" t="s">
        <v>2</v>
      </c>
      <c r="B168" s="214" t="s">
        <v>545</v>
      </c>
      <c r="C168" s="205">
        <v>46</v>
      </c>
      <c r="D168" s="206" t="s">
        <v>513</v>
      </c>
      <c r="E168" s="304">
        <f>E123</f>
        <v>95000</v>
      </c>
      <c r="F168" s="207">
        <f>C168*E168</f>
        <v>4370000</v>
      </c>
    </row>
    <row r="169" spans="1:6" ht="17.25" customHeight="1" x14ac:dyDescent="0.25"/>
    <row r="170" spans="1:6" x14ac:dyDescent="0.25">
      <c r="F170" s="230"/>
    </row>
    <row r="171" spans="1:6" x14ac:dyDescent="0.25">
      <c r="B171" s="211" t="s">
        <v>102</v>
      </c>
    </row>
    <row r="173" spans="1:6" ht="30" x14ac:dyDescent="0.25">
      <c r="B173" s="224" t="s">
        <v>674</v>
      </c>
    </row>
    <row r="174" spans="1:6" x14ac:dyDescent="0.25">
      <c r="B174" s="224"/>
    </row>
    <row r="175" spans="1:6" x14ac:dyDescent="0.25">
      <c r="A175" s="206" t="s">
        <v>4</v>
      </c>
      <c r="B175" s="214" t="s">
        <v>988</v>
      </c>
      <c r="C175" s="205">
        <f>C168*105</f>
        <v>4830</v>
      </c>
      <c r="D175" s="206" t="s">
        <v>75</v>
      </c>
      <c r="E175" s="304">
        <f>E133</f>
        <v>1450</v>
      </c>
      <c r="F175" s="207">
        <f>C175*E175</f>
        <v>7003500</v>
      </c>
    </row>
    <row r="177" spans="1:6" x14ac:dyDescent="0.25">
      <c r="B177" s="211" t="s">
        <v>67</v>
      </c>
    </row>
    <row r="179" spans="1:6" x14ac:dyDescent="0.25">
      <c r="B179" s="219" t="s">
        <v>120</v>
      </c>
      <c r="E179" s="303"/>
      <c r="F179" s="285"/>
    </row>
    <row r="180" spans="1:6" x14ac:dyDescent="0.25">
      <c r="E180" s="303"/>
      <c r="F180" s="285"/>
    </row>
    <row r="181" spans="1:6" x14ac:dyDescent="0.25">
      <c r="A181" s="206" t="s">
        <v>6</v>
      </c>
      <c r="B181" s="214" t="s">
        <v>546</v>
      </c>
      <c r="C181" s="205">
        <f>294</f>
        <v>294</v>
      </c>
      <c r="D181" s="206" t="s">
        <v>511</v>
      </c>
      <c r="E181" s="304">
        <f>E147</f>
        <v>8500</v>
      </c>
      <c r="F181" s="207">
        <f>C181*E181</f>
        <v>2499000</v>
      </c>
    </row>
    <row r="183" spans="1:6" x14ac:dyDescent="0.25">
      <c r="A183" s="206" t="s">
        <v>7</v>
      </c>
      <c r="B183" s="214" t="s">
        <v>547</v>
      </c>
      <c r="C183" s="205">
        <v>101</v>
      </c>
      <c r="D183" s="206" t="s">
        <v>22</v>
      </c>
      <c r="E183" s="304">
        <f>E181*0.15</f>
        <v>1275</v>
      </c>
      <c r="F183" s="207">
        <f>C183*E183</f>
        <v>128775</v>
      </c>
    </row>
    <row r="184" spans="1:6" x14ac:dyDescent="0.25">
      <c r="A184" s="209"/>
      <c r="C184" s="221"/>
      <c r="D184" s="209"/>
      <c r="E184" s="303"/>
      <c r="F184" s="285"/>
    </row>
    <row r="186" spans="1:6" x14ac:dyDescent="0.25">
      <c r="A186" s="209"/>
      <c r="C186" s="221"/>
      <c r="D186" s="209"/>
      <c r="E186" s="303"/>
      <c r="F186" s="285"/>
    </row>
    <row r="187" spans="1:6" x14ac:dyDescent="0.25">
      <c r="A187" s="209"/>
      <c r="D187" s="209"/>
      <c r="E187" s="303"/>
      <c r="F187" s="285"/>
    </row>
    <row r="188" spans="1:6" x14ac:dyDescent="0.25">
      <c r="A188" s="209"/>
      <c r="C188" s="221"/>
      <c r="D188" s="209"/>
      <c r="E188" s="303"/>
      <c r="F188" s="285"/>
    </row>
    <row r="189" spans="1:6" x14ac:dyDescent="0.25">
      <c r="A189" s="209"/>
      <c r="C189" s="221"/>
      <c r="D189" s="209"/>
      <c r="E189" s="303"/>
      <c r="F189" s="285"/>
    </row>
    <row r="190" spans="1:6" x14ac:dyDescent="0.25">
      <c r="A190" s="209"/>
      <c r="C190" s="221"/>
      <c r="D190" s="209"/>
      <c r="E190" s="303"/>
      <c r="F190" s="285"/>
    </row>
    <row r="191" spans="1:6" x14ac:dyDescent="0.25">
      <c r="A191" s="209"/>
      <c r="C191" s="221"/>
      <c r="D191" s="209"/>
      <c r="E191" s="303"/>
      <c r="F191" s="285"/>
    </row>
    <row r="192" spans="1:6" x14ac:dyDescent="0.25">
      <c r="A192" s="209"/>
      <c r="C192" s="221"/>
      <c r="D192" s="209"/>
      <c r="E192" s="303"/>
      <c r="F192" s="285"/>
    </row>
    <row r="193" spans="1:6" x14ac:dyDescent="0.25">
      <c r="A193" s="209"/>
      <c r="C193" s="221"/>
      <c r="D193" s="209"/>
      <c r="E193" s="303"/>
      <c r="F193" s="285"/>
    </row>
    <row r="194" spans="1:6" x14ac:dyDescent="0.25">
      <c r="A194" s="209"/>
      <c r="C194" s="221"/>
      <c r="D194" s="209"/>
      <c r="E194" s="303"/>
      <c r="F194" s="285"/>
    </row>
    <row r="195" spans="1:6" x14ac:dyDescent="0.25">
      <c r="A195" s="209"/>
      <c r="C195" s="221"/>
      <c r="D195" s="209"/>
      <c r="E195" s="303"/>
      <c r="F195" s="285"/>
    </row>
    <row r="196" spans="1:6" x14ac:dyDescent="0.25">
      <c r="A196" s="209"/>
      <c r="C196" s="221"/>
      <c r="D196" s="209"/>
      <c r="E196" s="303"/>
      <c r="F196" s="285"/>
    </row>
    <row r="197" spans="1:6" x14ac:dyDescent="0.25">
      <c r="A197" s="209"/>
      <c r="C197" s="221"/>
      <c r="D197" s="209"/>
      <c r="E197" s="303"/>
      <c r="F197" s="285"/>
    </row>
    <row r="198" spans="1:6" x14ac:dyDescent="0.25">
      <c r="A198" s="209"/>
      <c r="C198" s="221"/>
      <c r="D198" s="209"/>
      <c r="E198" s="303"/>
      <c r="F198" s="285"/>
    </row>
    <row r="199" spans="1:6" x14ac:dyDescent="0.25">
      <c r="A199" s="209"/>
      <c r="C199" s="221"/>
      <c r="D199" s="209"/>
      <c r="E199" s="303"/>
      <c r="F199" s="285"/>
    </row>
    <row r="200" spans="1:6" x14ac:dyDescent="0.25">
      <c r="B200" s="210" t="s">
        <v>453</v>
      </c>
    </row>
    <row r="201" spans="1:6" x14ac:dyDescent="0.25">
      <c r="B201" s="220" t="s">
        <v>534</v>
      </c>
      <c r="E201" s="303" t="s">
        <v>15</v>
      </c>
      <c r="F201" s="285">
        <f>SUM(F160:F200)</f>
        <v>14001275</v>
      </c>
    </row>
    <row r="202" spans="1:6" x14ac:dyDescent="0.25">
      <c r="A202" s="209" t="s">
        <v>796</v>
      </c>
      <c r="B202" s="209" t="s">
        <v>913</v>
      </c>
      <c r="C202" s="221" t="s">
        <v>773</v>
      </c>
      <c r="D202" s="209" t="s">
        <v>765</v>
      </c>
      <c r="E202" s="303" t="s">
        <v>914</v>
      </c>
      <c r="F202" s="273" t="s">
        <v>768</v>
      </c>
    </row>
    <row r="203" spans="1:6" x14ac:dyDescent="0.25">
      <c r="B203" s="204" t="s">
        <v>548</v>
      </c>
      <c r="F203" s="230"/>
    </row>
    <row r="204" spans="1:6" x14ac:dyDescent="0.25">
      <c r="B204" s="206"/>
      <c r="F204" s="230"/>
    </row>
    <row r="205" spans="1:6" x14ac:dyDescent="0.25">
      <c r="B205" s="210" t="s">
        <v>549</v>
      </c>
      <c r="F205" s="230"/>
    </row>
    <row r="206" spans="1:6" ht="10.5" customHeight="1" x14ac:dyDescent="0.25">
      <c r="A206" s="237"/>
      <c r="B206" s="210"/>
      <c r="F206" s="230"/>
    </row>
    <row r="207" spans="1:6" x14ac:dyDescent="0.25">
      <c r="A207" s="237"/>
      <c r="B207" s="211" t="s">
        <v>98</v>
      </c>
      <c r="F207" s="230"/>
    </row>
    <row r="208" spans="1:6" x14ac:dyDescent="0.25">
      <c r="A208" s="237"/>
      <c r="F208" s="230"/>
    </row>
    <row r="209" spans="1:6" x14ac:dyDescent="0.25">
      <c r="B209" s="219" t="s">
        <v>536</v>
      </c>
      <c r="E209" s="304" t="s">
        <v>20</v>
      </c>
      <c r="F209" s="230"/>
    </row>
    <row r="210" spans="1:6" ht="11.25" customHeight="1" x14ac:dyDescent="0.25">
      <c r="A210" s="237"/>
      <c r="B210" s="219"/>
      <c r="F210" s="230"/>
    </row>
    <row r="211" spans="1:6" x14ac:dyDescent="0.25">
      <c r="A211" s="237"/>
      <c r="B211" s="219" t="s">
        <v>666</v>
      </c>
      <c r="F211" s="230"/>
    </row>
    <row r="212" spans="1:6" ht="9" customHeight="1" x14ac:dyDescent="0.25">
      <c r="A212" s="237"/>
      <c r="F212" s="230"/>
    </row>
    <row r="213" spans="1:6" x14ac:dyDescent="0.25">
      <c r="A213" s="206" t="s">
        <v>2</v>
      </c>
      <c r="B213" s="214" t="s">
        <v>550</v>
      </c>
      <c r="C213" s="205">
        <v>5</v>
      </c>
      <c r="D213" s="206" t="s">
        <v>513</v>
      </c>
      <c r="E213" s="304">
        <f>E123</f>
        <v>95000</v>
      </c>
      <c r="F213" s="287">
        <f>C213*E213</f>
        <v>475000</v>
      </c>
    </row>
    <row r="214" spans="1:6" ht="10.5" customHeight="1" x14ac:dyDescent="0.25">
      <c r="F214" s="287"/>
    </row>
    <row r="215" spans="1:6" ht="12.75" customHeight="1" x14ac:dyDescent="0.25">
      <c r="A215" s="237"/>
      <c r="B215" s="211" t="s">
        <v>102</v>
      </c>
      <c r="F215" s="230"/>
    </row>
    <row r="216" spans="1:6" ht="9.75" customHeight="1" x14ac:dyDescent="0.25">
      <c r="F216" s="230"/>
    </row>
    <row r="217" spans="1:6" ht="30" x14ac:dyDescent="0.25">
      <c r="B217" s="224" t="s">
        <v>551</v>
      </c>
    </row>
    <row r="218" spans="1:6" ht="15.75" customHeight="1" x14ac:dyDescent="0.25">
      <c r="B218" s="224"/>
    </row>
    <row r="219" spans="1:6" ht="17.25" customHeight="1" x14ac:dyDescent="0.25">
      <c r="A219" s="206" t="s">
        <v>4</v>
      </c>
      <c r="B219" s="214" t="s">
        <v>672</v>
      </c>
      <c r="C219" s="205">
        <v>685</v>
      </c>
      <c r="D219" s="206" t="s">
        <v>75</v>
      </c>
      <c r="E219" s="304">
        <f>E175</f>
        <v>1450</v>
      </c>
      <c r="F219" s="207">
        <f>C219*E219</f>
        <v>993250</v>
      </c>
    </row>
    <row r="220" spans="1:6" x14ac:dyDescent="0.25">
      <c r="B220" s="224"/>
    </row>
    <row r="221" spans="1:6" s="236" customFormat="1" x14ac:dyDescent="0.25">
      <c r="A221" s="238"/>
      <c r="B221" s="218"/>
      <c r="C221" s="239"/>
      <c r="D221" s="240"/>
      <c r="E221" s="305"/>
      <c r="F221" s="241"/>
    </row>
    <row r="222" spans="1:6" x14ac:dyDescent="0.25">
      <c r="A222" s="237"/>
      <c r="B222" s="211" t="s">
        <v>67</v>
      </c>
      <c r="F222" s="230"/>
    </row>
    <row r="223" spans="1:6" x14ac:dyDescent="0.25">
      <c r="F223" s="230"/>
    </row>
    <row r="224" spans="1:6" x14ac:dyDescent="0.25">
      <c r="B224" s="219" t="s">
        <v>120</v>
      </c>
      <c r="F224" s="230"/>
    </row>
    <row r="225" spans="1:6" x14ac:dyDescent="0.25">
      <c r="F225" s="230"/>
    </row>
    <row r="226" spans="1:6" x14ac:dyDescent="0.25">
      <c r="A226" s="206" t="s">
        <v>5</v>
      </c>
      <c r="B226" s="214" t="s">
        <v>552</v>
      </c>
      <c r="C226" s="205">
        <v>21</v>
      </c>
      <c r="D226" s="206" t="s">
        <v>511</v>
      </c>
      <c r="E226" s="304">
        <f>E66</f>
        <v>8500</v>
      </c>
      <c r="F226" s="207">
        <f>C226*E226</f>
        <v>178500</v>
      </c>
    </row>
    <row r="227" spans="1:6" x14ac:dyDescent="0.25">
      <c r="F227" s="230"/>
    </row>
    <row r="228" spans="1:6" x14ac:dyDescent="0.25">
      <c r="A228" s="206" t="s">
        <v>6</v>
      </c>
      <c r="B228" s="214" t="s">
        <v>553</v>
      </c>
      <c r="C228" s="205">
        <v>5</v>
      </c>
      <c r="D228" s="206" t="s">
        <v>511</v>
      </c>
      <c r="E228" s="304">
        <f>E226</f>
        <v>8500</v>
      </c>
      <c r="F228" s="207">
        <f>C228*E228</f>
        <v>42500</v>
      </c>
    </row>
    <row r="230" spans="1:6" x14ac:dyDescent="0.25">
      <c r="A230" s="206" t="s">
        <v>7</v>
      </c>
      <c r="B230" s="214" t="s">
        <v>554</v>
      </c>
      <c r="C230" s="205">
        <v>16</v>
      </c>
      <c r="D230" s="206" t="s">
        <v>511</v>
      </c>
      <c r="E230" s="304">
        <f>E228</f>
        <v>8500</v>
      </c>
      <c r="F230" s="207">
        <f>C230*E230</f>
        <v>136000</v>
      </c>
    </row>
    <row r="231" spans="1:6" x14ac:dyDescent="0.25">
      <c r="F231" s="230"/>
    </row>
    <row r="232" spans="1:6" ht="30" x14ac:dyDescent="0.25">
      <c r="A232" s="206" t="s">
        <v>8</v>
      </c>
      <c r="B232" s="215" t="s">
        <v>555</v>
      </c>
      <c r="C232" s="205">
        <v>3</v>
      </c>
      <c r="D232" s="206" t="s">
        <v>511</v>
      </c>
      <c r="E232" s="304">
        <f>E228</f>
        <v>8500</v>
      </c>
      <c r="F232" s="207">
        <f>C232*E232</f>
        <v>25500</v>
      </c>
    </row>
    <row r="233" spans="1:6" x14ac:dyDescent="0.25">
      <c r="B233" s="215"/>
      <c r="F233" s="230"/>
    </row>
    <row r="234" spans="1:6" x14ac:dyDescent="0.25">
      <c r="A234" s="206" t="s">
        <v>9</v>
      </c>
      <c r="B234" s="214" t="s">
        <v>133</v>
      </c>
      <c r="C234" s="205">
        <v>33</v>
      </c>
      <c r="D234" s="206" t="s">
        <v>22</v>
      </c>
      <c r="E234" s="304">
        <f>E183</f>
        <v>1275</v>
      </c>
      <c r="F234" s="207">
        <f>C234*E234</f>
        <v>42075</v>
      </c>
    </row>
    <row r="236" spans="1:6" x14ac:dyDescent="0.25">
      <c r="A236" s="206" t="s">
        <v>10</v>
      </c>
      <c r="B236" s="214" t="s">
        <v>556</v>
      </c>
      <c r="C236" s="205">
        <v>8</v>
      </c>
      <c r="D236" s="206" t="s">
        <v>22</v>
      </c>
      <c r="E236" s="304">
        <f>E234</f>
        <v>1275</v>
      </c>
      <c r="F236" s="207">
        <f>C236*E236</f>
        <v>10200</v>
      </c>
    </row>
    <row r="247" spans="1:6" ht="19.5" customHeight="1" x14ac:dyDescent="0.25">
      <c r="B247" s="220" t="s">
        <v>520</v>
      </c>
      <c r="C247" s="221"/>
      <c r="D247" s="209"/>
      <c r="E247" s="303" t="s">
        <v>15</v>
      </c>
      <c r="F247" s="207">
        <f>SUM(F205:F246)</f>
        <v>1903025</v>
      </c>
    </row>
    <row r="248" spans="1:6" x14ac:dyDescent="0.25">
      <c r="A248" s="209" t="s">
        <v>796</v>
      </c>
      <c r="B248" s="209"/>
      <c r="C248" s="221" t="s">
        <v>773</v>
      </c>
      <c r="D248" s="209" t="s">
        <v>765</v>
      </c>
      <c r="E248" s="303" t="s">
        <v>914</v>
      </c>
      <c r="F248" s="273" t="s">
        <v>768</v>
      </c>
    </row>
    <row r="249" spans="1:6" x14ac:dyDescent="0.25">
      <c r="B249" s="210" t="s">
        <v>557</v>
      </c>
    </row>
    <row r="250" spans="1:6" x14ac:dyDescent="0.25">
      <c r="B250" s="210"/>
    </row>
    <row r="251" spans="1:6" x14ac:dyDescent="0.25">
      <c r="B251" s="211" t="s">
        <v>137</v>
      </c>
      <c r="F251" s="288"/>
    </row>
    <row r="252" spans="1:6" x14ac:dyDescent="0.25">
      <c r="F252" s="288"/>
    </row>
    <row r="253" spans="1:6" x14ac:dyDescent="0.25">
      <c r="B253" s="242" t="s">
        <v>702</v>
      </c>
      <c r="F253" s="230"/>
    </row>
    <row r="254" spans="1:6" x14ac:dyDescent="0.25">
      <c r="B254" s="211"/>
      <c r="F254" s="230"/>
    </row>
    <row r="255" spans="1:6" x14ac:dyDescent="0.25">
      <c r="A255" s="206" t="s">
        <v>2</v>
      </c>
      <c r="B255" s="233" t="s">
        <v>558</v>
      </c>
      <c r="C255" s="205">
        <v>7</v>
      </c>
      <c r="D255" s="206" t="s">
        <v>511</v>
      </c>
      <c r="E255" s="306">
        <v>23000</v>
      </c>
      <c r="F255" s="207">
        <f>C255*E255</f>
        <v>161000</v>
      </c>
    </row>
    <row r="256" spans="1:6" x14ac:dyDescent="0.25">
      <c r="B256" s="233"/>
      <c r="F256" s="230"/>
    </row>
    <row r="257" spans="1:6" x14ac:dyDescent="0.25">
      <c r="A257" s="206" t="s">
        <v>4</v>
      </c>
      <c r="B257" s="214" t="s">
        <v>139</v>
      </c>
      <c r="C257" s="205">
        <v>10</v>
      </c>
      <c r="D257" s="206" t="s">
        <v>22</v>
      </c>
      <c r="E257" s="306">
        <f>E255*0.3</f>
        <v>6900</v>
      </c>
      <c r="F257" s="207">
        <f>C257*E257</f>
        <v>69000</v>
      </c>
    </row>
    <row r="258" spans="1:6" x14ac:dyDescent="0.25">
      <c r="E258" s="306"/>
    </row>
    <row r="259" spans="1:6" x14ac:dyDescent="0.25">
      <c r="A259" s="206" t="s">
        <v>5</v>
      </c>
      <c r="B259" s="214" t="s">
        <v>140</v>
      </c>
      <c r="C259" s="205">
        <v>34</v>
      </c>
      <c r="D259" s="206" t="s">
        <v>22</v>
      </c>
      <c r="E259" s="306">
        <f>E255*0.15</f>
        <v>3450</v>
      </c>
      <c r="F259" s="207">
        <f>C259*E259</f>
        <v>117300</v>
      </c>
    </row>
    <row r="260" spans="1:6" x14ac:dyDescent="0.25">
      <c r="F260" s="230"/>
    </row>
    <row r="261" spans="1:6" s="223" customFormat="1" ht="15" customHeight="1" x14ac:dyDescent="0.25">
      <c r="A261" s="206" t="s">
        <v>6</v>
      </c>
      <c r="B261" s="218" t="s">
        <v>141</v>
      </c>
      <c r="C261" s="205">
        <v>18</v>
      </c>
      <c r="D261" s="206" t="s">
        <v>22</v>
      </c>
      <c r="E261" s="306">
        <f>E255*0.08</f>
        <v>1840</v>
      </c>
      <c r="F261" s="207">
        <f>C261*E261</f>
        <v>33120</v>
      </c>
    </row>
    <row r="262" spans="1:6" s="223" customFormat="1" ht="15" customHeight="1" x14ac:dyDescent="0.25">
      <c r="A262" s="206"/>
      <c r="B262" s="218"/>
      <c r="C262" s="205"/>
      <c r="D262" s="206"/>
      <c r="E262" s="304"/>
      <c r="F262" s="207"/>
    </row>
    <row r="263" spans="1:6" ht="35.25" customHeight="1" x14ac:dyDescent="0.25">
      <c r="B263" s="242" t="s">
        <v>559</v>
      </c>
      <c r="C263" s="221"/>
      <c r="D263" s="209"/>
      <c r="E263" s="303"/>
      <c r="F263" s="286"/>
    </row>
    <row r="264" spans="1:6" x14ac:dyDescent="0.25">
      <c r="B264" s="220"/>
      <c r="C264" s="221"/>
      <c r="D264" s="209"/>
      <c r="E264" s="303"/>
      <c r="F264" s="286"/>
    </row>
    <row r="265" spans="1:6" x14ac:dyDescent="0.25">
      <c r="B265" s="219" t="s">
        <v>560</v>
      </c>
      <c r="F265" s="230"/>
    </row>
    <row r="266" spans="1:6" x14ac:dyDescent="0.25">
      <c r="B266" s="219"/>
      <c r="F266" s="230"/>
    </row>
    <row r="267" spans="1:6" x14ac:dyDescent="0.25">
      <c r="A267" s="206" t="s">
        <v>7</v>
      </c>
      <c r="B267" s="233" t="s">
        <v>561</v>
      </c>
      <c r="C267" s="205">
        <f>C255</f>
        <v>7</v>
      </c>
      <c r="D267" s="206" t="s">
        <v>511</v>
      </c>
      <c r="E267" s="304">
        <v>4500</v>
      </c>
      <c r="F267" s="207">
        <f>C267*E267</f>
        <v>31500</v>
      </c>
    </row>
    <row r="268" spans="1:6" x14ac:dyDescent="0.25">
      <c r="B268" s="219"/>
      <c r="F268" s="230"/>
    </row>
    <row r="269" spans="1:6" ht="15" x14ac:dyDescent="0.25">
      <c r="A269" s="206" t="s">
        <v>8</v>
      </c>
      <c r="B269" s="233" t="s">
        <v>145</v>
      </c>
      <c r="C269" s="205">
        <f>C259</f>
        <v>34</v>
      </c>
      <c r="D269" s="206" t="s">
        <v>22</v>
      </c>
      <c r="E269" s="304">
        <v>1500</v>
      </c>
      <c r="F269" s="212">
        <f>C269*E269</f>
        <v>51000</v>
      </c>
    </row>
    <row r="270" spans="1:6" x14ac:dyDescent="0.25">
      <c r="B270" s="233"/>
    </row>
    <row r="271" spans="1:6" ht="15" x14ac:dyDescent="0.25">
      <c r="A271" s="206" t="s">
        <v>9</v>
      </c>
      <c r="B271" s="233" t="s">
        <v>562</v>
      </c>
      <c r="C271" s="205">
        <f>C257</f>
        <v>10</v>
      </c>
      <c r="D271" s="206" t="s">
        <v>22</v>
      </c>
      <c r="E271" s="304">
        <v>2500</v>
      </c>
      <c r="F271" s="212">
        <f>C271*E271</f>
        <v>25000</v>
      </c>
    </row>
    <row r="272" spans="1:6" ht="15" x14ac:dyDescent="0.25">
      <c r="B272" s="233"/>
      <c r="F272" s="212"/>
    </row>
    <row r="273" spans="1:6" ht="15" x14ac:dyDescent="0.25">
      <c r="A273" s="206" t="s">
        <v>10</v>
      </c>
      <c r="B273" s="233" t="s">
        <v>146</v>
      </c>
      <c r="C273" s="205">
        <v>18</v>
      </c>
      <c r="D273" s="206" t="s">
        <v>22</v>
      </c>
      <c r="E273" s="304">
        <f>E267*0.15</f>
        <v>675</v>
      </c>
      <c r="F273" s="212">
        <f>C273*E273</f>
        <v>12150</v>
      </c>
    </row>
    <row r="274" spans="1:6" x14ac:dyDescent="0.25">
      <c r="F274" s="230"/>
    </row>
    <row r="275" spans="1:6" x14ac:dyDescent="0.25">
      <c r="B275" s="211" t="s">
        <v>147</v>
      </c>
      <c r="F275" s="230"/>
    </row>
    <row r="276" spans="1:6" x14ac:dyDescent="0.25">
      <c r="F276" s="230"/>
    </row>
    <row r="277" spans="1:6" ht="30" x14ac:dyDescent="0.25">
      <c r="B277" s="224" t="s">
        <v>563</v>
      </c>
      <c r="F277" s="230"/>
    </row>
    <row r="278" spans="1:6" x14ac:dyDescent="0.25">
      <c r="B278" s="224"/>
      <c r="F278" s="230"/>
    </row>
    <row r="279" spans="1:6" x14ac:dyDescent="0.25">
      <c r="A279" s="206" t="s">
        <v>11</v>
      </c>
      <c r="B279" s="233" t="s">
        <v>149</v>
      </c>
      <c r="C279" s="205">
        <f>C226</f>
        <v>21</v>
      </c>
      <c r="D279" s="206" t="s">
        <v>511</v>
      </c>
      <c r="E279" s="304">
        <v>3500</v>
      </c>
      <c r="F279" s="207">
        <f>C279*E279</f>
        <v>73500</v>
      </c>
    </row>
    <row r="280" spans="1:6" x14ac:dyDescent="0.25">
      <c r="B280" s="233"/>
    </row>
    <row r="281" spans="1:6" x14ac:dyDescent="0.25">
      <c r="A281" s="206" t="s">
        <v>12</v>
      </c>
      <c r="B281" s="214" t="s">
        <v>38</v>
      </c>
      <c r="C281" s="205">
        <f>C228</f>
        <v>5</v>
      </c>
      <c r="D281" s="206" t="s">
        <v>511</v>
      </c>
      <c r="E281" s="304">
        <f>E279</f>
        <v>3500</v>
      </c>
      <c r="F281" s="207">
        <f>C281*E281</f>
        <v>17500</v>
      </c>
    </row>
    <row r="283" spans="1:6" x14ac:dyDescent="0.25">
      <c r="A283" s="206" t="s">
        <v>13</v>
      </c>
      <c r="B283" s="214" t="s">
        <v>37</v>
      </c>
      <c r="C283" s="205">
        <f>C232</f>
        <v>3</v>
      </c>
      <c r="D283" s="206" t="s">
        <v>511</v>
      </c>
      <c r="E283" s="304">
        <f>E281</f>
        <v>3500</v>
      </c>
      <c r="F283" s="207">
        <f>C283*E283</f>
        <v>10500</v>
      </c>
    </row>
    <row r="284" spans="1:6" x14ac:dyDescent="0.25">
      <c r="F284" s="230"/>
    </row>
    <row r="285" spans="1:6" x14ac:dyDescent="0.25">
      <c r="F285" s="230"/>
    </row>
    <row r="286" spans="1:6" x14ac:dyDescent="0.25">
      <c r="F286" s="230"/>
    </row>
    <row r="287" spans="1:6" x14ac:dyDescent="0.25">
      <c r="F287" s="230"/>
    </row>
    <row r="288" spans="1:6" x14ac:dyDescent="0.25">
      <c r="F288" s="230"/>
    </row>
    <row r="289" spans="1:6" x14ac:dyDescent="0.25">
      <c r="F289" s="230"/>
    </row>
    <row r="290" spans="1:6" x14ac:dyDescent="0.25">
      <c r="F290" s="230"/>
    </row>
    <row r="291" spans="1:6" x14ac:dyDescent="0.25">
      <c r="F291" s="230"/>
    </row>
    <row r="292" spans="1:6" x14ac:dyDescent="0.25">
      <c r="B292" s="220" t="s">
        <v>520</v>
      </c>
      <c r="C292" s="221"/>
      <c r="D292" s="209"/>
      <c r="E292" s="303" t="s">
        <v>15</v>
      </c>
      <c r="F292" s="235">
        <f>SUM(F251:F291)</f>
        <v>601570</v>
      </c>
    </row>
    <row r="293" spans="1:6" x14ac:dyDescent="0.25">
      <c r="A293" s="209" t="s">
        <v>796</v>
      </c>
      <c r="B293" s="209"/>
      <c r="C293" s="221" t="s">
        <v>773</v>
      </c>
      <c r="D293" s="209" t="s">
        <v>765</v>
      </c>
      <c r="E293" s="303" t="s">
        <v>914</v>
      </c>
      <c r="F293" s="273" t="s">
        <v>768</v>
      </c>
    </row>
    <row r="294" spans="1:6" x14ac:dyDescent="0.25">
      <c r="B294" s="210" t="s">
        <v>557</v>
      </c>
      <c r="F294" s="230"/>
    </row>
    <row r="295" spans="1:6" x14ac:dyDescent="0.25">
      <c r="F295" s="230"/>
    </row>
    <row r="296" spans="1:6" x14ac:dyDescent="0.25">
      <c r="B296" s="210" t="s">
        <v>564</v>
      </c>
      <c r="F296" s="230"/>
    </row>
    <row r="297" spans="1:6" x14ac:dyDescent="0.25">
      <c r="F297" s="230"/>
    </row>
    <row r="298" spans="1:6" ht="30" x14ac:dyDescent="0.25">
      <c r="B298" s="224" t="s">
        <v>565</v>
      </c>
      <c r="F298" s="230"/>
    </row>
    <row r="299" spans="1:6" x14ac:dyDescent="0.25">
      <c r="F299" s="230"/>
    </row>
    <row r="300" spans="1:6" x14ac:dyDescent="0.25">
      <c r="A300" s="206" t="s">
        <v>2</v>
      </c>
      <c r="B300" s="233" t="s">
        <v>149</v>
      </c>
      <c r="C300" s="205">
        <f>C279</f>
        <v>21</v>
      </c>
      <c r="D300" s="206" t="s">
        <v>511</v>
      </c>
      <c r="E300" s="304">
        <v>1400</v>
      </c>
      <c r="F300" s="207">
        <f>C300*E300</f>
        <v>29400</v>
      </c>
    </row>
    <row r="301" spans="1:6" x14ac:dyDescent="0.25">
      <c r="B301" s="233"/>
    </row>
    <row r="302" spans="1:6" x14ac:dyDescent="0.25">
      <c r="A302" s="206" t="s">
        <v>4</v>
      </c>
      <c r="B302" s="214" t="s">
        <v>38</v>
      </c>
      <c r="C302" s="205">
        <f>C281</f>
        <v>5</v>
      </c>
      <c r="D302" s="206" t="s">
        <v>511</v>
      </c>
      <c r="E302" s="304">
        <f>E300</f>
        <v>1400</v>
      </c>
      <c r="F302" s="207">
        <f>C302*E302</f>
        <v>7000</v>
      </c>
    </row>
    <row r="304" spans="1:6" x14ac:dyDescent="0.25">
      <c r="A304" s="206" t="s">
        <v>5</v>
      </c>
      <c r="B304" s="214" t="s">
        <v>37</v>
      </c>
      <c r="C304" s="205">
        <f>C283</f>
        <v>3</v>
      </c>
      <c r="D304" s="206" t="s">
        <v>511</v>
      </c>
      <c r="E304" s="304">
        <f>E302</f>
        <v>1400</v>
      </c>
      <c r="F304" s="207">
        <f>C304*E304</f>
        <v>4200</v>
      </c>
    </row>
    <row r="305" spans="1:6" x14ac:dyDescent="0.25">
      <c r="B305" s="233"/>
      <c r="F305" s="230"/>
    </row>
    <row r="306" spans="1:6" x14ac:dyDescent="0.25">
      <c r="B306" s="211" t="s">
        <v>152</v>
      </c>
      <c r="F306" s="230"/>
    </row>
    <row r="307" spans="1:6" x14ac:dyDescent="0.25">
      <c r="F307" s="230"/>
    </row>
    <row r="308" spans="1:6" ht="30" x14ac:dyDescent="0.25">
      <c r="B308" s="224" t="s">
        <v>675</v>
      </c>
      <c r="F308" s="230"/>
    </row>
    <row r="309" spans="1:6" x14ac:dyDescent="0.25">
      <c r="F309" s="230"/>
    </row>
    <row r="310" spans="1:6" x14ac:dyDescent="0.25">
      <c r="A310" s="206" t="s">
        <v>6</v>
      </c>
      <c r="B310" s="233" t="s">
        <v>149</v>
      </c>
      <c r="C310" s="205">
        <f>C300</f>
        <v>21</v>
      </c>
      <c r="D310" s="206" t="s">
        <v>511</v>
      </c>
      <c r="E310" s="304">
        <v>2200</v>
      </c>
      <c r="F310" s="207">
        <f>C310*E310</f>
        <v>46200</v>
      </c>
    </row>
    <row r="311" spans="1:6" x14ac:dyDescent="0.25">
      <c r="B311" s="233"/>
    </row>
    <row r="312" spans="1:6" x14ac:dyDescent="0.25">
      <c r="A312" s="206" t="s">
        <v>7</v>
      </c>
      <c r="B312" s="214" t="s">
        <v>38</v>
      </c>
      <c r="C312" s="205">
        <f>C302</f>
        <v>5</v>
      </c>
      <c r="D312" s="206" t="s">
        <v>511</v>
      </c>
      <c r="E312" s="304">
        <f>E310</f>
        <v>2200</v>
      </c>
      <c r="F312" s="207">
        <f>C312*E312</f>
        <v>11000</v>
      </c>
    </row>
    <row r="314" spans="1:6" x14ac:dyDescent="0.25">
      <c r="A314" s="206" t="s">
        <v>8</v>
      </c>
      <c r="B314" s="214" t="s">
        <v>37</v>
      </c>
      <c r="C314" s="205">
        <f>C304</f>
        <v>3</v>
      </c>
      <c r="D314" s="206" t="s">
        <v>511</v>
      </c>
      <c r="E314" s="304">
        <f>E312</f>
        <v>2200</v>
      </c>
      <c r="F314" s="207">
        <f>C314*E314</f>
        <v>6600</v>
      </c>
    </row>
    <row r="316" spans="1:6" x14ac:dyDescent="0.25">
      <c r="F316" s="230"/>
    </row>
    <row r="317" spans="1:6" x14ac:dyDescent="0.25">
      <c r="B317" s="220" t="s">
        <v>520</v>
      </c>
      <c r="E317" s="303" t="s">
        <v>15</v>
      </c>
      <c r="F317" s="222">
        <f>SUM(F297:F316)</f>
        <v>104400</v>
      </c>
    </row>
    <row r="319" spans="1:6" x14ac:dyDescent="0.25">
      <c r="B319" s="219" t="s">
        <v>531</v>
      </c>
      <c r="F319" s="230"/>
    </row>
    <row r="320" spans="1:6" x14ac:dyDescent="0.25">
      <c r="B320" s="231" t="s">
        <v>566</v>
      </c>
      <c r="E320" s="304">
        <f>F247</f>
        <v>1903025</v>
      </c>
      <c r="F320" s="230"/>
    </row>
    <row r="321" spans="2:6" x14ac:dyDescent="0.25">
      <c r="B321" s="243"/>
      <c r="F321" s="230"/>
    </row>
    <row r="322" spans="2:6" x14ac:dyDescent="0.25">
      <c r="B322" s="231" t="s">
        <v>567</v>
      </c>
      <c r="E322" s="304">
        <f>F292</f>
        <v>601570</v>
      </c>
      <c r="F322" s="230"/>
    </row>
    <row r="323" spans="2:6" x14ac:dyDescent="0.25">
      <c r="B323" s="244"/>
      <c r="F323" s="230"/>
    </row>
    <row r="324" spans="2:6" x14ac:dyDescent="0.25">
      <c r="B324" s="231" t="s">
        <v>568</v>
      </c>
      <c r="E324" s="304">
        <f>F317</f>
        <v>104400</v>
      </c>
      <c r="F324" s="230"/>
    </row>
    <row r="325" spans="2:6" x14ac:dyDescent="0.25">
      <c r="B325" s="231"/>
      <c r="F325" s="230"/>
    </row>
    <row r="326" spans="2:6" x14ac:dyDescent="0.25">
      <c r="B326" s="231"/>
      <c r="F326" s="230"/>
    </row>
    <row r="327" spans="2:6" x14ac:dyDescent="0.25">
      <c r="B327" s="231"/>
      <c r="F327" s="230"/>
    </row>
    <row r="328" spans="2:6" x14ac:dyDescent="0.25">
      <c r="B328" s="231"/>
      <c r="F328" s="230"/>
    </row>
    <row r="329" spans="2:6" x14ac:dyDescent="0.25">
      <c r="B329" s="231"/>
      <c r="F329" s="230"/>
    </row>
    <row r="330" spans="2:6" x14ac:dyDescent="0.25">
      <c r="B330" s="231"/>
      <c r="F330" s="230"/>
    </row>
    <row r="331" spans="2:6" x14ac:dyDescent="0.25">
      <c r="B331" s="231"/>
      <c r="F331" s="230"/>
    </row>
    <row r="332" spans="2:6" x14ac:dyDescent="0.25">
      <c r="B332" s="231"/>
      <c r="F332" s="230"/>
    </row>
    <row r="333" spans="2:6" x14ac:dyDescent="0.25">
      <c r="B333" s="231"/>
      <c r="F333" s="230"/>
    </row>
    <row r="334" spans="2:6" x14ac:dyDescent="0.25">
      <c r="B334" s="231"/>
      <c r="F334" s="230"/>
    </row>
    <row r="335" spans="2:6" x14ac:dyDescent="0.25">
      <c r="B335" s="231"/>
      <c r="F335" s="230"/>
    </row>
    <row r="336" spans="2:6" x14ac:dyDescent="0.25">
      <c r="B336" s="210" t="s">
        <v>125</v>
      </c>
      <c r="F336" s="230"/>
    </row>
    <row r="337" spans="1:6" x14ac:dyDescent="0.25">
      <c r="B337" s="220" t="s">
        <v>534</v>
      </c>
      <c r="E337" s="303" t="s">
        <v>15</v>
      </c>
      <c r="F337" s="286">
        <f>SUM(E319:E326)</f>
        <v>2608995</v>
      </c>
    </row>
    <row r="338" spans="1:6" x14ac:dyDescent="0.25">
      <c r="A338" s="209" t="s">
        <v>796</v>
      </c>
      <c r="B338" s="209"/>
      <c r="C338" s="221" t="s">
        <v>773</v>
      </c>
      <c r="D338" s="209" t="s">
        <v>765</v>
      </c>
      <c r="E338" s="303" t="s">
        <v>914</v>
      </c>
      <c r="F338" s="273" t="s">
        <v>768</v>
      </c>
    </row>
    <row r="339" spans="1:6" x14ac:dyDescent="0.25">
      <c r="B339" s="210"/>
      <c r="F339" s="230"/>
    </row>
    <row r="340" spans="1:6" x14ac:dyDescent="0.25">
      <c r="B340" s="204" t="s">
        <v>569</v>
      </c>
      <c r="F340" s="230"/>
    </row>
    <row r="341" spans="1:6" x14ac:dyDescent="0.25">
      <c r="F341" s="230"/>
    </row>
    <row r="342" spans="1:6" x14ac:dyDescent="0.25">
      <c r="B342" s="210" t="s">
        <v>163</v>
      </c>
      <c r="F342" s="230"/>
    </row>
    <row r="343" spans="1:6" x14ac:dyDescent="0.25">
      <c r="F343" s="230"/>
    </row>
    <row r="344" spans="1:6" x14ac:dyDescent="0.25">
      <c r="B344" s="211" t="s">
        <v>98</v>
      </c>
      <c r="F344" s="230"/>
    </row>
    <row r="345" spans="1:6" x14ac:dyDescent="0.25">
      <c r="F345" s="230"/>
    </row>
    <row r="346" spans="1:6" x14ac:dyDescent="0.25">
      <c r="B346" s="219" t="s">
        <v>536</v>
      </c>
      <c r="F346" s="230"/>
    </row>
    <row r="347" spans="1:6" x14ac:dyDescent="0.25">
      <c r="B347" s="219"/>
      <c r="F347" s="230"/>
    </row>
    <row r="348" spans="1:6" x14ac:dyDescent="0.25">
      <c r="B348" s="219" t="s">
        <v>666</v>
      </c>
      <c r="F348" s="230"/>
    </row>
    <row r="349" spans="1:6" x14ac:dyDescent="0.25">
      <c r="F349" s="230"/>
    </row>
    <row r="350" spans="1:6" x14ac:dyDescent="0.25">
      <c r="A350" s="206" t="s">
        <v>2</v>
      </c>
      <c r="B350" s="214" t="s">
        <v>537</v>
      </c>
      <c r="C350" s="205">
        <v>12</v>
      </c>
      <c r="D350" s="206" t="s">
        <v>513</v>
      </c>
      <c r="E350" s="304">
        <f>E123</f>
        <v>95000</v>
      </c>
      <c r="F350" s="230">
        <f>C350*E350</f>
        <v>1140000</v>
      </c>
    </row>
    <row r="351" spans="1:6" x14ac:dyDescent="0.25">
      <c r="F351" s="230"/>
    </row>
    <row r="352" spans="1:6" x14ac:dyDescent="0.25">
      <c r="A352" s="206" t="s">
        <v>4</v>
      </c>
      <c r="B352" s="214" t="s">
        <v>1034</v>
      </c>
      <c r="C352" s="205">
        <v>3</v>
      </c>
      <c r="D352" s="206" t="s">
        <v>513</v>
      </c>
      <c r="E352" s="304">
        <f>E125</f>
        <v>95000</v>
      </c>
      <c r="F352" s="230">
        <f>C352*E352</f>
        <v>285000</v>
      </c>
    </row>
    <row r="353" spans="1:6" x14ac:dyDescent="0.25">
      <c r="F353" s="230"/>
    </row>
    <row r="354" spans="1:6" x14ac:dyDescent="0.25">
      <c r="A354" s="237"/>
      <c r="B354" s="211" t="s">
        <v>102</v>
      </c>
      <c r="F354" s="230"/>
    </row>
    <row r="355" spans="1:6" x14ac:dyDescent="0.25">
      <c r="B355" s="219"/>
      <c r="F355" s="230"/>
    </row>
    <row r="356" spans="1:6" ht="30" x14ac:dyDescent="0.25">
      <c r="B356" s="224" t="s">
        <v>570</v>
      </c>
      <c r="F356" s="230"/>
    </row>
    <row r="357" spans="1:6" x14ac:dyDescent="0.25">
      <c r="B357" s="218"/>
      <c r="C357" s="239"/>
      <c r="D357" s="240"/>
      <c r="E357" s="305"/>
      <c r="F357" s="245"/>
    </row>
    <row r="358" spans="1:6" x14ac:dyDescent="0.25">
      <c r="A358" s="206" t="s">
        <v>5</v>
      </c>
      <c r="B358" s="214" t="s">
        <v>927</v>
      </c>
      <c r="D358" s="206" t="s">
        <v>75</v>
      </c>
      <c r="E358" s="304">
        <f>E362</f>
        <v>1450</v>
      </c>
      <c r="F358" s="287">
        <f>C358*E358</f>
        <v>0</v>
      </c>
    </row>
    <row r="359" spans="1:6" x14ac:dyDescent="0.25">
      <c r="B359" s="218"/>
      <c r="C359" s="239"/>
      <c r="D359" s="240"/>
      <c r="E359" s="305"/>
      <c r="F359" s="245"/>
    </row>
    <row r="360" spans="1:6" x14ac:dyDescent="0.25">
      <c r="A360" s="206" t="s">
        <v>6</v>
      </c>
      <c r="B360" s="214" t="s">
        <v>928</v>
      </c>
      <c r="D360" s="206" t="s">
        <v>75</v>
      </c>
      <c r="E360" s="304">
        <f>E358</f>
        <v>1450</v>
      </c>
      <c r="F360" s="287">
        <f>C360*E360</f>
        <v>0</v>
      </c>
    </row>
    <row r="361" spans="1:6" x14ac:dyDescent="0.25">
      <c r="B361" s="218"/>
      <c r="C361" s="239"/>
      <c r="D361" s="240"/>
      <c r="E361" s="305"/>
      <c r="F361" s="245"/>
    </row>
    <row r="362" spans="1:6" x14ac:dyDescent="0.25">
      <c r="A362" s="206" t="s">
        <v>7</v>
      </c>
      <c r="B362" s="214" t="s">
        <v>806</v>
      </c>
      <c r="C362" s="205">
        <v>752</v>
      </c>
      <c r="D362" s="206" t="s">
        <v>75</v>
      </c>
      <c r="E362" s="304">
        <f>E219</f>
        <v>1450</v>
      </c>
      <c r="F362" s="287">
        <f>C362*E362</f>
        <v>1090400</v>
      </c>
    </row>
    <row r="363" spans="1:6" x14ac:dyDescent="0.25">
      <c r="A363" s="238"/>
      <c r="F363" s="287"/>
    </row>
    <row r="364" spans="1:6" x14ac:dyDescent="0.25">
      <c r="A364" s="206" t="s">
        <v>8</v>
      </c>
      <c r="B364" s="214" t="s">
        <v>571</v>
      </c>
      <c r="C364" s="205">
        <v>88</v>
      </c>
      <c r="D364" s="206" t="s">
        <v>75</v>
      </c>
      <c r="E364" s="304">
        <f>E362</f>
        <v>1450</v>
      </c>
      <c r="F364" s="287">
        <f>C364*E364</f>
        <v>127600</v>
      </c>
    </row>
    <row r="365" spans="1:6" x14ac:dyDescent="0.25">
      <c r="F365" s="287"/>
    </row>
    <row r="366" spans="1:6" x14ac:dyDescent="0.25">
      <c r="A366" s="206" t="s">
        <v>9</v>
      </c>
      <c r="B366" s="214" t="s">
        <v>804</v>
      </c>
      <c r="C366" s="205">
        <v>536</v>
      </c>
      <c r="D366" s="206" t="s">
        <v>75</v>
      </c>
      <c r="E366" s="304">
        <f>E364</f>
        <v>1450</v>
      </c>
      <c r="F366" s="287">
        <f>C366*E366</f>
        <v>777200</v>
      </c>
    </row>
    <row r="367" spans="1:6" x14ac:dyDescent="0.25">
      <c r="B367" s="211" t="s">
        <v>67</v>
      </c>
      <c r="F367" s="230"/>
    </row>
    <row r="368" spans="1:6" x14ac:dyDescent="0.25">
      <c r="F368" s="230"/>
    </row>
    <row r="369" spans="1:6" x14ac:dyDescent="0.25">
      <c r="B369" s="219" t="s">
        <v>120</v>
      </c>
      <c r="F369" s="230"/>
    </row>
    <row r="370" spans="1:6" x14ac:dyDescent="0.25">
      <c r="F370" s="230"/>
    </row>
    <row r="371" spans="1:6" x14ac:dyDescent="0.25">
      <c r="A371" s="206" t="s">
        <v>10</v>
      </c>
      <c r="B371" s="214" t="s">
        <v>572</v>
      </c>
      <c r="C371" s="205">
        <v>79</v>
      </c>
      <c r="D371" s="206" t="s">
        <v>511</v>
      </c>
      <c r="E371" s="304">
        <f>E181</f>
        <v>8500</v>
      </c>
      <c r="F371" s="230">
        <f>C371*E371</f>
        <v>671500</v>
      </c>
    </row>
    <row r="372" spans="1:6" x14ac:dyDescent="0.25">
      <c r="F372" s="230"/>
    </row>
    <row r="373" spans="1:6" x14ac:dyDescent="0.25">
      <c r="A373" s="206" t="s">
        <v>11</v>
      </c>
      <c r="B373" s="214" t="s">
        <v>1033</v>
      </c>
      <c r="C373" s="205">
        <v>22</v>
      </c>
      <c r="D373" s="206" t="s">
        <v>511</v>
      </c>
      <c r="E373" s="304">
        <f>E183</f>
        <v>1275</v>
      </c>
      <c r="F373" s="230">
        <f>C373*E373</f>
        <v>28050</v>
      </c>
    </row>
    <row r="374" spans="1:6" x14ac:dyDescent="0.25">
      <c r="F374" s="230"/>
    </row>
    <row r="375" spans="1:6" x14ac:dyDescent="0.25">
      <c r="F375" s="230"/>
    </row>
    <row r="376" spans="1:6" x14ac:dyDescent="0.25">
      <c r="F376" s="230"/>
    </row>
    <row r="377" spans="1:6" x14ac:dyDescent="0.25">
      <c r="F377" s="230"/>
    </row>
    <row r="378" spans="1:6" x14ac:dyDescent="0.25">
      <c r="F378" s="230"/>
    </row>
    <row r="379" spans="1:6" x14ac:dyDescent="0.25">
      <c r="F379" s="230"/>
    </row>
    <row r="380" spans="1:6" x14ac:dyDescent="0.25">
      <c r="F380" s="230"/>
    </row>
    <row r="381" spans="1:6" x14ac:dyDescent="0.25">
      <c r="F381" s="230"/>
    </row>
    <row r="382" spans="1:6" x14ac:dyDescent="0.25">
      <c r="F382" s="230"/>
    </row>
    <row r="383" spans="1:6" x14ac:dyDescent="0.25">
      <c r="B383" s="220" t="s">
        <v>520</v>
      </c>
      <c r="C383" s="221"/>
      <c r="D383" s="209"/>
      <c r="E383" s="303" t="s">
        <v>15</v>
      </c>
      <c r="F383" s="235">
        <f>SUM(F343:F375)</f>
        <v>4119750</v>
      </c>
    </row>
    <row r="384" spans="1:6" x14ac:dyDescent="0.25">
      <c r="A384" s="209" t="s">
        <v>796</v>
      </c>
      <c r="B384" s="209"/>
      <c r="C384" s="221" t="s">
        <v>773</v>
      </c>
      <c r="D384" s="209" t="s">
        <v>765</v>
      </c>
      <c r="E384" s="303" t="s">
        <v>914</v>
      </c>
      <c r="F384" s="273" t="s">
        <v>768</v>
      </c>
    </row>
    <row r="385" spans="1:7" x14ac:dyDescent="0.25">
      <c r="B385" s="210" t="s">
        <v>573</v>
      </c>
      <c r="F385" s="230"/>
    </row>
    <row r="386" spans="1:7" ht="8.4499999999999993" customHeight="1" x14ac:dyDescent="0.25">
      <c r="F386" s="230"/>
    </row>
    <row r="387" spans="1:7" ht="49.5" x14ac:dyDescent="0.25">
      <c r="B387" s="242" t="s">
        <v>909</v>
      </c>
    </row>
    <row r="388" spans="1:7" x14ac:dyDescent="0.25">
      <c r="B388" s="233"/>
      <c r="G388" s="223"/>
    </row>
    <row r="389" spans="1:7" x14ac:dyDescent="0.25">
      <c r="A389" s="206" t="s">
        <v>2</v>
      </c>
      <c r="B389" s="246" t="s">
        <v>575</v>
      </c>
      <c r="C389" s="205">
        <v>173</v>
      </c>
      <c r="D389" s="206" t="s">
        <v>511</v>
      </c>
      <c r="E389" s="304">
        <v>10100</v>
      </c>
      <c r="F389" s="289">
        <f>E389*C389</f>
        <v>1747300</v>
      </c>
      <c r="G389" s="223"/>
    </row>
    <row r="390" spans="1:7" ht="10.9" customHeight="1" x14ac:dyDescent="0.25">
      <c r="B390" s="246"/>
      <c r="F390" s="289"/>
    </row>
    <row r="391" spans="1:7" x14ac:dyDescent="0.25">
      <c r="F391" s="289"/>
    </row>
    <row r="392" spans="1:7" x14ac:dyDescent="0.25">
      <c r="B392" s="211" t="s">
        <v>577</v>
      </c>
    </row>
    <row r="393" spans="1:7" ht="12.6" customHeight="1" x14ac:dyDescent="0.25"/>
    <row r="394" spans="1:7" ht="14.25" customHeight="1" x14ac:dyDescent="0.25">
      <c r="B394" s="224" t="s">
        <v>187</v>
      </c>
    </row>
    <row r="396" spans="1:7" s="202" customFormat="1" ht="17.100000000000001" customHeight="1" x14ac:dyDescent="0.25">
      <c r="A396" s="197" t="s">
        <v>4</v>
      </c>
      <c r="B396" s="214" t="s">
        <v>578</v>
      </c>
      <c r="C396" s="247"/>
      <c r="D396" s="197" t="s">
        <v>579</v>
      </c>
      <c r="E396" s="307"/>
      <c r="F396" s="248"/>
    </row>
    <row r="398" spans="1:7" x14ac:dyDescent="0.25">
      <c r="A398" s="206" t="s">
        <v>5</v>
      </c>
      <c r="B398" s="214" t="s">
        <v>678</v>
      </c>
      <c r="C398" s="205">
        <v>46</v>
      </c>
      <c r="D398" s="206" t="s">
        <v>22</v>
      </c>
      <c r="E398" s="304">
        <v>800</v>
      </c>
      <c r="F398" s="289">
        <f>C398*E398</f>
        <v>36800</v>
      </c>
    </row>
    <row r="400" spans="1:7" x14ac:dyDescent="0.25">
      <c r="A400" s="206" t="s">
        <v>6</v>
      </c>
      <c r="B400" s="214" t="s">
        <v>580</v>
      </c>
      <c r="C400" s="205">
        <v>116</v>
      </c>
      <c r="D400" s="206" t="s">
        <v>22</v>
      </c>
      <c r="E400" s="304">
        <v>800</v>
      </c>
      <c r="F400" s="289">
        <f>C400*E400</f>
        <v>92800</v>
      </c>
    </row>
    <row r="401" spans="1:6" ht="12.75" customHeight="1" x14ac:dyDescent="0.25">
      <c r="F401" s="289"/>
    </row>
    <row r="402" spans="1:6" x14ac:dyDescent="0.25">
      <c r="A402" s="206" t="s">
        <v>7</v>
      </c>
      <c r="B402" s="214" t="s">
        <v>188</v>
      </c>
      <c r="C402" s="205">
        <v>76</v>
      </c>
      <c r="D402" s="206" t="s">
        <v>22</v>
      </c>
      <c r="E402" s="304">
        <f>E400</f>
        <v>800</v>
      </c>
      <c r="F402" s="289">
        <f>C402*E402</f>
        <v>60800</v>
      </c>
    </row>
    <row r="403" spans="1:6" ht="12.75" customHeight="1" x14ac:dyDescent="0.25"/>
    <row r="404" spans="1:6" x14ac:dyDescent="0.25">
      <c r="A404" s="206" t="s">
        <v>8</v>
      </c>
      <c r="B404" s="214" t="s">
        <v>581</v>
      </c>
      <c r="C404" s="205">
        <v>145</v>
      </c>
      <c r="D404" s="206" t="s">
        <v>22</v>
      </c>
      <c r="E404" s="304">
        <f>E402</f>
        <v>800</v>
      </c>
      <c r="F404" s="289">
        <f>C404*E404</f>
        <v>116000</v>
      </c>
    </row>
    <row r="405" spans="1:6" ht="12.75" customHeight="1" x14ac:dyDescent="0.25">
      <c r="F405" s="289"/>
    </row>
    <row r="406" spans="1:6" x14ac:dyDescent="0.25">
      <c r="A406" s="206" t="s">
        <v>9</v>
      </c>
      <c r="B406" s="214" t="s">
        <v>191</v>
      </c>
      <c r="C406" s="205">
        <v>157</v>
      </c>
      <c r="D406" s="206" t="s">
        <v>22</v>
      </c>
      <c r="E406" s="304">
        <v>550</v>
      </c>
      <c r="F406" s="289">
        <f>C406*E406</f>
        <v>86350</v>
      </c>
    </row>
    <row r="407" spans="1:6" ht="12.6" customHeight="1" x14ac:dyDescent="0.25">
      <c r="F407" s="289"/>
    </row>
    <row r="408" spans="1:6" x14ac:dyDescent="0.25">
      <c r="B408" s="211" t="s">
        <v>84</v>
      </c>
      <c r="C408" s="221"/>
      <c r="D408" s="209"/>
      <c r="E408" s="303"/>
      <c r="F408" s="286"/>
    </row>
    <row r="409" spans="1:6" x14ac:dyDescent="0.25">
      <c r="B409" s="226"/>
      <c r="C409" s="221"/>
      <c r="D409" s="209"/>
      <c r="E409" s="303"/>
      <c r="F409" s="286"/>
    </row>
    <row r="410" spans="1:6" ht="32.25" customHeight="1" x14ac:dyDescent="0.25">
      <c r="B410" s="224" t="s">
        <v>582</v>
      </c>
      <c r="C410" s="221"/>
      <c r="D410" s="209"/>
      <c r="E410" s="303"/>
      <c r="F410" s="286"/>
    </row>
    <row r="411" spans="1:6" x14ac:dyDescent="0.25">
      <c r="B411" s="224"/>
      <c r="C411" s="221"/>
      <c r="D411" s="209"/>
      <c r="E411" s="303"/>
      <c r="F411" s="286"/>
    </row>
    <row r="412" spans="1:6" x14ac:dyDescent="0.25">
      <c r="A412" s="206" t="s">
        <v>10</v>
      </c>
      <c r="B412" s="218" t="s">
        <v>680</v>
      </c>
      <c r="C412" s="205">
        <v>99</v>
      </c>
      <c r="D412" s="206" t="s">
        <v>511</v>
      </c>
      <c r="E412" s="304">
        <v>10300</v>
      </c>
      <c r="F412" s="207">
        <f>C412*E412</f>
        <v>1019700</v>
      </c>
    </row>
    <row r="414" spans="1:6" x14ac:dyDescent="0.25">
      <c r="B414" s="211" t="s">
        <v>147</v>
      </c>
      <c r="F414" s="230"/>
    </row>
    <row r="415" spans="1:6" ht="12.95" customHeight="1" x14ac:dyDescent="0.25">
      <c r="F415" s="230"/>
    </row>
    <row r="416" spans="1:6" ht="30" x14ac:dyDescent="0.25">
      <c r="B416" s="224" t="s">
        <v>583</v>
      </c>
      <c r="F416" s="230"/>
    </row>
    <row r="417" spans="1:6" ht="16.5" customHeight="1" x14ac:dyDescent="0.25">
      <c r="B417" s="224"/>
      <c r="F417" s="230"/>
    </row>
    <row r="418" spans="1:6" ht="19.5" customHeight="1" x14ac:dyDescent="0.25">
      <c r="A418" s="206" t="s">
        <v>11</v>
      </c>
      <c r="B418" s="233" t="s">
        <v>24</v>
      </c>
      <c r="C418" s="205">
        <f>C412*2</f>
        <v>198</v>
      </c>
      <c r="D418" s="206" t="s">
        <v>511</v>
      </c>
      <c r="E418" s="304">
        <f>E279</f>
        <v>3500</v>
      </c>
      <c r="F418" s="207">
        <f>C418*E418</f>
        <v>693000</v>
      </c>
    </row>
    <row r="419" spans="1:6" x14ac:dyDescent="0.25">
      <c r="B419" s="233"/>
    </row>
    <row r="420" spans="1:6" x14ac:dyDescent="0.25">
      <c r="A420" s="206" t="s">
        <v>12</v>
      </c>
      <c r="B420" s="214" t="s">
        <v>1032</v>
      </c>
      <c r="C420" s="205">
        <v>16</v>
      </c>
      <c r="D420" s="206" t="s">
        <v>511</v>
      </c>
      <c r="E420" s="304">
        <f>E418</f>
        <v>3500</v>
      </c>
      <c r="F420" s="207">
        <f>C420*E420</f>
        <v>56000</v>
      </c>
    </row>
    <row r="421" spans="1:6" ht="14.25" customHeight="1" x14ac:dyDescent="0.25"/>
    <row r="422" spans="1:6" x14ac:dyDescent="0.25">
      <c r="B422" s="211" t="s">
        <v>585</v>
      </c>
    </row>
    <row r="424" spans="1:6" x14ac:dyDescent="0.25">
      <c r="B424" s="219" t="s">
        <v>560</v>
      </c>
      <c r="F424" s="230"/>
    </row>
    <row r="425" spans="1:6" x14ac:dyDescent="0.25">
      <c r="B425" s="219"/>
      <c r="F425" s="230"/>
    </row>
    <row r="426" spans="1:6" x14ac:dyDescent="0.25">
      <c r="A426" s="206" t="s">
        <v>13</v>
      </c>
      <c r="B426" s="233" t="s">
        <v>586</v>
      </c>
      <c r="C426" s="205">
        <v>10</v>
      </c>
      <c r="D426" s="206" t="s">
        <v>511</v>
      </c>
      <c r="E426" s="304">
        <v>3200</v>
      </c>
      <c r="F426" s="207">
        <f>C426*E426</f>
        <v>32000</v>
      </c>
    </row>
    <row r="427" spans="1:6" x14ac:dyDescent="0.25">
      <c r="B427" s="233"/>
    </row>
    <row r="428" spans="1:6" x14ac:dyDescent="0.25">
      <c r="B428" s="220" t="s">
        <v>520</v>
      </c>
      <c r="C428" s="221"/>
      <c r="D428" s="209"/>
      <c r="E428" s="303" t="s">
        <v>15</v>
      </c>
      <c r="F428" s="222">
        <f>SUM(F387:F427)</f>
        <v>3940750</v>
      </c>
    </row>
    <row r="429" spans="1:6" x14ac:dyDescent="0.25">
      <c r="A429" s="209" t="s">
        <v>796</v>
      </c>
      <c r="B429" s="209"/>
      <c r="C429" s="221" t="s">
        <v>773</v>
      </c>
      <c r="D429" s="209" t="s">
        <v>765</v>
      </c>
      <c r="E429" s="303" t="s">
        <v>914</v>
      </c>
      <c r="F429" s="273" t="s">
        <v>768</v>
      </c>
    </row>
    <row r="430" spans="1:6" x14ac:dyDescent="0.25">
      <c r="B430" s="210" t="s">
        <v>573</v>
      </c>
    </row>
    <row r="431" spans="1:6" x14ac:dyDescent="0.25">
      <c r="B431" s="233"/>
    </row>
    <row r="432" spans="1:6" x14ac:dyDescent="0.25">
      <c r="B432" s="210" t="s">
        <v>587</v>
      </c>
    </row>
    <row r="433" spans="1:6" x14ac:dyDescent="0.25">
      <c r="B433" s="219"/>
    </row>
    <row r="434" spans="1:6" x14ac:dyDescent="0.25">
      <c r="B434" s="252" t="s">
        <v>588</v>
      </c>
    </row>
    <row r="435" spans="1:6" x14ac:dyDescent="0.25">
      <c r="B435" s="244"/>
    </row>
    <row r="436" spans="1:6" x14ac:dyDescent="0.25">
      <c r="A436" s="206" t="s">
        <v>2</v>
      </c>
      <c r="B436" s="253" t="s">
        <v>589</v>
      </c>
      <c r="C436" s="205">
        <v>0</v>
      </c>
      <c r="D436" s="206" t="s">
        <v>511</v>
      </c>
      <c r="E436" s="304">
        <v>7100</v>
      </c>
      <c r="F436" s="207">
        <f>C436*E436</f>
        <v>0</v>
      </c>
    </row>
    <row r="437" spans="1:6" ht="14.25" customHeight="1" x14ac:dyDescent="0.25">
      <c r="B437" s="254"/>
    </row>
    <row r="438" spans="1:6" x14ac:dyDescent="0.25">
      <c r="A438" s="206" t="s">
        <v>4</v>
      </c>
      <c r="B438" s="233" t="s">
        <v>590</v>
      </c>
      <c r="C438" s="205">
        <v>0</v>
      </c>
      <c r="D438" s="206" t="s">
        <v>511</v>
      </c>
      <c r="E438" s="304">
        <f>E436</f>
        <v>7100</v>
      </c>
      <c r="F438" s="207">
        <f>C438*E438</f>
        <v>0</v>
      </c>
    </row>
    <row r="439" spans="1:6" ht="12" customHeight="1" x14ac:dyDescent="0.25">
      <c r="B439" s="233"/>
    </row>
    <row r="440" spans="1:6" x14ac:dyDescent="0.25">
      <c r="A440" s="206" t="s">
        <v>5</v>
      </c>
      <c r="B440" s="233" t="s">
        <v>591</v>
      </c>
      <c r="D440" s="206" t="s">
        <v>3</v>
      </c>
      <c r="E440" s="304">
        <v>24000</v>
      </c>
      <c r="F440" s="207">
        <f>C440*E440</f>
        <v>0</v>
      </c>
    </row>
    <row r="441" spans="1:6" x14ac:dyDescent="0.25">
      <c r="B441" s="233"/>
    </row>
    <row r="442" spans="1:6" s="269" customFormat="1" x14ac:dyDescent="0.25">
      <c r="A442" s="265"/>
      <c r="B442" s="266" t="s">
        <v>615</v>
      </c>
      <c r="C442" s="267"/>
      <c r="D442" s="265"/>
      <c r="E442" s="304"/>
      <c r="F442" s="268"/>
    </row>
    <row r="443" spans="1:6" s="269" customFormat="1" ht="30" x14ac:dyDescent="0.25">
      <c r="A443" s="265"/>
      <c r="B443" s="270" t="s">
        <v>616</v>
      </c>
      <c r="C443" s="267"/>
      <c r="D443" s="265"/>
      <c r="E443" s="304"/>
      <c r="F443" s="268"/>
    </row>
    <row r="444" spans="1:6" s="269" customFormat="1" x14ac:dyDescent="0.25">
      <c r="A444" s="265" t="s">
        <v>6</v>
      </c>
      <c r="B444" s="233" t="s">
        <v>24</v>
      </c>
      <c r="C444" s="262">
        <f>C412</f>
        <v>99</v>
      </c>
      <c r="D444" s="265" t="s">
        <v>35</v>
      </c>
      <c r="E444" s="304">
        <v>1400</v>
      </c>
      <c r="F444" s="268">
        <f>E444*C444</f>
        <v>138600</v>
      </c>
    </row>
    <row r="445" spans="1:6" s="269" customFormat="1" x14ac:dyDescent="0.25">
      <c r="A445" s="265"/>
      <c r="B445" s="233"/>
      <c r="C445" s="262"/>
      <c r="D445" s="265"/>
      <c r="E445" s="304"/>
      <c r="F445" s="268"/>
    </row>
    <row r="446" spans="1:6" s="269" customFormat="1" ht="24" customHeight="1" x14ac:dyDescent="0.25">
      <c r="A446" s="265" t="s">
        <v>7</v>
      </c>
      <c r="B446" s="214" t="s">
        <v>584</v>
      </c>
      <c r="C446" s="262"/>
      <c r="D446" s="265" t="s">
        <v>22</v>
      </c>
      <c r="E446" s="304">
        <v>590</v>
      </c>
      <c r="F446" s="268">
        <f>E446*C446</f>
        <v>0</v>
      </c>
    </row>
    <row r="447" spans="1:6" x14ac:dyDescent="0.25">
      <c r="B447" s="211" t="s">
        <v>592</v>
      </c>
    </row>
    <row r="449" spans="1:6" ht="30" x14ac:dyDescent="0.25">
      <c r="B449" s="224" t="s">
        <v>681</v>
      </c>
    </row>
    <row r="451" spans="1:6" x14ac:dyDescent="0.25">
      <c r="A451" s="206" t="s">
        <v>8</v>
      </c>
      <c r="B451" s="233" t="s">
        <v>24</v>
      </c>
      <c r="C451" s="205">
        <f>C418</f>
        <v>198</v>
      </c>
      <c r="D451" s="206" t="s">
        <v>35</v>
      </c>
      <c r="E451" s="304">
        <v>2200</v>
      </c>
      <c r="F451" s="289">
        <f>C451*E451</f>
        <v>435600</v>
      </c>
    </row>
    <row r="452" spans="1:6" x14ac:dyDescent="0.25">
      <c r="B452" s="233"/>
      <c r="F452" s="289"/>
    </row>
    <row r="453" spans="1:6" x14ac:dyDescent="0.25">
      <c r="A453" s="206" t="s">
        <v>9</v>
      </c>
      <c r="B453" s="214" t="s">
        <v>584</v>
      </c>
      <c r="D453" s="206" t="s">
        <v>35</v>
      </c>
      <c r="E453" s="304">
        <f>E451</f>
        <v>2200</v>
      </c>
      <c r="F453" s="289">
        <f>C453*E453</f>
        <v>0</v>
      </c>
    </row>
    <row r="454" spans="1:6" x14ac:dyDescent="0.25">
      <c r="F454" s="289"/>
    </row>
    <row r="455" spans="1:6" x14ac:dyDescent="0.25">
      <c r="B455" s="220" t="s">
        <v>520</v>
      </c>
      <c r="C455" s="221"/>
      <c r="D455" s="209"/>
      <c r="E455" s="303" t="s">
        <v>15</v>
      </c>
      <c r="F455" s="286">
        <f>SUM(F432:F454)</f>
        <v>574200</v>
      </c>
    </row>
    <row r="456" spans="1:6" x14ac:dyDescent="0.25">
      <c r="B456" s="220"/>
      <c r="C456" s="221"/>
      <c r="D456" s="209"/>
      <c r="E456" s="303"/>
      <c r="F456" s="286"/>
    </row>
    <row r="457" spans="1:6" x14ac:dyDescent="0.25">
      <c r="B457" s="220"/>
      <c r="C457" s="221"/>
      <c r="D457" s="209"/>
      <c r="E457" s="303"/>
      <c r="F457" s="286"/>
    </row>
    <row r="458" spans="1:6" x14ac:dyDescent="0.25">
      <c r="B458" s="210" t="s">
        <v>531</v>
      </c>
      <c r="F458" s="230"/>
    </row>
    <row r="459" spans="1:6" x14ac:dyDescent="0.25">
      <c r="B459" s="219"/>
      <c r="F459" s="230"/>
    </row>
    <row r="460" spans="1:6" x14ac:dyDescent="0.25">
      <c r="B460" s="231" t="s">
        <v>457</v>
      </c>
      <c r="E460" s="304">
        <f>F383</f>
        <v>4119750</v>
      </c>
      <c r="F460" s="230"/>
    </row>
    <row r="461" spans="1:6" x14ac:dyDescent="0.25">
      <c r="B461" s="231"/>
      <c r="F461" s="230"/>
    </row>
    <row r="462" spans="1:6" x14ac:dyDescent="0.25">
      <c r="B462" s="231" t="s">
        <v>458</v>
      </c>
      <c r="E462" s="304">
        <f>F428</f>
        <v>3940750</v>
      </c>
      <c r="F462" s="230"/>
    </row>
    <row r="463" spans="1:6" x14ac:dyDescent="0.25">
      <c r="B463" s="231"/>
    </row>
    <row r="464" spans="1:6" x14ac:dyDescent="0.25">
      <c r="B464" s="231" t="s">
        <v>459</v>
      </c>
      <c r="E464" s="304">
        <f>F455</f>
        <v>574200</v>
      </c>
    </row>
    <row r="465" spans="1:6" x14ac:dyDescent="0.25">
      <c r="B465" s="233"/>
    </row>
    <row r="466" spans="1:6" x14ac:dyDescent="0.25">
      <c r="B466" s="233"/>
    </row>
    <row r="467" spans="1:6" x14ac:dyDescent="0.25">
      <c r="B467" s="233"/>
    </row>
    <row r="468" spans="1:6" x14ac:dyDescent="0.25">
      <c r="B468" s="233"/>
    </row>
    <row r="469" spans="1:6" x14ac:dyDescent="0.25">
      <c r="B469" s="233"/>
    </row>
    <row r="470" spans="1:6" x14ac:dyDescent="0.25">
      <c r="B470" s="233"/>
    </row>
    <row r="471" spans="1:6" x14ac:dyDescent="0.25">
      <c r="B471" s="210" t="s">
        <v>163</v>
      </c>
      <c r="F471" s="230"/>
    </row>
    <row r="472" spans="1:6" x14ac:dyDescent="0.25">
      <c r="B472" s="220" t="s">
        <v>534</v>
      </c>
      <c r="C472" s="221"/>
      <c r="D472" s="209"/>
      <c r="E472" s="303" t="s">
        <v>15</v>
      </c>
      <c r="F472" s="286">
        <f>SUM(E458:E465)</f>
        <v>8634700</v>
      </c>
    </row>
    <row r="473" spans="1:6" x14ac:dyDescent="0.25">
      <c r="A473" s="209" t="s">
        <v>796</v>
      </c>
      <c r="B473" s="209"/>
      <c r="C473" s="221" t="s">
        <v>773</v>
      </c>
      <c r="D473" s="209" t="s">
        <v>765</v>
      </c>
      <c r="E473" s="303" t="s">
        <v>914</v>
      </c>
      <c r="F473" s="273" t="s">
        <v>768</v>
      </c>
    </row>
    <row r="474" spans="1:6" x14ac:dyDescent="0.25">
      <c r="B474" s="204" t="s">
        <v>593</v>
      </c>
      <c r="F474" s="230"/>
    </row>
    <row r="475" spans="1:6" x14ac:dyDescent="0.25">
      <c r="F475" s="230"/>
    </row>
    <row r="476" spans="1:6" x14ac:dyDescent="0.25">
      <c r="B476" s="210" t="s">
        <v>195</v>
      </c>
      <c r="F476" s="230"/>
    </row>
    <row r="477" spans="1:6" x14ac:dyDescent="0.25">
      <c r="B477" s="210"/>
      <c r="F477" s="230"/>
    </row>
    <row r="478" spans="1:6" x14ac:dyDescent="0.25">
      <c r="B478" s="211" t="s">
        <v>84</v>
      </c>
      <c r="C478" s="221"/>
      <c r="D478" s="209"/>
      <c r="E478" s="303"/>
      <c r="F478" s="286"/>
    </row>
    <row r="479" spans="1:6" x14ac:dyDescent="0.25">
      <c r="B479" s="226"/>
      <c r="C479" s="221"/>
      <c r="D479" s="209"/>
      <c r="E479" s="303"/>
      <c r="F479" s="286"/>
    </row>
    <row r="480" spans="1:6" ht="30" x14ac:dyDescent="0.25">
      <c r="B480" s="224" t="s">
        <v>594</v>
      </c>
      <c r="C480" s="221"/>
      <c r="D480" s="209"/>
      <c r="E480" s="303"/>
      <c r="F480" s="286"/>
    </row>
    <row r="481" spans="1:6" x14ac:dyDescent="0.25">
      <c r="B481" s="224"/>
      <c r="C481" s="221"/>
      <c r="D481" s="209"/>
      <c r="E481" s="303"/>
      <c r="F481" s="286"/>
    </row>
    <row r="482" spans="1:6" x14ac:dyDescent="0.25">
      <c r="A482" s="206" t="s">
        <v>2</v>
      </c>
      <c r="B482" s="214" t="s">
        <v>595</v>
      </c>
      <c r="C482" s="205">
        <v>366</v>
      </c>
      <c r="D482" s="206" t="s">
        <v>511</v>
      </c>
      <c r="E482" s="304">
        <f>E412</f>
        <v>10300</v>
      </c>
      <c r="F482" s="289">
        <f>C482*E482</f>
        <v>3769800</v>
      </c>
    </row>
    <row r="483" spans="1:6" x14ac:dyDescent="0.25">
      <c r="B483" s="210"/>
      <c r="F483" s="291"/>
    </row>
    <row r="484" spans="1:6" x14ac:dyDescent="0.25">
      <c r="A484" s="206" t="s">
        <v>4</v>
      </c>
      <c r="B484" s="214" t="s">
        <v>596</v>
      </c>
      <c r="D484" s="206" t="s">
        <v>511</v>
      </c>
      <c r="E484" s="304">
        <v>9500</v>
      </c>
      <c r="F484" s="289">
        <f>C484*E484</f>
        <v>0</v>
      </c>
    </row>
    <row r="485" spans="1:6" x14ac:dyDescent="0.25">
      <c r="C485" s="256"/>
      <c r="F485" s="257"/>
    </row>
    <row r="486" spans="1:6" ht="29.25" customHeight="1" x14ac:dyDescent="0.25">
      <c r="B486" s="228" t="s">
        <v>923</v>
      </c>
      <c r="C486" s="214"/>
      <c r="D486" s="389"/>
      <c r="E486" s="231"/>
    </row>
    <row r="487" spans="1:6" ht="29.25" customHeight="1" x14ac:dyDescent="0.25">
      <c r="A487" s="206" t="s">
        <v>5</v>
      </c>
      <c r="B487" s="215" t="s">
        <v>924</v>
      </c>
      <c r="C487" s="391"/>
      <c r="D487" s="206" t="s">
        <v>511</v>
      </c>
      <c r="E487" s="639">
        <v>9500</v>
      </c>
      <c r="F487" s="207">
        <f>C487*E487</f>
        <v>0</v>
      </c>
    </row>
    <row r="488" spans="1:6" x14ac:dyDescent="0.25">
      <c r="B488" s="211" t="s">
        <v>98</v>
      </c>
      <c r="F488" s="230"/>
    </row>
    <row r="489" spans="1:6" x14ac:dyDescent="0.25">
      <c r="F489" s="230"/>
    </row>
    <row r="490" spans="1:6" ht="17.25" customHeight="1" x14ac:dyDescent="0.25">
      <c r="B490" s="219" t="s">
        <v>666</v>
      </c>
      <c r="F490" s="230"/>
    </row>
    <row r="491" spans="1:6" ht="14.25" customHeight="1" x14ac:dyDescent="0.25">
      <c r="B491" s="219"/>
      <c r="F491" s="230"/>
    </row>
    <row r="492" spans="1:6" x14ac:dyDescent="0.25">
      <c r="A492" s="206" t="s">
        <v>6</v>
      </c>
      <c r="B492" s="214" t="s">
        <v>597</v>
      </c>
      <c r="C492" s="205">
        <v>1</v>
      </c>
      <c r="D492" s="206" t="s">
        <v>513</v>
      </c>
      <c r="E492" s="304">
        <f>E123</f>
        <v>95000</v>
      </c>
      <c r="F492" s="230">
        <f>C492*E492</f>
        <v>95000</v>
      </c>
    </row>
    <row r="493" spans="1:6" x14ac:dyDescent="0.25">
      <c r="C493" s="205" t="s">
        <v>20</v>
      </c>
      <c r="F493" s="230"/>
    </row>
    <row r="494" spans="1:6" x14ac:dyDescent="0.25">
      <c r="B494" s="211" t="s">
        <v>102</v>
      </c>
      <c r="F494" s="230"/>
    </row>
    <row r="495" spans="1:6" ht="14.25" customHeight="1" x14ac:dyDescent="0.25">
      <c r="B495" s="219"/>
      <c r="F495" s="230"/>
    </row>
    <row r="496" spans="1:6" x14ac:dyDescent="0.25">
      <c r="B496" s="219" t="s">
        <v>598</v>
      </c>
      <c r="F496" s="230"/>
    </row>
    <row r="497" spans="1:6" ht="12.75" customHeight="1" x14ac:dyDescent="0.25">
      <c r="F497" s="230"/>
    </row>
    <row r="498" spans="1:6" x14ac:dyDescent="0.25">
      <c r="A498" s="206" t="s">
        <v>6</v>
      </c>
      <c r="B498" s="214" t="s">
        <v>571</v>
      </c>
      <c r="C498" s="205">
        <v>64</v>
      </c>
      <c r="D498" s="206" t="s">
        <v>75</v>
      </c>
      <c r="E498" s="304">
        <f>E362</f>
        <v>1450</v>
      </c>
      <c r="F498" s="230">
        <f>C498*E498</f>
        <v>92800</v>
      </c>
    </row>
    <row r="499" spans="1:6" x14ac:dyDescent="0.25">
      <c r="F499" s="230"/>
    </row>
    <row r="500" spans="1:6" x14ac:dyDescent="0.25">
      <c r="A500" s="206" t="s">
        <v>7</v>
      </c>
      <c r="B500" s="214" t="s">
        <v>599</v>
      </c>
      <c r="C500" s="205">
        <v>34</v>
      </c>
      <c r="D500" s="206" t="s">
        <v>75</v>
      </c>
      <c r="E500" s="304">
        <f>E498</f>
        <v>1450</v>
      </c>
      <c r="F500" s="230">
        <f>C500*E500</f>
        <v>49300</v>
      </c>
    </row>
    <row r="501" spans="1:6" ht="14.25" customHeight="1" x14ac:dyDescent="0.25">
      <c r="F501" s="230"/>
    </row>
    <row r="502" spans="1:6" x14ac:dyDescent="0.25">
      <c r="B502" s="211" t="s">
        <v>67</v>
      </c>
      <c r="F502" s="230"/>
    </row>
    <row r="503" spans="1:6" ht="15" customHeight="1" x14ac:dyDescent="0.25">
      <c r="F503" s="230"/>
    </row>
    <row r="504" spans="1:6" x14ac:dyDescent="0.25">
      <c r="B504" s="219" t="s">
        <v>120</v>
      </c>
      <c r="F504" s="230"/>
    </row>
    <row r="505" spans="1:6" ht="9.75" customHeight="1" x14ac:dyDescent="0.25">
      <c r="F505" s="230"/>
    </row>
    <row r="506" spans="1:6" x14ac:dyDescent="0.25">
      <c r="A506" s="206" t="s">
        <v>8</v>
      </c>
      <c r="B506" s="214" t="s">
        <v>600</v>
      </c>
      <c r="C506" s="205">
        <v>12</v>
      </c>
      <c r="D506" s="206" t="s">
        <v>511</v>
      </c>
      <c r="E506" s="304">
        <f>E371</f>
        <v>8500</v>
      </c>
      <c r="F506" s="230">
        <f>C506*E506</f>
        <v>102000</v>
      </c>
    </row>
    <row r="507" spans="1:6" x14ac:dyDescent="0.25">
      <c r="B507" s="219"/>
      <c r="F507" s="227"/>
    </row>
    <row r="508" spans="1:6" x14ac:dyDescent="0.25">
      <c r="F508" s="261"/>
    </row>
    <row r="509" spans="1:6" x14ac:dyDescent="0.25">
      <c r="F509" s="227"/>
    </row>
    <row r="510" spans="1:6" x14ac:dyDescent="0.25">
      <c r="B510" s="219"/>
      <c r="F510" s="230"/>
    </row>
    <row r="511" spans="1:6" x14ac:dyDescent="0.25">
      <c r="B511" s="219"/>
      <c r="F511" s="230"/>
    </row>
    <row r="512" spans="1:6" x14ac:dyDescent="0.25">
      <c r="B512" s="224"/>
      <c r="F512" s="230"/>
    </row>
    <row r="513" spans="1:13" x14ac:dyDescent="0.25">
      <c r="F513" s="257"/>
    </row>
    <row r="514" spans="1:13" x14ac:dyDescent="0.25">
      <c r="F514" s="257"/>
    </row>
    <row r="515" spans="1:13" x14ac:dyDescent="0.25">
      <c r="B515" s="210" t="s">
        <v>195</v>
      </c>
      <c r="C515" s="221"/>
      <c r="D515" s="209"/>
      <c r="E515" s="303"/>
      <c r="F515" s="235"/>
    </row>
    <row r="516" spans="1:13" ht="18.75" customHeight="1" x14ac:dyDescent="0.25">
      <c r="B516" s="220" t="s">
        <v>534</v>
      </c>
      <c r="C516" s="221"/>
      <c r="D516" s="209"/>
      <c r="E516" s="303" t="s">
        <v>15</v>
      </c>
      <c r="F516" s="235">
        <f>SUM(F480:F515)</f>
        <v>4108900</v>
      </c>
    </row>
    <row r="517" spans="1:13" x14ac:dyDescent="0.25">
      <c r="A517" s="209" t="s">
        <v>796</v>
      </c>
      <c r="B517" s="209"/>
      <c r="C517" s="221" t="s">
        <v>773</v>
      </c>
      <c r="D517" s="209" t="s">
        <v>765</v>
      </c>
      <c r="E517" s="303" t="s">
        <v>914</v>
      </c>
      <c r="F517" s="273" t="s">
        <v>768</v>
      </c>
    </row>
    <row r="518" spans="1:13" x14ac:dyDescent="0.25">
      <c r="B518" s="210" t="s">
        <v>601</v>
      </c>
      <c r="F518" s="230"/>
    </row>
    <row r="519" spans="1:13" ht="8.25" customHeight="1" x14ac:dyDescent="0.25">
      <c r="B519" s="220"/>
      <c r="F519" s="230"/>
    </row>
    <row r="520" spans="1:13" x14ac:dyDescent="0.25">
      <c r="B520" s="210" t="s">
        <v>602</v>
      </c>
      <c r="F520" s="230"/>
    </row>
    <row r="521" spans="1:13" ht="10.5" customHeight="1" x14ac:dyDescent="0.25">
      <c r="F521" s="230"/>
    </row>
    <row r="522" spans="1:13" x14ac:dyDescent="0.25">
      <c r="B522" s="211" t="s">
        <v>203</v>
      </c>
      <c r="C522" s="221"/>
      <c r="D522" s="209"/>
      <c r="E522" s="303"/>
      <c r="F522" s="286"/>
    </row>
    <row r="523" spans="1:13" ht="9" customHeight="1" x14ac:dyDescent="0.25">
      <c r="B523" s="220"/>
      <c r="C523" s="221"/>
      <c r="D523" s="209"/>
      <c r="E523" s="303"/>
      <c r="F523" s="286"/>
    </row>
    <row r="524" spans="1:13" x14ac:dyDescent="0.25">
      <c r="B524" s="214" t="s">
        <v>603</v>
      </c>
      <c r="F524" s="230"/>
    </row>
    <row r="525" spans="1:13" ht="91.5" customHeight="1" x14ac:dyDescent="0.25">
      <c r="B525" s="218" t="s">
        <v>708</v>
      </c>
      <c r="G525" s="206"/>
      <c r="I525" s="214"/>
      <c r="J525" s="214"/>
      <c r="K525" s="214"/>
      <c r="L525" s="214"/>
      <c r="M525" s="214"/>
    </row>
    <row r="526" spans="1:13" ht="14.25" customHeight="1" x14ac:dyDescent="0.25">
      <c r="A526" s="206" t="s">
        <v>2</v>
      </c>
      <c r="B526" s="214" t="s">
        <v>1014</v>
      </c>
      <c r="C526" s="205">
        <v>20</v>
      </c>
      <c r="D526" s="206" t="s">
        <v>3</v>
      </c>
      <c r="E526" s="304">
        <v>175500</v>
      </c>
      <c r="F526" s="230">
        <f>E526*C526</f>
        <v>3510000</v>
      </c>
      <c r="G526" s="214"/>
      <c r="H526" s="258"/>
      <c r="I526" s="259"/>
      <c r="J526" s="259"/>
      <c r="K526" s="214"/>
    </row>
    <row r="527" spans="1:13" x14ac:dyDescent="0.25">
      <c r="F527" s="230"/>
      <c r="G527" s="214"/>
      <c r="H527" s="258"/>
      <c r="I527" s="259"/>
      <c r="J527" s="259"/>
      <c r="K527" s="214"/>
    </row>
    <row r="528" spans="1:13" ht="14.25" customHeight="1" x14ac:dyDescent="0.25">
      <c r="A528" s="206" t="s">
        <v>4</v>
      </c>
      <c r="B528" s="214" t="s">
        <v>1015</v>
      </c>
      <c r="C528" s="205">
        <v>6</v>
      </c>
      <c r="D528" s="206" t="s">
        <v>3</v>
      </c>
      <c r="E528" s="304">
        <v>140400</v>
      </c>
      <c r="F528" s="230">
        <f>E528*C528</f>
        <v>842400</v>
      </c>
      <c r="G528" s="214"/>
      <c r="H528" s="258"/>
      <c r="I528" s="259"/>
      <c r="J528" s="259"/>
      <c r="K528" s="214"/>
    </row>
    <row r="529" spans="1:13" ht="14.25" customHeight="1" x14ac:dyDescent="0.25">
      <c r="F529" s="230"/>
      <c r="G529" s="214"/>
      <c r="H529" s="214"/>
      <c r="I529" s="259"/>
      <c r="J529" s="259"/>
      <c r="K529" s="214"/>
    </row>
    <row r="530" spans="1:13" ht="14.25" customHeight="1" x14ac:dyDescent="0.25">
      <c r="A530" s="206" t="s">
        <v>5</v>
      </c>
      <c r="B530" s="214" t="s">
        <v>1016</v>
      </c>
      <c r="C530" s="205">
        <v>2</v>
      </c>
      <c r="D530" s="206" t="s">
        <v>3</v>
      </c>
      <c r="E530" s="304">
        <v>70200</v>
      </c>
      <c r="F530" s="230">
        <f>E530*C530</f>
        <v>140400</v>
      </c>
      <c r="G530" s="214"/>
      <c r="H530" s="258"/>
      <c r="I530" s="259"/>
      <c r="J530" s="259"/>
      <c r="K530" s="214"/>
    </row>
    <row r="531" spans="1:13" ht="14.25" customHeight="1" x14ac:dyDescent="0.25">
      <c r="F531" s="230"/>
      <c r="G531" s="214"/>
      <c r="H531" s="214"/>
      <c r="I531" s="259"/>
      <c r="J531" s="259"/>
      <c r="K531" s="214"/>
    </row>
    <row r="532" spans="1:13" ht="22.5" customHeight="1" x14ac:dyDescent="0.25">
      <c r="A532" s="206" t="s">
        <v>6</v>
      </c>
      <c r="B532" s="214" t="s">
        <v>1017</v>
      </c>
      <c r="C532" s="205">
        <v>1</v>
      </c>
      <c r="D532" s="206" t="s">
        <v>3</v>
      </c>
      <c r="E532" s="304">
        <v>93600</v>
      </c>
      <c r="F532" s="207">
        <f>E532*C532</f>
        <v>93600</v>
      </c>
    </row>
    <row r="533" spans="1:13" ht="14.25" customHeight="1" x14ac:dyDescent="0.25">
      <c r="F533" s="230"/>
      <c r="G533" s="214"/>
      <c r="H533" s="214"/>
      <c r="I533" s="259"/>
      <c r="J533" s="259"/>
      <c r="K533" s="214"/>
    </row>
    <row r="534" spans="1:13" ht="22.5" customHeight="1" x14ac:dyDescent="0.25">
      <c r="A534" s="206" t="s">
        <v>7</v>
      </c>
      <c r="B534" s="214" t="s">
        <v>929</v>
      </c>
      <c r="C534" s="205">
        <v>8</v>
      </c>
      <c r="D534" s="206" t="s">
        <v>3</v>
      </c>
      <c r="E534" s="304">
        <v>46800</v>
      </c>
      <c r="F534" s="207">
        <f>E534*C534</f>
        <v>374400</v>
      </c>
    </row>
    <row r="535" spans="1:13" ht="14.25" customHeight="1" x14ac:dyDescent="0.25">
      <c r="F535" s="230"/>
      <c r="G535" s="214"/>
      <c r="H535" s="214"/>
      <c r="I535" s="259"/>
      <c r="J535" s="259"/>
      <c r="K535" s="214"/>
    </row>
    <row r="536" spans="1:13" ht="11.45" customHeight="1" x14ac:dyDescent="0.25">
      <c r="E536" s="304">
        <v>0</v>
      </c>
      <c r="F536" s="230"/>
      <c r="H536" s="223"/>
    </row>
    <row r="537" spans="1:13" x14ac:dyDescent="0.25">
      <c r="B537" s="234" t="s">
        <v>682</v>
      </c>
      <c r="G537" s="206"/>
      <c r="I537" s="214"/>
      <c r="J537" s="214"/>
      <c r="K537" s="214"/>
      <c r="L537" s="214"/>
      <c r="M537" s="214"/>
    </row>
    <row r="538" spans="1:13" ht="19.149999999999999" customHeight="1" x14ac:dyDescent="0.25">
      <c r="A538" s="206" t="s">
        <v>8</v>
      </c>
      <c r="B538" s="214" t="s">
        <v>1014</v>
      </c>
      <c r="C538" s="205">
        <f>C526</f>
        <v>20</v>
      </c>
      <c r="D538" s="206" t="s">
        <v>3</v>
      </c>
      <c r="E538" s="304">
        <v>17550</v>
      </c>
      <c r="F538" s="230">
        <f>E538*C538</f>
        <v>351000</v>
      </c>
      <c r="G538" s="214"/>
      <c r="H538" s="258"/>
      <c r="I538" s="259"/>
      <c r="J538" s="259"/>
      <c r="K538" s="214"/>
    </row>
    <row r="539" spans="1:13" ht="14.25" customHeight="1" x14ac:dyDescent="0.25">
      <c r="F539" s="230"/>
      <c r="G539" s="214"/>
      <c r="H539" s="258"/>
      <c r="I539" s="259"/>
      <c r="J539" s="259"/>
      <c r="K539" s="214"/>
    </row>
    <row r="540" spans="1:13" ht="14.25" customHeight="1" x14ac:dyDescent="0.25">
      <c r="A540" s="206" t="s">
        <v>9</v>
      </c>
      <c r="B540" s="214" t="s">
        <v>1015</v>
      </c>
      <c r="C540" s="205">
        <f>C528</f>
        <v>6</v>
      </c>
      <c r="D540" s="206" t="s">
        <v>3</v>
      </c>
      <c r="E540" s="304">
        <v>14040</v>
      </c>
      <c r="F540" s="230">
        <f>E540*C540</f>
        <v>84240</v>
      </c>
      <c r="G540" s="214"/>
      <c r="H540" s="258"/>
      <c r="I540" s="259"/>
      <c r="J540" s="259"/>
      <c r="K540" s="214"/>
    </row>
    <row r="541" spans="1:13" ht="14.25" customHeight="1" x14ac:dyDescent="0.25">
      <c r="F541" s="230"/>
      <c r="G541" s="214"/>
      <c r="H541" s="258"/>
      <c r="I541" s="259"/>
      <c r="J541" s="259"/>
      <c r="K541" s="214"/>
    </row>
    <row r="542" spans="1:13" ht="14.25" customHeight="1" x14ac:dyDescent="0.25">
      <c r="A542" s="206" t="s">
        <v>10</v>
      </c>
      <c r="B542" s="214" t="s">
        <v>1016</v>
      </c>
      <c r="C542" s="205">
        <f>C530</f>
        <v>2</v>
      </c>
      <c r="D542" s="206" t="s">
        <v>3</v>
      </c>
      <c r="E542" s="304">
        <v>7020</v>
      </c>
      <c r="F542" s="230">
        <f>E542*C542</f>
        <v>14040</v>
      </c>
      <c r="G542" s="214"/>
      <c r="H542" s="258"/>
      <c r="I542" s="259"/>
      <c r="J542" s="259"/>
      <c r="K542" s="214"/>
    </row>
    <row r="543" spans="1:13" ht="10.9" customHeight="1" x14ac:dyDescent="0.25">
      <c r="F543" s="230"/>
      <c r="G543" s="214"/>
      <c r="H543" s="258"/>
      <c r="I543" s="259"/>
      <c r="J543" s="259"/>
      <c r="K543" s="214"/>
    </row>
    <row r="544" spans="1:13" ht="22.5" customHeight="1" x14ac:dyDescent="0.25">
      <c r="A544" s="206" t="s">
        <v>11</v>
      </c>
      <c r="B544" s="214" t="s">
        <v>1017</v>
      </c>
      <c r="C544" s="205">
        <f>C532</f>
        <v>1</v>
      </c>
      <c r="D544" s="206" t="s">
        <v>3</v>
      </c>
      <c r="E544" s="304">
        <v>9360</v>
      </c>
      <c r="F544" s="207">
        <f>E544*C544</f>
        <v>9360</v>
      </c>
    </row>
    <row r="545" spans="1:8" x14ac:dyDescent="0.25">
      <c r="F545" s="230"/>
      <c r="H545" s="223"/>
    </row>
    <row r="546" spans="1:8" ht="22.5" customHeight="1" x14ac:dyDescent="0.25">
      <c r="A546" s="206" t="s">
        <v>12</v>
      </c>
      <c r="B546" s="214" t="s">
        <v>929</v>
      </c>
      <c r="C546" s="205">
        <f>C534</f>
        <v>8</v>
      </c>
      <c r="D546" s="206" t="s">
        <v>3</v>
      </c>
      <c r="E546" s="304">
        <v>4680</v>
      </c>
      <c r="F546" s="207">
        <f>E546*C546</f>
        <v>37440</v>
      </c>
    </row>
    <row r="547" spans="1:8" x14ac:dyDescent="0.25">
      <c r="B547" s="224"/>
      <c r="F547" s="230"/>
      <c r="H547" s="223"/>
    </row>
    <row r="548" spans="1:8" x14ac:dyDescent="0.25">
      <c r="E548" s="306"/>
    </row>
    <row r="549" spans="1:8" ht="30" x14ac:dyDescent="0.25">
      <c r="B549" s="224" t="s">
        <v>704</v>
      </c>
      <c r="F549" s="230"/>
      <c r="H549" s="223"/>
    </row>
    <row r="550" spans="1:8" x14ac:dyDescent="0.25">
      <c r="B550" s="224"/>
      <c r="F550" s="230"/>
      <c r="H550" s="223"/>
    </row>
    <row r="551" spans="1:8" x14ac:dyDescent="0.25">
      <c r="A551" s="206" t="s">
        <v>13</v>
      </c>
      <c r="B551" s="214" t="s">
        <v>998</v>
      </c>
      <c r="C551" s="205">
        <v>4</v>
      </c>
      <c r="D551" s="206" t="s">
        <v>3</v>
      </c>
      <c r="E551" s="306">
        <v>486000</v>
      </c>
      <c r="F551" s="207">
        <f>E551*C551</f>
        <v>1944000</v>
      </c>
    </row>
    <row r="552" spans="1:8" x14ac:dyDescent="0.25">
      <c r="B552" s="210"/>
      <c r="E552" s="306"/>
    </row>
    <row r="553" spans="1:8" x14ac:dyDescent="0.25">
      <c r="A553" s="206" t="s">
        <v>14</v>
      </c>
      <c r="B553" s="214" t="s">
        <v>1018</v>
      </c>
      <c r="C553" s="205">
        <v>5</v>
      </c>
      <c r="D553" s="206" t="s">
        <v>3</v>
      </c>
      <c r="E553" s="306">
        <v>365500</v>
      </c>
      <c r="F553" s="207">
        <f>E553*C553</f>
        <v>1827500</v>
      </c>
    </row>
    <row r="554" spans="1:8" x14ac:dyDescent="0.25">
      <c r="E554" s="306"/>
    </row>
    <row r="555" spans="1:8" x14ac:dyDescent="0.25">
      <c r="E555" s="306"/>
    </row>
    <row r="556" spans="1:8" ht="22.5" customHeight="1" x14ac:dyDescent="0.25">
      <c r="E556" s="306"/>
    </row>
    <row r="557" spans="1:8" ht="22.5" customHeight="1" x14ac:dyDescent="0.25">
      <c r="E557" s="306"/>
    </row>
    <row r="558" spans="1:8" ht="22.5" customHeight="1" x14ac:dyDescent="0.25">
      <c r="E558" s="306"/>
    </row>
    <row r="559" spans="1:8" x14ac:dyDescent="0.25">
      <c r="E559" s="306"/>
    </row>
    <row r="560" spans="1:8" x14ac:dyDescent="0.25">
      <c r="B560" s="210" t="s">
        <v>200</v>
      </c>
      <c r="F560" s="230"/>
    </row>
    <row r="561" spans="1:6" x14ac:dyDescent="0.25">
      <c r="B561" s="220" t="s">
        <v>534</v>
      </c>
      <c r="C561" s="221"/>
      <c r="D561" s="209"/>
      <c r="E561" s="303" t="s">
        <v>15</v>
      </c>
      <c r="F561" s="235">
        <f>SUM(F522:F560)</f>
        <v>9228380</v>
      </c>
    </row>
    <row r="562" spans="1:6" x14ac:dyDescent="0.25">
      <c r="A562" s="209" t="s">
        <v>796</v>
      </c>
      <c r="B562" s="209"/>
      <c r="C562" s="221" t="s">
        <v>773</v>
      </c>
      <c r="D562" s="209" t="s">
        <v>765</v>
      </c>
      <c r="E562" s="303" t="s">
        <v>914</v>
      </c>
      <c r="F562" s="273" t="s">
        <v>768</v>
      </c>
    </row>
    <row r="563" spans="1:6" x14ac:dyDescent="0.25">
      <c r="B563" s="204" t="s">
        <v>604</v>
      </c>
      <c r="F563" s="230"/>
    </row>
    <row r="564" spans="1:6" x14ac:dyDescent="0.25">
      <c r="F564" s="230"/>
    </row>
    <row r="565" spans="1:6" x14ac:dyDescent="0.25">
      <c r="B565" s="210" t="s">
        <v>210</v>
      </c>
      <c r="F565" s="230"/>
    </row>
    <row r="566" spans="1:6" ht="21" customHeight="1" x14ac:dyDescent="0.25">
      <c r="B566" s="210"/>
      <c r="F566" s="230"/>
    </row>
    <row r="567" spans="1:6" x14ac:dyDescent="0.25">
      <c r="B567" s="211" t="s">
        <v>84</v>
      </c>
      <c r="C567" s="221"/>
      <c r="D567" s="209"/>
      <c r="E567" s="303"/>
      <c r="F567" s="286"/>
    </row>
    <row r="568" spans="1:6" x14ac:dyDescent="0.25">
      <c r="B568" s="226"/>
      <c r="C568" s="221"/>
      <c r="D568" s="209"/>
      <c r="E568" s="303"/>
      <c r="F568" s="286"/>
    </row>
    <row r="569" spans="1:6" ht="30" x14ac:dyDescent="0.25">
      <c r="B569" s="224" t="s">
        <v>594</v>
      </c>
      <c r="C569" s="221"/>
      <c r="D569" s="209"/>
      <c r="E569" s="303"/>
      <c r="F569" s="286"/>
    </row>
    <row r="570" spans="1:6" x14ac:dyDescent="0.25">
      <c r="B570" s="224"/>
      <c r="C570" s="221"/>
      <c r="D570" s="209"/>
      <c r="E570" s="303"/>
      <c r="F570" s="286"/>
    </row>
    <row r="571" spans="1:6" x14ac:dyDescent="0.25">
      <c r="A571" s="206" t="s">
        <v>2</v>
      </c>
      <c r="B571" s="214" t="s">
        <v>595</v>
      </c>
      <c r="C571" s="205">
        <v>338</v>
      </c>
      <c r="D571" s="206" t="s">
        <v>511</v>
      </c>
      <c r="E571" s="304">
        <f>E482</f>
        <v>10300</v>
      </c>
      <c r="F571" s="289">
        <f>C571*E571</f>
        <v>3481400</v>
      </c>
    </row>
    <row r="572" spans="1:6" x14ac:dyDescent="0.25">
      <c r="B572" s="210"/>
      <c r="F572" s="291"/>
    </row>
    <row r="573" spans="1:6" x14ac:dyDescent="0.25">
      <c r="A573" s="206" t="s">
        <v>4</v>
      </c>
      <c r="B573" s="214" t="s">
        <v>596</v>
      </c>
      <c r="C573" s="205">
        <v>96</v>
      </c>
      <c r="D573" s="206" t="s">
        <v>511</v>
      </c>
      <c r="E573" s="304">
        <f>E484</f>
        <v>9500</v>
      </c>
      <c r="F573" s="289">
        <f>C573*E573</f>
        <v>912000</v>
      </c>
    </row>
    <row r="574" spans="1:6" x14ac:dyDescent="0.25">
      <c r="C574" s="256"/>
      <c r="F574" s="257"/>
    </row>
    <row r="575" spans="1:6" x14ac:dyDescent="0.25">
      <c r="B575" s="211" t="s">
        <v>98</v>
      </c>
      <c r="F575" s="230"/>
    </row>
    <row r="576" spans="1:6" x14ac:dyDescent="0.25">
      <c r="F576" s="230"/>
    </row>
    <row r="577" spans="1:6" x14ac:dyDescent="0.25">
      <c r="B577" s="219" t="s">
        <v>666</v>
      </c>
      <c r="F577" s="230"/>
    </row>
    <row r="578" spans="1:6" x14ac:dyDescent="0.25">
      <c r="F578" s="230"/>
    </row>
    <row r="579" spans="1:6" x14ac:dyDescent="0.25">
      <c r="A579" s="206" t="s">
        <v>5</v>
      </c>
      <c r="B579" s="214" t="s">
        <v>597</v>
      </c>
      <c r="C579" s="205">
        <v>1</v>
      </c>
      <c r="D579" s="206" t="s">
        <v>513</v>
      </c>
      <c r="E579" s="304">
        <f>E492</f>
        <v>95000</v>
      </c>
      <c r="F579" s="230">
        <f>C579*E579</f>
        <v>95000</v>
      </c>
    </row>
    <row r="580" spans="1:6" x14ac:dyDescent="0.25">
      <c r="F580" s="230"/>
    </row>
    <row r="581" spans="1:6" x14ac:dyDescent="0.25">
      <c r="B581" s="211" t="s">
        <v>102</v>
      </c>
      <c r="F581" s="230"/>
    </row>
    <row r="582" spans="1:6" x14ac:dyDescent="0.25">
      <c r="B582" s="219"/>
      <c r="F582" s="230"/>
    </row>
    <row r="583" spans="1:6" x14ac:dyDescent="0.25">
      <c r="B583" s="219" t="s">
        <v>598</v>
      </c>
      <c r="F583" s="230"/>
    </row>
    <row r="584" spans="1:6" x14ac:dyDescent="0.25">
      <c r="F584" s="230"/>
    </row>
    <row r="585" spans="1:6" x14ac:dyDescent="0.25">
      <c r="A585" s="206" t="s">
        <v>6</v>
      </c>
      <c r="B585" s="214" t="s">
        <v>571</v>
      </c>
      <c r="C585" s="205">
        <v>64</v>
      </c>
      <c r="D585" s="206" t="s">
        <v>75</v>
      </c>
      <c r="E585" s="304">
        <f>E498</f>
        <v>1450</v>
      </c>
      <c r="F585" s="230">
        <f>C585*E585</f>
        <v>92800</v>
      </c>
    </row>
    <row r="586" spans="1:6" x14ac:dyDescent="0.25">
      <c r="F586" s="230"/>
    </row>
    <row r="587" spans="1:6" x14ac:dyDescent="0.25">
      <c r="A587" s="206" t="s">
        <v>7</v>
      </c>
      <c r="B587" s="214" t="s">
        <v>599</v>
      </c>
      <c r="C587" s="205">
        <v>34</v>
      </c>
      <c r="D587" s="206" t="s">
        <v>75</v>
      </c>
      <c r="E587" s="304">
        <f>E585</f>
        <v>1450</v>
      </c>
      <c r="F587" s="230">
        <f>C587*E587</f>
        <v>49300</v>
      </c>
    </row>
    <row r="588" spans="1:6" x14ac:dyDescent="0.25">
      <c r="F588" s="230"/>
    </row>
    <row r="589" spans="1:6" x14ac:dyDescent="0.25">
      <c r="B589" s="211" t="s">
        <v>67</v>
      </c>
      <c r="F589" s="230"/>
    </row>
    <row r="590" spans="1:6" x14ac:dyDescent="0.25">
      <c r="F590" s="230"/>
    </row>
    <row r="591" spans="1:6" x14ac:dyDescent="0.25">
      <c r="B591" s="219" t="s">
        <v>120</v>
      </c>
      <c r="F591" s="230"/>
    </row>
    <row r="592" spans="1:6" x14ac:dyDescent="0.25">
      <c r="F592" s="230"/>
    </row>
    <row r="593" spans="1:6" x14ac:dyDescent="0.25">
      <c r="A593" s="206" t="s">
        <v>8</v>
      </c>
      <c r="B593" s="214" t="s">
        <v>600</v>
      </c>
      <c r="C593" s="205">
        <v>12</v>
      </c>
      <c r="D593" s="206" t="s">
        <v>511</v>
      </c>
      <c r="E593" s="304">
        <f>E506</f>
        <v>8500</v>
      </c>
      <c r="F593" s="230">
        <f>C593*E593</f>
        <v>102000</v>
      </c>
    </row>
    <row r="594" spans="1:6" x14ac:dyDescent="0.25">
      <c r="B594" s="219"/>
      <c r="F594" s="227"/>
    </row>
    <row r="595" spans="1:6" x14ac:dyDescent="0.25">
      <c r="F595" s="227"/>
    </row>
    <row r="596" spans="1:6" x14ac:dyDescent="0.25">
      <c r="F596" s="227"/>
    </row>
    <row r="597" spans="1:6" x14ac:dyDescent="0.25">
      <c r="F597" s="227"/>
    </row>
    <row r="598" spans="1:6" x14ac:dyDescent="0.25">
      <c r="B598" s="219"/>
      <c r="F598" s="230"/>
    </row>
    <row r="599" spans="1:6" x14ac:dyDescent="0.25">
      <c r="B599" s="219"/>
      <c r="F599" s="230"/>
    </row>
    <row r="600" spans="1:6" x14ac:dyDescent="0.25">
      <c r="B600" s="224"/>
      <c r="F600" s="230"/>
    </row>
    <row r="601" spans="1:6" x14ac:dyDescent="0.25">
      <c r="B601" s="224"/>
      <c r="F601" s="257"/>
    </row>
    <row r="602" spans="1:6" x14ac:dyDescent="0.25">
      <c r="B602" s="224"/>
      <c r="F602" s="257"/>
    </row>
    <row r="603" spans="1:6" x14ac:dyDescent="0.25">
      <c r="B603" s="224"/>
      <c r="F603" s="257"/>
    </row>
    <row r="604" spans="1:6" x14ac:dyDescent="0.25">
      <c r="B604" s="224"/>
      <c r="F604" s="257"/>
    </row>
    <row r="605" spans="1:6" x14ac:dyDescent="0.25">
      <c r="B605" s="210" t="s">
        <v>210</v>
      </c>
      <c r="C605" s="221"/>
      <c r="D605" s="209"/>
      <c r="E605" s="303"/>
      <c r="F605" s="235"/>
    </row>
    <row r="606" spans="1:6" x14ac:dyDescent="0.25">
      <c r="B606" s="220" t="s">
        <v>534</v>
      </c>
      <c r="C606" s="221"/>
      <c r="D606" s="209"/>
      <c r="E606" s="303" t="s">
        <v>15</v>
      </c>
      <c r="F606" s="235">
        <f>SUM(F567:F605)</f>
        <v>4732500</v>
      </c>
    </row>
    <row r="607" spans="1:6" x14ac:dyDescent="0.25">
      <c r="A607" s="209" t="s">
        <v>796</v>
      </c>
      <c r="B607" s="209"/>
      <c r="C607" s="221" t="s">
        <v>773</v>
      </c>
      <c r="D607" s="209" t="s">
        <v>765</v>
      </c>
      <c r="E607" s="303" t="s">
        <v>914</v>
      </c>
      <c r="F607" s="273" t="s">
        <v>768</v>
      </c>
    </row>
    <row r="608" spans="1:6" x14ac:dyDescent="0.25">
      <c r="B608" s="210" t="s">
        <v>605</v>
      </c>
      <c r="F608" s="230"/>
    </row>
    <row r="609" spans="1:6" x14ac:dyDescent="0.25">
      <c r="B609" s="220"/>
      <c r="F609" s="230"/>
    </row>
    <row r="610" spans="1:6" x14ac:dyDescent="0.25">
      <c r="B610" s="210" t="s">
        <v>213</v>
      </c>
      <c r="F610" s="230"/>
    </row>
    <row r="611" spans="1:6" x14ac:dyDescent="0.25">
      <c r="F611" s="230"/>
    </row>
    <row r="612" spans="1:6" x14ac:dyDescent="0.25">
      <c r="B612" s="210" t="s">
        <v>606</v>
      </c>
      <c r="F612" s="230"/>
    </row>
    <row r="613" spans="1:6" x14ac:dyDescent="0.25">
      <c r="F613" s="230"/>
    </row>
    <row r="614" spans="1:6" ht="63" customHeight="1" x14ac:dyDescent="0.25">
      <c r="B614" s="224" t="s">
        <v>683</v>
      </c>
      <c r="F614" s="230"/>
    </row>
    <row r="615" spans="1:6" x14ac:dyDescent="0.25">
      <c r="F615" s="289"/>
    </row>
    <row r="616" spans="1:6" x14ac:dyDescent="0.25">
      <c r="A616" s="206" t="s">
        <v>2</v>
      </c>
      <c r="B616" s="214" t="s">
        <v>894</v>
      </c>
      <c r="C616" s="205">
        <v>9</v>
      </c>
      <c r="D616" s="206" t="s">
        <v>3</v>
      </c>
      <c r="E616" s="306">
        <v>170100</v>
      </c>
      <c r="F616" s="207">
        <f>E616*C616</f>
        <v>1530900</v>
      </c>
    </row>
    <row r="617" spans="1:6" x14ac:dyDescent="0.25">
      <c r="B617" s="219"/>
      <c r="E617" s="306"/>
      <c r="F617" s="230"/>
    </row>
    <row r="618" spans="1:6" x14ac:dyDescent="0.25">
      <c r="A618" s="206" t="s">
        <v>4</v>
      </c>
      <c r="B618" s="214" t="s">
        <v>1019</v>
      </c>
      <c r="C618" s="205">
        <v>2</v>
      </c>
      <c r="D618" s="206" t="s">
        <v>3</v>
      </c>
      <c r="E618" s="306">
        <v>318938</v>
      </c>
      <c r="F618" s="207">
        <f>E618*C618</f>
        <v>637876</v>
      </c>
    </row>
    <row r="619" spans="1:6" x14ac:dyDescent="0.25">
      <c r="B619" s="219"/>
      <c r="E619" s="306"/>
      <c r="F619" s="230"/>
    </row>
    <row r="620" spans="1:6" x14ac:dyDescent="0.25">
      <c r="A620" s="206" t="s">
        <v>5</v>
      </c>
      <c r="B620" s="214" t="s">
        <v>1020</v>
      </c>
      <c r="C620" s="205">
        <v>8</v>
      </c>
      <c r="D620" s="206" t="s">
        <v>3</v>
      </c>
      <c r="E620" s="306">
        <v>141750</v>
      </c>
      <c r="F620" s="207">
        <f>E620*C620</f>
        <v>1134000</v>
      </c>
    </row>
    <row r="621" spans="1:6" x14ac:dyDescent="0.25">
      <c r="E621" s="306"/>
    </row>
    <row r="622" spans="1:6" x14ac:dyDescent="0.25">
      <c r="E622" s="306"/>
    </row>
    <row r="623" spans="1:6" x14ac:dyDescent="0.25">
      <c r="E623" s="306"/>
    </row>
    <row r="624" spans="1:6" x14ac:dyDescent="0.25">
      <c r="E624" s="306"/>
    </row>
    <row r="625" spans="5:5" x14ac:dyDescent="0.25">
      <c r="E625" s="306"/>
    </row>
    <row r="626" spans="5:5" x14ac:dyDescent="0.25">
      <c r="E626" s="306"/>
    </row>
    <row r="627" spans="5:5" x14ac:dyDescent="0.25">
      <c r="E627" s="306"/>
    </row>
    <row r="628" spans="5:5" x14ac:dyDescent="0.25">
      <c r="E628" s="306"/>
    </row>
    <row r="629" spans="5:5" x14ac:dyDescent="0.25">
      <c r="E629" s="306"/>
    </row>
    <row r="630" spans="5:5" x14ac:dyDescent="0.25">
      <c r="E630" s="306"/>
    </row>
    <row r="631" spans="5:5" x14ac:dyDescent="0.25">
      <c r="E631" s="306"/>
    </row>
    <row r="632" spans="5:5" x14ac:dyDescent="0.25">
      <c r="E632" s="306"/>
    </row>
    <row r="633" spans="5:5" x14ac:dyDescent="0.25">
      <c r="E633" s="306"/>
    </row>
    <row r="634" spans="5:5" x14ac:dyDescent="0.25">
      <c r="E634" s="306"/>
    </row>
    <row r="635" spans="5:5" x14ac:dyDescent="0.25">
      <c r="E635" s="306"/>
    </row>
    <row r="636" spans="5:5" x14ac:dyDescent="0.25">
      <c r="E636" s="306"/>
    </row>
    <row r="637" spans="5:5" x14ac:dyDescent="0.25">
      <c r="E637" s="306"/>
    </row>
    <row r="638" spans="5:5" x14ac:dyDescent="0.25">
      <c r="E638" s="306"/>
    </row>
    <row r="639" spans="5:5" x14ac:dyDescent="0.25">
      <c r="E639" s="306"/>
    </row>
    <row r="640" spans="5:5" x14ac:dyDescent="0.25">
      <c r="E640" s="306"/>
    </row>
    <row r="641" spans="1:19" x14ac:dyDescent="0.25">
      <c r="E641" s="306"/>
    </row>
    <row r="642" spans="1:19" x14ac:dyDescent="0.25">
      <c r="B642" s="219"/>
      <c r="F642" s="230"/>
    </row>
    <row r="643" spans="1:19" x14ac:dyDescent="0.25">
      <c r="B643" s="219"/>
      <c r="F643" s="230"/>
    </row>
    <row r="644" spans="1:19" x14ac:dyDescent="0.25">
      <c r="B644" s="210" t="s">
        <v>607</v>
      </c>
      <c r="C644" s="221"/>
      <c r="D644" s="209"/>
      <c r="E644" s="303"/>
      <c r="F644" s="235"/>
    </row>
    <row r="645" spans="1:19" x14ac:dyDescent="0.25">
      <c r="B645" s="220" t="s">
        <v>534</v>
      </c>
      <c r="C645" s="221"/>
      <c r="D645" s="209"/>
      <c r="E645" s="303" t="s">
        <v>15</v>
      </c>
      <c r="F645" s="286">
        <f>SUM(F611:F644)</f>
        <v>3302776</v>
      </c>
    </row>
    <row r="646" spans="1:19" x14ac:dyDescent="0.25">
      <c r="A646" s="209" t="s">
        <v>796</v>
      </c>
      <c r="B646" s="209"/>
      <c r="C646" s="221" t="s">
        <v>773</v>
      </c>
      <c r="D646" s="209" t="s">
        <v>765</v>
      </c>
      <c r="E646" s="303" t="s">
        <v>914</v>
      </c>
      <c r="F646" s="273" t="s">
        <v>768</v>
      </c>
    </row>
    <row r="647" spans="1:19" s="497" customFormat="1" ht="16.5" customHeight="1" x14ac:dyDescent="0.3">
      <c r="A647" s="373"/>
      <c r="B647" s="374" t="s">
        <v>608</v>
      </c>
      <c r="C647" s="373"/>
      <c r="D647" s="373"/>
      <c r="E647" s="640"/>
      <c r="F647" s="376"/>
      <c r="G647" s="377"/>
      <c r="H647" s="377"/>
      <c r="I647" s="377"/>
      <c r="J647" s="377"/>
      <c r="K647" s="377"/>
      <c r="L647" s="377"/>
      <c r="M647" s="377"/>
      <c r="N647" s="377"/>
      <c r="O647" s="377"/>
      <c r="P647" s="377"/>
      <c r="Q647" s="377"/>
      <c r="R647" s="377"/>
      <c r="S647" s="377"/>
    </row>
    <row r="648" spans="1:19" s="497" customFormat="1" ht="12" customHeight="1" x14ac:dyDescent="0.3">
      <c r="A648" s="373"/>
      <c r="B648" s="374"/>
      <c r="C648" s="373"/>
      <c r="D648" s="373"/>
      <c r="E648" s="640"/>
      <c r="F648" s="376"/>
      <c r="G648" s="377"/>
      <c r="H648" s="377"/>
      <c r="I648" s="377"/>
      <c r="J648" s="377"/>
      <c r="K648" s="377"/>
      <c r="L648" s="377"/>
      <c r="M648" s="377"/>
      <c r="N648" s="377"/>
      <c r="O648" s="377"/>
      <c r="P648" s="377"/>
      <c r="Q648" s="377"/>
      <c r="R648" s="377"/>
      <c r="S648" s="377"/>
    </row>
    <row r="649" spans="1:19" s="497" customFormat="1" ht="16.5" customHeight="1" x14ac:dyDescent="0.3">
      <c r="A649" s="373"/>
      <c r="B649" s="374" t="s">
        <v>781</v>
      </c>
      <c r="C649" s="373"/>
      <c r="D649" s="373"/>
      <c r="E649" s="640"/>
      <c r="F649" s="376"/>
      <c r="G649" s="377"/>
      <c r="H649" s="377"/>
      <c r="I649" s="377"/>
      <c r="J649" s="377"/>
      <c r="K649" s="377"/>
      <c r="L649" s="377"/>
      <c r="M649" s="377"/>
      <c r="N649" s="377"/>
      <c r="O649" s="377"/>
      <c r="P649" s="377"/>
      <c r="Q649" s="377"/>
      <c r="R649" s="377"/>
      <c r="S649" s="377"/>
    </row>
    <row r="650" spans="1:19" s="497" customFormat="1" ht="12" customHeight="1" x14ac:dyDescent="0.3">
      <c r="A650" s="373"/>
      <c r="B650" s="374"/>
      <c r="C650" s="373"/>
      <c r="D650" s="373"/>
      <c r="E650" s="640"/>
      <c r="F650" s="376"/>
      <c r="G650" s="377"/>
      <c r="H650" s="377"/>
      <c r="I650" s="377"/>
      <c r="J650" s="377"/>
      <c r="K650" s="377"/>
      <c r="L650" s="377"/>
      <c r="M650" s="377"/>
      <c r="N650" s="377"/>
      <c r="O650" s="377"/>
      <c r="P650" s="377"/>
      <c r="Q650" s="377"/>
      <c r="R650" s="377"/>
      <c r="S650" s="377"/>
    </row>
    <row r="651" spans="1:19" s="497" customFormat="1" ht="16.5" customHeight="1" x14ac:dyDescent="0.3">
      <c r="A651" s="373"/>
      <c r="B651" s="378" t="s">
        <v>226</v>
      </c>
      <c r="C651" s="373"/>
      <c r="D651" s="373"/>
      <c r="E651" s="640"/>
      <c r="F651" s="376"/>
      <c r="G651" s="377"/>
      <c r="H651" s="377"/>
      <c r="I651" s="377"/>
      <c r="J651" s="377"/>
      <c r="K651" s="377"/>
      <c r="L651" s="377"/>
      <c r="M651" s="377"/>
      <c r="N651" s="377"/>
      <c r="O651" s="377"/>
      <c r="P651" s="377"/>
      <c r="Q651" s="377"/>
      <c r="R651" s="377"/>
      <c r="S651" s="377"/>
    </row>
    <row r="652" spans="1:19" s="497" customFormat="1" ht="12" customHeight="1" x14ac:dyDescent="0.3">
      <c r="A652" s="373"/>
      <c r="B652" s="379"/>
      <c r="C652" s="373"/>
      <c r="D652" s="373"/>
      <c r="E652" s="640"/>
      <c r="F652" s="376"/>
      <c r="G652" s="377"/>
      <c r="H652" s="377"/>
      <c r="I652" s="377"/>
      <c r="J652" s="377"/>
      <c r="K652" s="377"/>
      <c r="L652" s="377"/>
      <c r="M652" s="377"/>
      <c r="N652" s="377"/>
      <c r="O652" s="377"/>
      <c r="P652" s="377"/>
      <c r="Q652" s="377"/>
      <c r="R652" s="377"/>
      <c r="S652" s="377"/>
    </row>
    <row r="653" spans="1:19" s="497" customFormat="1" ht="30" x14ac:dyDescent="0.3">
      <c r="A653" s="516"/>
      <c r="B653" s="517" t="s">
        <v>782</v>
      </c>
      <c r="C653" s="516"/>
      <c r="D653" s="516"/>
      <c r="E653" s="641"/>
      <c r="F653" s="518"/>
      <c r="G653" s="518"/>
      <c r="H653" s="518"/>
      <c r="I653" s="518"/>
      <c r="J653" s="518"/>
      <c r="K653" s="518"/>
      <c r="L653" s="518"/>
      <c r="M653" s="518"/>
      <c r="N653" s="518"/>
      <c r="O653" s="518"/>
      <c r="P653" s="518"/>
      <c r="Q653" s="518"/>
      <c r="R653" s="518"/>
      <c r="S653" s="518"/>
    </row>
    <row r="654" spans="1:19" s="497" customFormat="1" ht="30" customHeight="1" x14ac:dyDescent="0.3">
      <c r="A654" s="516" t="s">
        <v>2</v>
      </c>
      <c r="B654" s="520" t="s">
        <v>1031</v>
      </c>
      <c r="C654" s="516"/>
      <c r="D654" s="516" t="s">
        <v>3</v>
      </c>
      <c r="E654" s="642">
        <f>150000*6.6</f>
        <v>990000</v>
      </c>
      <c r="F654" s="522"/>
      <c r="G654" s="518"/>
      <c r="H654" s="518"/>
      <c r="I654" s="518"/>
      <c r="J654" s="518"/>
      <c r="K654" s="518"/>
      <c r="L654" s="518"/>
      <c r="M654" s="518"/>
      <c r="N654" s="518"/>
      <c r="O654" s="518"/>
      <c r="P654" s="518"/>
      <c r="Q654" s="518"/>
      <c r="R654" s="518"/>
      <c r="S654" s="518"/>
    </row>
    <row r="655" spans="1:19" s="497" customFormat="1" ht="30" x14ac:dyDescent="0.3">
      <c r="A655" s="516" t="s">
        <v>4</v>
      </c>
      <c r="B655" s="520" t="s">
        <v>1030</v>
      </c>
      <c r="C655" s="516"/>
      <c r="D655" s="516" t="s">
        <v>3</v>
      </c>
      <c r="E655" s="642">
        <f>3.9*150000</f>
        <v>585000</v>
      </c>
      <c r="F655" s="522"/>
      <c r="G655" s="518"/>
      <c r="H655" s="518"/>
      <c r="I655" s="518"/>
      <c r="J655" s="518"/>
      <c r="K655" s="518"/>
      <c r="L655" s="518"/>
      <c r="M655" s="518"/>
      <c r="N655" s="518"/>
      <c r="O655" s="518"/>
      <c r="P655" s="518"/>
      <c r="Q655" s="518"/>
      <c r="R655" s="518"/>
      <c r="S655" s="518"/>
    </row>
    <row r="656" spans="1:19" s="497" customFormat="1" ht="21" customHeight="1" x14ac:dyDescent="0.3">
      <c r="A656" s="516" t="s">
        <v>5</v>
      </c>
      <c r="B656" s="520" t="s">
        <v>1029</v>
      </c>
      <c r="C656" s="516"/>
      <c r="D656" s="516" t="s">
        <v>3</v>
      </c>
      <c r="E656" s="642">
        <f>3*150000</f>
        <v>450000</v>
      </c>
      <c r="F656" s="522"/>
      <c r="G656" s="518"/>
      <c r="H656" s="518"/>
      <c r="I656" s="518"/>
      <c r="J656" s="518"/>
      <c r="K656" s="518"/>
      <c r="L656" s="518"/>
      <c r="M656" s="518"/>
      <c r="N656" s="518"/>
      <c r="O656" s="518"/>
      <c r="P656" s="518"/>
      <c r="Q656" s="518"/>
      <c r="R656" s="518"/>
      <c r="S656" s="518"/>
    </row>
    <row r="657" spans="1:19" s="497" customFormat="1" ht="21" customHeight="1" x14ac:dyDescent="0.3">
      <c r="A657" s="516" t="s">
        <v>6</v>
      </c>
      <c r="B657" s="520" t="s">
        <v>1028</v>
      </c>
      <c r="C657" s="516"/>
      <c r="D657" s="516" t="s">
        <v>3</v>
      </c>
      <c r="E657" s="642">
        <f>1.2*150000</f>
        <v>180000</v>
      </c>
      <c r="F657" s="522"/>
      <c r="G657" s="518"/>
      <c r="H657" s="518"/>
      <c r="I657" s="518"/>
      <c r="J657" s="518"/>
      <c r="K657" s="518"/>
      <c r="L657" s="518"/>
      <c r="M657" s="518"/>
      <c r="N657" s="518"/>
      <c r="O657" s="518"/>
      <c r="P657" s="518"/>
      <c r="Q657" s="518"/>
      <c r="R657" s="518"/>
      <c r="S657" s="518"/>
    </row>
    <row r="658" spans="1:19" s="497" customFormat="1" ht="21" customHeight="1" x14ac:dyDescent="0.3">
      <c r="A658" s="516"/>
      <c r="B658" s="520"/>
      <c r="C658" s="516"/>
      <c r="D658" s="516"/>
      <c r="E658" s="643"/>
      <c r="F658" s="522"/>
      <c r="G658" s="518"/>
      <c r="H658" s="518"/>
      <c r="I658" s="518"/>
      <c r="J658" s="518"/>
      <c r="K658" s="518"/>
      <c r="L658" s="518"/>
      <c r="M658" s="518"/>
      <c r="N658" s="518"/>
      <c r="O658" s="518"/>
      <c r="P658" s="518"/>
      <c r="Q658" s="518"/>
      <c r="R658" s="518"/>
      <c r="S658" s="518"/>
    </row>
    <row r="659" spans="1:19" s="497" customFormat="1" ht="17.25" customHeight="1" x14ac:dyDescent="0.35">
      <c r="A659" s="516"/>
      <c r="B659" s="523" t="s">
        <v>783</v>
      </c>
      <c r="C659" s="516"/>
      <c r="D659" s="516"/>
      <c r="E659" s="643"/>
      <c r="F659" s="522"/>
      <c r="G659" s="518"/>
      <c r="H659" s="518"/>
      <c r="I659" s="518"/>
      <c r="J659" s="518"/>
      <c r="K659" s="518"/>
      <c r="L659" s="518"/>
      <c r="M659" s="518"/>
      <c r="N659" s="518"/>
      <c r="O659" s="518"/>
      <c r="P659" s="518"/>
      <c r="Q659" s="518"/>
      <c r="R659" s="518"/>
      <c r="S659" s="518"/>
    </row>
    <row r="660" spans="1:19" s="497" customFormat="1" ht="30" x14ac:dyDescent="0.3">
      <c r="A660" s="516"/>
      <c r="B660" s="524" t="s">
        <v>784</v>
      </c>
      <c r="C660" s="516"/>
      <c r="D660" s="516"/>
      <c r="E660" s="643"/>
      <c r="F660" s="522"/>
      <c r="G660" s="518"/>
      <c r="H660" s="518"/>
      <c r="I660" s="518"/>
      <c r="J660" s="518"/>
      <c r="K660" s="518"/>
      <c r="L660" s="518"/>
      <c r="M660" s="518"/>
      <c r="N660" s="518"/>
      <c r="O660" s="518"/>
      <c r="P660" s="518"/>
      <c r="Q660" s="518"/>
      <c r="R660" s="518"/>
      <c r="S660" s="518"/>
    </row>
    <row r="661" spans="1:19" s="497" customFormat="1" x14ac:dyDescent="0.3">
      <c r="A661" s="525"/>
      <c r="B661" s="524"/>
      <c r="C661" s="525"/>
      <c r="D661" s="525"/>
      <c r="E661" s="643"/>
      <c r="F661" s="527"/>
      <c r="G661" s="528"/>
      <c r="H661" s="528"/>
      <c r="I661" s="528"/>
      <c r="J661" s="528"/>
      <c r="K661" s="528"/>
      <c r="L661" s="528"/>
      <c r="M661" s="528"/>
      <c r="N661" s="528"/>
      <c r="O661" s="528"/>
      <c r="P661" s="528"/>
      <c r="Q661" s="528"/>
      <c r="R661" s="528"/>
      <c r="S661" s="528"/>
    </row>
    <row r="662" spans="1:19" s="497" customFormat="1" ht="60" x14ac:dyDescent="0.3">
      <c r="A662" s="525" t="s">
        <v>8</v>
      </c>
      <c r="B662" s="524" t="s">
        <v>1027</v>
      </c>
      <c r="C662" s="525">
        <v>1</v>
      </c>
      <c r="D662" s="525" t="s">
        <v>3</v>
      </c>
      <c r="E662" s="643">
        <v>3500000</v>
      </c>
      <c r="F662" s="527">
        <f>E662*C662</f>
        <v>3500000</v>
      </c>
      <c r="G662" s="528"/>
      <c r="H662" s="528"/>
      <c r="I662" s="528"/>
      <c r="J662" s="528"/>
      <c r="K662" s="528"/>
      <c r="L662" s="528"/>
      <c r="M662" s="528"/>
      <c r="N662" s="528"/>
      <c r="O662" s="528"/>
      <c r="P662" s="528"/>
      <c r="Q662" s="528"/>
      <c r="R662" s="528"/>
      <c r="S662" s="528"/>
    </row>
    <row r="663" spans="1:19" s="497" customFormat="1" x14ac:dyDescent="0.3">
      <c r="A663" s="525"/>
      <c r="B663" s="524"/>
      <c r="C663" s="525"/>
      <c r="D663" s="525"/>
      <c r="E663" s="643"/>
      <c r="F663" s="527"/>
      <c r="G663" s="528"/>
      <c r="H663" s="528"/>
      <c r="I663" s="528"/>
      <c r="J663" s="528"/>
      <c r="K663" s="528"/>
      <c r="L663" s="528"/>
      <c r="M663" s="528"/>
      <c r="N663" s="528"/>
      <c r="O663" s="528"/>
      <c r="P663" s="528"/>
      <c r="Q663" s="528"/>
      <c r="R663" s="528"/>
      <c r="S663" s="528"/>
    </row>
    <row r="664" spans="1:19" s="497" customFormat="1" ht="17.25" customHeight="1" x14ac:dyDescent="0.35">
      <c r="A664" s="516"/>
      <c r="B664" s="523" t="s">
        <v>785</v>
      </c>
      <c r="C664" s="516"/>
      <c r="D664" s="516"/>
      <c r="E664" s="643"/>
      <c r="F664" s="522"/>
      <c r="G664" s="518"/>
      <c r="H664" s="518"/>
      <c r="I664" s="518"/>
      <c r="J664" s="518"/>
      <c r="K664" s="518"/>
      <c r="L664" s="518"/>
      <c r="M664" s="518"/>
      <c r="N664" s="518"/>
      <c r="O664" s="518"/>
      <c r="P664" s="518"/>
      <c r="Q664" s="518"/>
      <c r="R664" s="518"/>
      <c r="S664" s="518"/>
    </row>
    <row r="665" spans="1:19" s="497" customFormat="1" ht="33" customHeight="1" x14ac:dyDescent="0.3">
      <c r="A665" s="516"/>
      <c r="B665" s="529" t="s">
        <v>786</v>
      </c>
      <c r="C665" s="516"/>
      <c r="D665" s="516"/>
      <c r="E665" s="643"/>
      <c r="F665" s="522"/>
      <c r="G665" s="518"/>
      <c r="H665" s="518"/>
      <c r="I665" s="518"/>
      <c r="J665" s="518"/>
      <c r="K665" s="518"/>
      <c r="L665" s="518"/>
      <c r="M665" s="518"/>
      <c r="N665" s="518"/>
      <c r="O665" s="518"/>
      <c r="P665" s="518"/>
      <c r="Q665" s="518"/>
      <c r="R665" s="518"/>
      <c r="S665" s="518"/>
    </row>
    <row r="666" spans="1:19" s="497" customFormat="1" x14ac:dyDescent="0.3">
      <c r="A666" s="516" t="s">
        <v>9</v>
      </c>
      <c r="B666" s="529" t="s">
        <v>787</v>
      </c>
      <c r="C666" s="530">
        <v>14</v>
      </c>
      <c r="D666" s="516" t="s">
        <v>22</v>
      </c>
      <c r="E666" s="643">
        <v>58000</v>
      </c>
      <c r="F666" s="522">
        <f>E666*C666</f>
        <v>812000</v>
      </c>
      <c r="G666" s="518"/>
      <c r="H666" s="518"/>
      <c r="I666" s="518"/>
      <c r="J666" s="518"/>
      <c r="K666" s="518"/>
      <c r="L666" s="518"/>
      <c r="M666" s="518"/>
      <c r="N666" s="518"/>
      <c r="O666" s="518"/>
      <c r="P666" s="518"/>
      <c r="Q666" s="518"/>
      <c r="R666" s="518"/>
      <c r="S666" s="518"/>
    </row>
    <row r="667" spans="1:19" s="497" customFormat="1" ht="16.5" customHeight="1" x14ac:dyDescent="0.3">
      <c r="A667" s="516" t="s">
        <v>10</v>
      </c>
      <c r="B667" s="518" t="s">
        <v>1002</v>
      </c>
      <c r="C667" s="516">
        <v>7</v>
      </c>
      <c r="D667" s="516" t="s">
        <v>22</v>
      </c>
      <c r="E667" s="643">
        <v>39000</v>
      </c>
      <c r="F667" s="522">
        <f>E667*C667</f>
        <v>273000</v>
      </c>
      <c r="G667" s="518"/>
      <c r="H667" s="518"/>
      <c r="I667" s="518"/>
      <c r="J667" s="518"/>
      <c r="K667" s="518"/>
      <c r="L667" s="518"/>
      <c r="M667" s="518"/>
      <c r="N667" s="518"/>
      <c r="O667" s="518"/>
      <c r="P667" s="518"/>
      <c r="Q667" s="518"/>
      <c r="R667" s="518"/>
      <c r="S667" s="518"/>
    </row>
    <row r="668" spans="1:19" s="497" customFormat="1" ht="15" customHeight="1" x14ac:dyDescent="0.3">
      <c r="A668" s="516"/>
      <c r="B668" s="531"/>
      <c r="C668" s="516"/>
      <c r="D668" s="516"/>
      <c r="E668" s="643"/>
      <c r="F668" s="522"/>
      <c r="G668" s="518"/>
      <c r="H668" s="518"/>
      <c r="I668" s="518"/>
      <c r="J668" s="518"/>
      <c r="K668" s="518"/>
      <c r="L668" s="518"/>
      <c r="M668" s="518"/>
      <c r="N668" s="518"/>
      <c r="O668" s="518"/>
      <c r="P668" s="518"/>
      <c r="Q668" s="518"/>
      <c r="R668" s="518"/>
      <c r="S668" s="518"/>
    </row>
    <row r="669" spans="1:19" s="497" customFormat="1" ht="15" customHeight="1" x14ac:dyDescent="0.3">
      <c r="A669" s="516"/>
      <c r="B669" s="532" t="s">
        <v>795</v>
      </c>
      <c r="C669" s="516"/>
      <c r="D669" s="516"/>
      <c r="E669" s="643"/>
      <c r="F669" s="522"/>
      <c r="G669" s="518"/>
      <c r="H669" s="518"/>
      <c r="I669" s="518"/>
      <c r="J669" s="518"/>
      <c r="K669" s="518"/>
      <c r="L669" s="518"/>
      <c r="M669" s="518"/>
      <c r="N669" s="518"/>
      <c r="O669" s="518"/>
      <c r="P669" s="518"/>
      <c r="Q669" s="518"/>
      <c r="R669" s="518"/>
      <c r="S669" s="518"/>
    </row>
    <row r="670" spans="1:19" s="497" customFormat="1" ht="15" customHeight="1" x14ac:dyDescent="0.3">
      <c r="A670" s="516" t="s">
        <v>11</v>
      </c>
      <c r="B670" s="518" t="s">
        <v>794</v>
      </c>
      <c r="C670" s="516">
        <v>5</v>
      </c>
      <c r="D670" s="516" t="s">
        <v>35</v>
      </c>
      <c r="E670" s="643">
        <v>65000</v>
      </c>
      <c r="F670" s="522">
        <f>E670*C670</f>
        <v>325000</v>
      </c>
      <c r="G670" s="518"/>
      <c r="H670" s="518"/>
      <c r="I670" s="518"/>
      <c r="J670" s="518"/>
      <c r="K670" s="518"/>
      <c r="L670" s="518"/>
      <c r="M670" s="518"/>
      <c r="N670" s="518"/>
      <c r="O670" s="518"/>
      <c r="P670" s="518"/>
      <c r="Q670" s="518"/>
      <c r="R670" s="518"/>
      <c r="S670" s="518"/>
    </row>
    <row r="671" spans="1:19" s="497" customFormat="1" ht="15" customHeight="1" x14ac:dyDescent="0.3">
      <c r="A671" s="516" t="s">
        <v>12</v>
      </c>
      <c r="B671" s="518" t="s">
        <v>931</v>
      </c>
      <c r="C671" s="516"/>
      <c r="D671" s="516" t="s">
        <v>35</v>
      </c>
      <c r="E671" s="643">
        <v>12000</v>
      </c>
      <c r="F671" s="522">
        <f>E671*C671</f>
        <v>0</v>
      </c>
      <c r="G671" s="518"/>
      <c r="H671" s="518"/>
      <c r="I671" s="518"/>
      <c r="J671" s="518"/>
      <c r="K671" s="518"/>
      <c r="L671" s="518"/>
      <c r="M671" s="518"/>
      <c r="N671" s="518"/>
      <c r="O671" s="518"/>
      <c r="P671" s="518"/>
      <c r="Q671" s="518"/>
      <c r="R671" s="518"/>
      <c r="S671" s="518"/>
    </row>
    <row r="672" spans="1:19" s="497" customFormat="1" ht="15" customHeight="1" x14ac:dyDescent="0.3">
      <c r="A672" s="516"/>
      <c r="B672" s="518"/>
      <c r="C672" s="516"/>
      <c r="D672" s="516"/>
      <c r="E672" s="643"/>
      <c r="F672" s="522"/>
      <c r="G672" s="518"/>
      <c r="H672" s="518"/>
      <c r="I672" s="518"/>
      <c r="J672" s="518"/>
      <c r="K672" s="518"/>
      <c r="L672" s="518"/>
      <c r="M672" s="518"/>
      <c r="N672" s="518"/>
      <c r="O672" s="518"/>
      <c r="P672" s="518"/>
      <c r="Q672" s="518"/>
      <c r="R672" s="518"/>
      <c r="S672" s="518"/>
    </row>
    <row r="673" spans="1:19" s="497" customFormat="1" ht="16.5" customHeight="1" x14ac:dyDescent="0.3">
      <c r="A673" s="373"/>
      <c r="B673" s="381" t="s">
        <v>788</v>
      </c>
      <c r="C673" s="377"/>
      <c r="D673" s="377"/>
      <c r="E673" s="644"/>
      <c r="F673" s="533"/>
      <c r="G673" s="377"/>
      <c r="H673" s="377"/>
      <c r="I673" s="377"/>
      <c r="J673" s="377"/>
      <c r="K673" s="377"/>
      <c r="L673" s="377"/>
      <c r="M673" s="377"/>
      <c r="N673" s="377"/>
      <c r="O673" s="377"/>
      <c r="P673" s="377"/>
      <c r="Q673" s="377"/>
      <c r="R673" s="377"/>
      <c r="S673" s="377"/>
    </row>
    <row r="674" spans="1:19" s="497" customFormat="1" ht="30" x14ac:dyDescent="0.3">
      <c r="A674" s="516"/>
      <c r="B674" s="529" t="s">
        <v>789</v>
      </c>
      <c r="C674" s="516"/>
      <c r="D674" s="516"/>
      <c r="E674" s="643"/>
      <c r="F674" s="533"/>
      <c r="G674" s="518"/>
      <c r="H674" s="518"/>
      <c r="I674" s="518"/>
      <c r="J674" s="518"/>
      <c r="K674" s="518"/>
      <c r="L674" s="518"/>
      <c r="M674" s="518"/>
      <c r="N674" s="518"/>
      <c r="O674" s="518"/>
      <c r="P674" s="518"/>
      <c r="Q674" s="518"/>
      <c r="R674" s="518"/>
      <c r="S674" s="518"/>
    </row>
    <row r="675" spans="1:19" s="497" customFormat="1" ht="16.5" customHeight="1" x14ac:dyDescent="0.3">
      <c r="A675" s="516"/>
      <c r="B675" s="529"/>
      <c r="C675" s="516"/>
      <c r="D675" s="516"/>
      <c r="E675" s="643"/>
      <c r="F675" s="533"/>
      <c r="G675" s="518"/>
      <c r="H675" s="518"/>
      <c r="I675" s="518"/>
      <c r="J675" s="518"/>
      <c r="K675" s="518"/>
      <c r="L675" s="518"/>
      <c r="M675" s="518"/>
      <c r="N675" s="518"/>
      <c r="O675" s="518"/>
      <c r="P675" s="518"/>
      <c r="Q675" s="518"/>
      <c r="R675" s="518"/>
      <c r="S675" s="518"/>
    </row>
    <row r="676" spans="1:19" s="497" customFormat="1" ht="16.5" customHeight="1" x14ac:dyDescent="0.3">
      <c r="A676" s="516" t="s">
        <v>13</v>
      </c>
      <c r="B676" s="379" t="s">
        <v>790</v>
      </c>
      <c r="C676" s="516"/>
      <c r="D676" s="373" t="s">
        <v>35</v>
      </c>
      <c r="E676" s="643">
        <v>6500</v>
      </c>
      <c r="F676" s="533">
        <f>E676*C676</f>
        <v>0</v>
      </c>
      <c r="G676" s="518"/>
      <c r="H676" s="518"/>
      <c r="I676" s="518"/>
      <c r="J676" s="518"/>
      <c r="K676" s="518"/>
      <c r="L676" s="518"/>
      <c r="M676" s="518"/>
      <c r="N676" s="518"/>
      <c r="O676" s="518"/>
      <c r="P676" s="518"/>
      <c r="Q676" s="518"/>
      <c r="R676" s="518"/>
      <c r="S676" s="518"/>
    </row>
    <row r="677" spans="1:19" s="497" customFormat="1" ht="16.5" customHeight="1" x14ac:dyDescent="0.3">
      <c r="A677" s="516"/>
      <c r="B677" s="379"/>
      <c r="C677" s="516"/>
      <c r="D677" s="373"/>
      <c r="E677" s="643"/>
      <c r="F677" s="533"/>
      <c r="G677" s="518"/>
      <c r="H677" s="518"/>
      <c r="I677" s="518"/>
      <c r="J677" s="518"/>
      <c r="K677" s="518"/>
      <c r="L677" s="518"/>
      <c r="M677" s="518"/>
      <c r="N677" s="518"/>
      <c r="O677" s="518"/>
      <c r="P677" s="518"/>
      <c r="Q677" s="518"/>
      <c r="R677" s="518"/>
      <c r="S677" s="518"/>
    </row>
    <row r="678" spans="1:19" s="497" customFormat="1" ht="16.5" customHeight="1" x14ac:dyDescent="0.3">
      <c r="A678" s="516"/>
      <c r="B678" s="379"/>
      <c r="C678" s="516"/>
      <c r="D678" s="373"/>
      <c r="E678" s="643"/>
      <c r="F678" s="533"/>
      <c r="G678" s="518"/>
      <c r="H678" s="518"/>
      <c r="I678" s="518"/>
      <c r="J678" s="518"/>
      <c r="K678" s="518"/>
      <c r="L678" s="518"/>
      <c r="M678" s="518"/>
      <c r="N678" s="518"/>
      <c r="O678" s="518"/>
      <c r="P678" s="518"/>
      <c r="Q678" s="518"/>
      <c r="R678" s="518"/>
      <c r="S678" s="518"/>
    </row>
    <row r="679" spans="1:19" s="497" customFormat="1" ht="16.5" customHeight="1" x14ac:dyDescent="0.3">
      <c r="A679" s="516"/>
      <c r="B679" s="374" t="s">
        <v>781</v>
      </c>
      <c r="C679" s="516"/>
      <c r="D679" s="373"/>
      <c r="E679" s="643"/>
      <c r="F679" s="533"/>
      <c r="G679" s="518"/>
      <c r="H679" s="518"/>
      <c r="I679" s="518"/>
      <c r="J679" s="518"/>
      <c r="K679" s="518"/>
      <c r="L679" s="518"/>
      <c r="M679" s="518"/>
      <c r="N679" s="518"/>
      <c r="O679" s="518"/>
      <c r="P679" s="518"/>
      <c r="Q679" s="518"/>
      <c r="R679" s="518"/>
      <c r="S679" s="518"/>
    </row>
    <row r="680" spans="1:19" s="497" customFormat="1" ht="18" customHeight="1" x14ac:dyDescent="0.35">
      <c r="A680" s="373"/>
      <c r="B680" s="382" t="s">
        <v>791</v>
      </c>
      <c r="C680" s="380"/>
      <c r="D680" s="380"/>
      <c r="E680" s="383" t="s">
        <v>15</v>
      </c>
      <c r="F680" s="553">
        <f>SUM(F648:F676)</f>
        <v>4910000</v>
      </c>
      <c r="G680" s="377"/>
      <c r="H680" s="377"/>
      <c r="I680" s="377"/>
      <c r="J680" s="377"/>
      <c r="K680" s="377"/>
      <c r="L680" s="377"/>
      <c r="M680" s="377"/>
      <c r="N680" s="377"/>
      <c r="O680" s="377"/>
      <c r="P680" s="377"/>
      <c r="Q680" s="377"/>
      <c r="R680" s="377"/>
      <c r="S680" s="377"/>
    </row>
    <row r="681" spans="1:19" x14ac:dyDescent="0.25">
      <c r="A681" s="209" t="s">
        <v>796</v>
      </c>
      <c r="B681" s="209"/>
      <c r="C681" s="221" t="s">
        <v>773</v>
      </c>
      <c r="D681" s="209" t="s">
        <v>765</v>
      </c>
      <c r="E681" s="303" t="s">
        <v>914</v>
      </c>
      <c r="F681" s="273" t="s">
        <v>768</v>
      </c>
    </row>
    <row r="682" spans="1:19" x14ac:dyDescent="0.25">
      <c r="B682" s="210" t="s">
        <v>609</v>
      </c>
    </row>
    <row r="683" spans="1:19" ht="9" customHeight="1" x14ac:dyDescent="0.25">
      <c r="B683" s="220"/>
    </row>
    <row r="684" spans="1:19" x14ac:dyDescent="0.25">
      <c r="B684" s="210" t="s">
        <v>236</v>
      </c>
    </row>
    <row r="685" spans="1:19" x14ac:dyDescent="0.25">
      <c r="B685" s="219" t="s">
        <v>610</v>
      </c>
    </row>
    <row r="686" spans="1:19" ht="12.6" customHeight="1" x14ac:dyDescent="0.25"/>
    <row r="687" spans="1:19" x14ac:dyDescent="0.25">
      <c r="B687" s="211" t="s">
        <v>283</v>
      </c>
    </row>
    <row r="688" spans="1:19" ht="30" x14ac:dyDescent="0.25">
      <c r="B688" s="224" t="s">
        <v>611</v>
      </c>
    </row>
    <row r="689" spans="1:6" ht="11.45" customHeight="1" x14ac:dyDescent="0.25"/>
    <row r="690" spans="1:6" x14ac:dyDescent="0.25">
      <c r="A690" s="206" t="s">
        <v>2</v>
      </c>
      <c r="B690" s="214" t="s">
        <v>612</v>
      </c>
      <c r="C690" s="205">
        <v>1234</v>
      </c>
      <c r="D690" s="206" t="s">
        <v>35</v>
      </c>
      <c r="E690" s="304">
        <f>E418</f>
        <v>3500</v>
      </c>
      <c r="F690" s="207">
        <f>E690*C690</f>
        <v>4319000</v>
      </c>
    </row>
    <row r="691" spans="1:6" ht="30" x14ac:dyDescent="0.25">
      <c r="A691" s="206" t="s">
        <v>4</v>
      </c>
      <c r="B691" s="218" t="s">
        <v>613</v>
      </c>
      <c r="C691" s="205">
        <v>168</v>
      </c>
      <c r="D691" s="206" t="s">
        <v>22</v>
      </c>
      <c r="E691" s="304">
        <f>E690*0.3</f>
        <v>1050</v>
      </c>
      <c r="F691" s="207">
        <f>E691*C691</f>
        <v>176400</v>
      </c>
    </row>
    <row r="692" spans="1:6" x14ac:dyDescent="0.25">
      <c r="B692" s="210" t="s">
        <v>614</v>
      </c>
    </row>
    <row r="693" spans="1:6" x14ac:dyDescent="0.25">
      <c r="B693" s="219" t="s">
        <v>615</v>
      </c>
      <c r="C693" s="256"/>
    </row>
    <row r="694" spans="1:6" ht="30" x14ac:dyDescent="0.25">
      <c r="B694" s="246" t="s">
        <v>616</v>
      </c>
    </row>
    <row r="695" spans="1:6" x14ac:dyDescent="0.25">
      <c r="A695" s="206" t="s">
        <v>5</v>
      </c>
      <c r="B695" s="214" t="s">
        <v>617</v>
      </c>
      <c r="C695" s="205">
        <f>C690-C707</f>
        <v>993</v>
      </c>
      <c r="D695" s="206" t="s">
        <v>35</v>
      </c>
      <c r="E695" s="304">
        <f>E300</f>
        <v>1400</v>
      </c>
      <c r="F695" s="207">
        <f>E695*C695</f>
        <v>1390200</v>
      </c>
    </row>
    <row r="696" spans="1:6" ht="25.5" customHeight="1" x14ac:dyDescent="0.25">
      <c r="A696" s="206" t="s">
        <v>6</v>
      </c>
      <c r="B696" s="218" t="s">
        <v>618</v>
      </c>
      <c r="C696" s="205">
        <f>C691</f>
        <v>168</v>
      </c>
      <c r="D696" s="206" t="s">
        <v>22</v>
      </c>
      <c r="E696" s="304">
        <f>'[31]AJIWE STRIP MALL '!E708</f>
        <v>450</v>
      </c>
      <c r="F696" s="207">
        <f>E696*C696</f>
        <v>75600</v>
      </c>
    </row>
    <row r="697" spans="1:6" x14ac:dyDescent="0.25">
      <c r="B697" s="210" t="s">
        <v>152</v>
      </c>
    </row>
    <row r="698" spans="1:6" ht="30" x14ac:dyDescent="0.25">
      <c r="B698" s="224" t="s">
        <v>619</v>
      </c>
    </row>
    <row r="699" spans="1:6" x14ac:dyDescent="0.25">
      <c r="A699" s="206" t="s">
        <v>7</v>
      </c>
      <c r="B699" s="214" t="s">
        <v>612</v>
      </c>
      <c r="C699" s="205">
        <f>C695</f>
        <v>993</v>
      </c>
      <c r="D699" s="206" t="s">
        <v>35</v>
      </c>
      <c r="E699" s="304">
        <f>E310</f>
        <v>2200</v>
      </c>
      <c r="F699" s="207">
        <f>E699*C699</f>
        <v>2184600</v>
      </c>
    </row>
    <row r="700" spans="1:6" x14ac:dyDescent="0.25">
      <c r="A700" s="206" t="s">
        <v>8</v>
      </c>
      <c r="B700" s="214" t="s">
        <v>620</v>
      </c>
      <c r="C700" s="205">
        <f>C696</f>
        <v>168</v>
      </c>
      <c r="D700" s="206" t="s">
        <v>22</v>
      </c>
      <c r="E700" s="304">
        <f>E699*0.3</f>
        <v>660</v>
      </c>
      <c r="F700" s="207">
        <f>E700*C700</f>
        <v>110880</v>
      </c>
    </row>
    <row r="701" spans="1:6" ht="33" x14ac:dyDescent="0.25">
      <c r="B701" s="234" t="s">
        <v>621</v>
      </c>
    </row>
    <row r="702" spans="1:6" ht="60" x14ac:dyDescent="0.25">
      <c r="B702" s="218" t="s">
        <v>622</v>
      </c>
    </row>
    <row r="703" spans="1:6" x14ac:dyDescent="0.25">
      <c r="A703" s="206" t="s">
        <v>9</v>
      </c>
      <c r="B703" s="214" t="s">
        <v>623</v>
      </c>
      <c r="C703" s="205">
        <v>81</v>
      </c>
      <c r="D703" s="206" t="s">
        <v>35</v>
      </c>
      <c r="E703" s="304">
        <v>7500</v>
      </c>
      <c r="F703" s="207">
        <f>E704*C703</f>
        <v>607500</v>
      </c>
    </row>
    <row r="704" spans="1:6" x14ac:dyDescent="0.25">
      <c r="A704" s="206" t="s">
        <v>10</v>
      </c>
      <c r="B704" s="214" t="s">
        <v>624</v>
      </c>
      <c r="C704" s="205">
        <v>160</v>
      </c>
      <c r="D704" s="206" t="s">
        <v>35</v>
      </c>
      <c r="E704" s="304">
        <f>E703</f>
        <v>7500</v>
      </c>
      <c r="F704" s="207">
        <f>E704*C704</f>
        <v>1200000</v>
      </c>
    </row>
    <row r="705" spans="1:6" ht="33" x14ac:dyDescent="0.25">
      <c r="B705" s="234" t="s">
        <v>625</v>
      </c>
    </row>
    <row r="706" spans="1:6" x14ac:dyDescent="0.25">
      <c r="B706" s="219" t="s">
        <v>626</v>
      </c>
    </row>
    <row r="707" spans="1:6" x14ac:dyDescent="0.25">
      <c r="A707" s="206" t="s">
        <v>11</v>
      </c>
      <c r="B707" s="214" t="s">
        <v>627</v>
      </c>
      <c r="C707" s="205">
        <f>C703+C704</f>
        <v>241</v>
      </c>
      <c r="D707" s="206" t="s">
        <v>35</v>
      </c>
      <c r="E707" s="304">
        <f>2100</f>
        <v>2100</v>
      </c>
      <c r="F707" s="207">
        <f>E707*C707</f>
        <v>506100</v>
      </c>
    </row>
    <row r="708" spans="1:6" x14ac:dyDescent="0.25">
      <c r="B708" s="210" t="s">
        <v>628</v>
      </c>
      <c r="F708" s="230"/>
    </row>
    <row r="709" spans="1:6" x14ac:dyDescent="0.25">
      <c r="B709" s="220" t="s">
        <v>629</v>
      </c>
      <c r="F709" s="230"/>
    </row>
    <row r="710" spans="1:6" ht="30" x14ac:dyDescent="0.25">
      <c r="B710" s="224" t="s">
        <v>630</v>
      </c>
      <c r="F710" s="230"/>
    </row>
    <row r="711" spans="1:6" ht="18" customHeight="1" x14ac:dyDescent="0.25">
      <c r="A711" s="206" t="s">
        <v>12</v>
      </c>
      <c r="B711" s="214" t="s">
        <v>612</v>
      </c>
      <c r="C711" s="205">
        <f>C482+C484</f>
        <v>366</v>
      </c>
      <c r="D711" s="206" t="s">
        <v>35</v>
      </c>
      <c r="E711" s="304">
        <f>E690</f>
        <v>3500</v>
      </c>
      <c r="F711" s="207">
        <f>E711*C711</f>
        <v>1281000</v>
      </c>
    </row>
    <row r="712" spans="1:6" x14ac:dyDescent="0.25">
      <c r="A712" s="206" t="s">
        <v>13</v>
      </c>
      <c r="B712" s="233" t="s">
        <v>24</v>
      </c>
      <c r="C712" s="262"/>
      <c r="D712" s="206" t="s">
        <v>35</v>
      </c>
      <c r="E712" s="304">
        <f>E711</f>
        <v>3500</v>
      </c>
      <c r="F712" s="207">
        <f>E712*C712</f>
        <v>0</v>
      </c>
    </row>
    <row r="713" spans="1:6" ht="30" x14ac:dyDescent="0.25">
      <c r="A713" s="206" t="s">
        <v>14</v>
      </c>
      <c r="B713" s="246" t="s">
        <v>631</v>
      </c>
      <c r="C713" s="205">
        <v>199</v>
      </c>
      <c r="D713" s="206" t="s">
        <v>22</v>
      </c>
      <c r="E713" s="304">
        <f>E691</f>
        <v>1050</v>
      </c>
      <c r="F713" s="207">
        <f>E713*C713</f>
        <v>208950</v>
      </c>
    </row>
    <row r="714" spans="1:6" x14ac:dyDescent="0.25">
      <c r="B714" s="233"/>
    </row>
    <row r="715" spans="1:6" x14ac:dyDescent="0.25">
      <c r="B715" s="233"/>
    </row>
    <row r="716" spans="1:6" x14ac:dyDescent="0.25">
      <c r="B716" s="220" t="s">
        <v>520</v>
      </c>
      <c r="C716" s="221"/>
      <c r="D716" s="209"/>
      <c r="E716" s="303" t="s">
        <v>15</v>
      </c>
      <c r="F716" s="222">
        <f>SUM(F685:F714)</f>
        <v>12060230</v>
      </c>
    </row>
    <row r="717" spans="1:6" x14ac:dyDescent="0.25">
      <c r="A717" s="209" t="s">
        <v>796</v>
      </c>
      <c r="B717" s="209"/>
      <c r="C717" s="221" t="s">
        <v>773</v>
      </c>
      <c r="D717" s="209" t="s">
        <v>765</v>
      </c>
      <c r="E717" s="303" t="s">
        <v>914</v>
      </c>
      <c r="F717" s="273" t="s">
        <v>768</v>
      </c>
    </row>
    <row r="718" spans="1:6" ht="19.5" customHeight="1" x14ac:dyDescent="0.25">
      <c r="B718" s="210" t="s">
        <v>632</v>
      </c>
    </row>
    <row r="719" spans="1:6" ht="12.75" customHeight="1" x14ac:dyDescent="0.25">
      <c r="B719" s="233"/>
    </row>
    <row r="720" spans="1:6" ht="33" x14ac:dyDescent="0.25">
      <c r="B720" s="234" t="s">
        <v>621</v>
      </c>
    </row>
    <row r="721" spans="1:6" ht="45" x14ac:dyDescent="0.25">
      <c r="B721" s="218" t="s">
        <v>488</v>
      </c>
    </row>
    <row r="722" spans="1:6" x14ac:dyDescent="0.25">
      <c r="A722" s="206" t="s">
        <v>2</v>
      </c>
      <c r="B722" s="214" t="s">
        <v>633</v>
      </c>
      <c r="D722" s="206" t="s">
        <v>35</v>
      </c>
      <c r="E722" s="304">
        <v>8200</v>
      </c>
      <c r="F722" s="207">
        <f>E722*C722</f>
        <v>0</v>
      </c>
    </row>
    <row r="723" spans="1:6" ht="33" x14ac:dyDescent="0.25">
      <c r="B723" s="264" t="s">
        <v>634</v>
      </c>
    </row>
    <row r="724" spans="1:6" x14ac:dyDescent="0.25">
      <c r="B724" s="214" t="s">
        <v>626</v>
      </c>
    </row>
    <row r="725" spans="1:6" x14ac:dyDescent="0.25">
      <c r="A725" s="206" t="s">
        <v>4</v>
      </c>
      <c r="B725" s="214" t="s">
        <v>627</v>
      </c>
      <c r="D725" s="206" t="s">
        <v>35</v>
      </c>
      <c r="E725" s="304">
        <v>2650</v>
      </c>
      <c r="F725" s="207">
        <f>E725*C725</f>
        <v>0</v>
      </c>
    </row>
    <row r="726" spans="1:6" s="269" customFormat="1" x14ac:dyDescent="0.25">
      <c r="A726" s="265"/>
      <c r="B726" s="266" t="s">
        <v>615</v>
      </c>
      <c r="C726" s="267"/>
      <c r="D726" s="265"/>
      <c r="E726" s="304"/>
      <c r="F726" s="268"/>
    </row>
    <row r="727" spans="1:6" s="269" customFormat="1" ht="30" x14ac:dyDescent="0.25">
      <c r="A727" s="265"/>
      <c r="B727" s="270" t="s">
        <v>616</v>
      </c>
      <c r="C727" s="267"/>
      <c r="D727" s="265"/>
      <c r="E727" s="304"/>
      <c r="F727" s="268"/>
    </row>
    <row r="728" spans="1:6" s="269" customFormat="1" x14ac:dyDescent="0.25">
      <c r="A728" s="265" t="s">
        <v>5</v>
      </c>
      <c r="B728" s="269" t="s">
        <v>617</v>
      </c>
      <c r="C728" s="262">
        <f>C711</f>
        <v>366</v>
      </c>
      <c r="D728" s="265" t="s">
        <v>35</v>
      </c>
      <c r="E728" s="304">
        <f>E444</f>
        <v>1400</v>
      </c>
      <c r="F728" s="268">
        <f>E728*C728</f>
        <v>512400</v>
      </c>
    </row>
    <row r="729" spans="1:6" s="269" customFormat="1" ht="24" customHeight="1" x14ac:dyDescent="0.25">
      <c r="A729" s="265" t="s">
        <v>6</v>
      </c>
      <c r="B729" s="271" t="s">
        <v>618</v>
      </c>
      <c r="C729" s="262">
        <f>C713</f>
        <v>199</v>
      </c>
      <c r="D729" s="265" t="s">
        <v>22</v>
      </c>
      <c r="E729" s="304">
        <v>550</v>
      </c>
      <c r="F729" s="268">
        <f>E729*C729</f>
        <v>109450</v>
      </c>
    </row>
    <row r="730" spans="1:6" s="269" customFormat="1" x14ac:dyDescent="0.25">
      <c r="A730" s="265" t="s">
        <v>7</v>
      </c>
      <c r="B730" s="271" t="s">
        <v>636</v>
      </c>
      <c r="C730" s="262"/>
      <c r="D730" s="265" t="s">
        <v>35</v>
      </c>
      <c r="E730" s="304">
        <f>E728</f>
        <v>1400</v>
      </c>
      <c r="F730" s="268">
        <f>E730*C730</f>
        <v>0</v>
      </c>
    </row>
    <row r="731" spans="1:6" x14ac:dyDescent="0.25">
      <c r="A731" s="206" t="s">
        <v>8</v>
      </c>
      <c r="B731" s="233" t="s">
        <v>495</v>
      </c>
      <c r="D731" s="206" t="s">
        <v>22</v>
      </c>
      <c r="E731" s="304">
        <f>E729</f>
        <v>550</v>
      </c>
      <c r="F731" s="207">
        <f>E731*C731</f>
        <v>0</v>
      </c>
    </row>
    <row r="732" spans="1:6" s="269" customFormat="1" x14ac:dyDescent="0.25">
      <c r="A732" s="265"/>
      <c r="B732" s="271"/>
      <c r="C732" s="262"/>
      <c r="D732" s="265"/>
      <c r="E732" s="304"/>
      <c r="F732" s="268"/>
    </row>
    <row r="733" spans="1:6" ht="27" customHeight="1" x14ac:dyDescent="0.25">
      <c r="B733" s="210" t="s">
        <v>152</v>
      </c>
    </row>
    <row r="734" spans="1:6" ht="30" x14ac:dyDescent="0.25">
      <c r="B734" s="226" t="s">
        <v>635</v>
      </c>
    </row>
    <row r="735" spans="1:6" x14ac:dyDescent="0.25">
      <c r="A735" s="206" t="s">
        <v>9</v>
      </c>
      <c r="B735" s="233" t="s">
        <v>612</v>
      </c>
      <c r="C735" s="205">
        <f>C728</f>
        <v>366</v>
      </c>
      <c r="D735" s="206" t="s">
        <v>35</v>
      </c>
      <c r="E735" s="304">
        <f>E451</f>
        <v>2200</v>
      </c>
      <c r="F735" s="207">
        <f>E735*C735</f>
        <v>805200</v>
      </c>
    </row>
    <row r="736" spans="1:6" s="269" customFormat="1" ht="24" customHeight="1" x14ac:dyDescent="0.25">
      <c r="A736" s="265" t="s">
        <v>10</v>
      </c>
      <c r="B736" s="271" t="s">
        <v>618</v>
      </c>
      <c r="C736" s="262">
        <f>C729</f>
        <v>199</v>
      </c>
      <c r="D736" s="265" t="s">
        <v>22</v>
      </c>
      <c r="E736" s="304">
        <v>900</v>
      </c>
      <c r="F736" s="268">
        <f>E736*C736</f>
        <v>179100</v>
      </c>
    </row>
    <row r="737" spans="1:6" ht="18.95" customHeight="1" x14ac:dyDescent="0.25">
      <c r="A737" s="206" t="s">
        <v>11</v>
      </c>
      <c r="B737" s="218" t="s">
        <v>636</v>
      </c>
      <c r="D737" s="206" t="s">
        <v>35</v>
      </c>
      <c r="F737" s="207">
        <f>E737*C737</f>
        <v>0</v>
      </c>
    </row>
    <row r="738" spans="1:6" x14ac:dyDescent="0.25">
      <c r="A738" s="206" t="s">
        <v>12</v>
      </c>
      <c r="B738" s="218" t="s">
        <v>685</v>
      </c>
      <c r="D738" s="206" t="s">
        <v>22</v>
      </c>
      <c r="E738" s="304">
        <f>E735*0.3</f>
        <v>660</v>
      </c>
      <c r="F738" s="207">
        <f>E738*C738</f>
        <v>0</v>
      </c>
    </row>
    <row r="739" spans="1:6" x14ac:dyDescent="0.25">
      <c r="A739" s="206" t="s">
        <v>13</v>
      </c>
      <c r="B739" s="214" t="s">
        <v>686</v>
      </c>
      <c r="D739" s="206" t="s">
        <v>22</v>
      </c>
      <c r="F739" s="207">
        <f>E739*C739</f>
        <v>0</v>
      </c>
    </row>
    <row r="740" spans="1:6" ht="15.75" customHeight="1" x14ac:dyDescent="0.25"/>
    <row r="741" spans="1:6" ht="13.5" customHeight="1" x14ac:dyDescent="0.25">
      <c r="B741" s="220" t="s">
        <v>525</v>
      </c>
      <c r="C741" s="221"/>
      <c r="D741" s="209"/>
      <c r="E741" s="303" t="s">
        <v>15</v>
      </c>
      <c r="F741" s="285">
        <f>SUM(F722:F740)</f>
        <v>1606150</v>
      </c>
    </row>
    <row r="742" spans="1:6" x14ac:dyDescent="0.25">
      <c r="B742" s="220"/>
      <c r="C742" s="221"/>
      <c r="D742" s="209"/>
      <c r="E742" s="303"/>
      <c r="F742" s="285"/>
    </row>
    <row r="743" spans="1:6" x14ac:dyDescent="0.25">
      <c r="B743" s="210" t="s">
        <v>531</v>
      </c>
      <c r="C743" s="221"/>
      <c r="D743" s="209"/>
      <c r="E743" s="303"/>
      <c r="F743" s="285"/>
    </row>
    <row r="744" spans="1:6" x14ac:dyDescent="0.25">
      <c r="B744" s="210"/>
      <c r="C744" s="221"/>
      <c r="D744" s="209"/>
      <c r="E744" s="303"/>
      <c r="F744" s="285"/>
    </row>
    <row r="745" spans="1:6" x14ac:dyDescent="0.25">
      <c r="B745" s="231" t="s">
        <v>464</v>
      </c>
      <c r="C745" s="221"/>
      <c r="D745" s="209"/>
      <c r="E745" s="304">
        <f>F716</f>
        <v>12060230</v>
      </c>
      <c r="F745" s="285"/>
    </row>
    <row r="746" spans="1:6" x14ac:dyDescent="0.25">
      <c r="B746" s="231"/>
      <c r="C746" s="221"/>
      <c r="D746" s="209"/>
      <c r="F746" s="285"/>
    </row>
    <row r="747" spans="1:6" ht="18.75" customHeight="1" x14ac:dyDescent="0.25">
      <c r="B747" s="231" t="s">
        <v>637</v>
      </c>
      <c r="C747" s="221"/>
      <c r="D747" s="209"/>
      <c r="E747" s="304">
        <f>F741</f>
        <v>1606150</v>
      </c>
      <c r="F747" s="285"/>
    </row>
    <row r="748" spans="1:6" x14ac:dyDescent="0.25">
      <c r="B748" s="220"/>
      <c r="C748" s="221"/>
      <c r="D748" s="209"/>
      <c r="F748" s="285"/>
    </row>
    <row r="749" spans="1:6" ht="12" customHeight="1" x14ac:dyDescent="0.25">
      <c r="B749" s="220"/>
      <c r="C749" s="221"/>
      <c r="D749" s="209"/>
      <c r="E749" s="303"/>
      <c r="F749" s="285"/>
    </row>
    <row r="750" spans="1:6" ht="12" customHeight="1" x14ac:dyDescent="0.25">
      <c r="B750" s="220"/>
      <c r="C750" s="221"/>
      <c r="D750" s="209"/>
      <c r="E750" s="303"/>
      <c r="F750" s="285"/>
    </row>
    <row r="751" spans="1:6" ht="12" customHeight="1" x14ac:dyDescent="0.25">
      <c r="B751" s="210" t="s">
        <v>236</v>
      </c>
      <c r="C751" s="221"/>
      <c r="D751" s="209"/>
      <c r="E751" s="303"/>
      <c r="F751" s="285"/>
    </row>
    <row r="752" spans="1:6" ht="12" customHeight="1" x14ac:dyDescent="0.25">
      <c r="B752" s="220" t="s">
        <v>638</v>
      </c>
      <c r="C752" s="221"/>
      <c r="D752" s="209"/>
      <c r="E752" s="303" t="s">
        <v>15</v>
      </c>
      <c r="F752" s="285">
        <f>SUM(E743:E748)</f>
        <v>13666380</v>
      </c>
    </row>
    <row r="753" spans="1:6" x14ac:dyDescent="0.25">
      <c r="A753" s="209" t="s">
        <v>796</v>
      </c>
      <c r="B753" s="209"/>
      <c r="C753" s="221" t="s">
        <v>773</v>
      </c>
      <c r="D753" s="209" t="s">
        <v>765</v>
      </c>
      <c r="E753" s="303" t="s">
        <v>914</v>
      </c>
      <c r="F753" s="273" t="s">
        <v>768</v>
      </c>
    </row>
    <row r="754" spans="1:6" x14ac:dyDescent="0.25">
      <c r="B754" s="210" t="s">
        <v>639</v>
      </c>
    </row>
    <row r="755" spans="1:6" ht="12.75" customHeight="1" x14ac:dyDescent="0.25">
      <c r="B755" s="210" t="s">
        <v>265</v>
      </c>
    </row>
    <row r="756" spans="1:6" x14ac:dyDescent="0.25">
      <c r="B756" s="219" t="s">
        <v>610</v>
      </c>
    </row>
    <row r="757" spans="1:6" ht="16.149999999999999" customHeight="1" x14ac:dyDescent="0.25">
      <c r="B757" s="211" t="s">
        <v>640</v>
      </c>
    </row>
    <row r="758" spans="1:6" ht="60" x14ac:dyDescent="0.25">
      <c r="B758" s="226" t="s">
        <v>698</v>
      </c>
    </row>
    <row r="759" spans="1:6" x14ac:dyDescent="0.25">
      <c r="A759" s="206" t="s">
        <v>2</v>
      </c>
      <c r="B759" s="214" t="s">
        <v>1026</v>
      </c>
      <c r="C759" s="205">
        <v>49</v>
      </c>
      <c r="D759" s="206" t="s">
        <v>35</v>
      </c>
      <c r="E759" s="304">
        <v>8500</v>
      </c>
      <c r="F759" s="207">
        <f>E759*C759</f>
        <v>416500</v>
      </c>
    </row>
    <row r="760" spans="1:6" ht="60" x14ac:dyDescent="0.25">
      <c r="B760" s="224" t="s">
        <v>641</v>
      </c>
      <c r="F760" s="289"/>
    </row>
    <row r="761" spans="1:6" ht="30" x14ac:dyDescent="0.25">
      <c r="A761" s="206" t="s">
        <v>4</v>
      </c>
      <c r="B761" s="218" t="s">
        <v>1111</v>
      </c>
      <c r="C761" s="205">
        <v>114</v>
      </c>
      <c r="D761" s="206" t="s">
        <v>35</v>
      </c>
      <c r="E761" s="304">
        <f>E763</f>
        <v>12350</v>
      </c>
      <c r="F761" s="207">
        <f t="shared" ref="F761:F766" si="1">E761*C761</f>
        <v>1407900</v>
      </c>
    </row>
    <row r="762" spans="1:6" x14ac:dyDescent="0.25">
      <c r="A762" s="206" t="s">
        <v>5</v>
      </c>
      <c r="B762" s="214" t="s">
        <v>642</v>
      </c>
      <c r="C762" s="205">
        <f>C761*1.1</f>
        <v>125.4</v>
      </c>
      <c r="D762" s="206" t="s">
        <v>22</v>
      </c>
      <c r="E762" s="304">
        <f>E761*0.15</f>
        <v>1852.5</v>
      </c>
      <c r="F762" s="207">
        <f t="shared" si="1"/>
        <v>232303.5</v>
      </c>
    </row>
    <row r="763" spans="1:6" ht="30" x14ac:dyDescent="0.25">
      <c r="A763" s="206" t="s">
        <v>6</v>
      </c>
      <c r="B763" s="218" t="s">
        <v>1024</v>
      </c>
      <c r="C763" s="205">
        <v>28</v>
      </c>
      <c r="D763" s="206" t="s">
        <v>35</v>
      </c>
      <c r="E763" s="304">
        <v>12350</v>
      </c>
      <c r="F763" s="207">
        <f t="shared" si="1"/>
        <v>345800</v>
      </c>
    </row>
    <row r="764" spans="1:6" x14ac:dyDescent="0.25">
      <c r="A764" s="206" t="s">
        <v>7</v>
      </c>
      <c r="B764" s="214" t="s">
        <v>642</v>
      </c>
      <c r="C764" s="205">
        <f>C763*1.1</f>
        <v>30.800000000000004</v>
      </c>
      <c r="D764" s="206" t="s">
        <v>22</v>
      </c>
      <c r="E764" s="304">
        <f>E763*0.15</f>
        <v>1852.5</v>
      </c>
      <c r="F764" s="207">
        <f t="shared" si="1"/>
        <v>57057.000000000007</v>
      </c>
    </row>
    <row r="765" spans="1:6" ht="30" x14ac:dyDescent="0.25">
      <c r="A765" s="240" t="s">
        <v>8</v>
      </c>
      <c r="B765" s="218" t="s">
        <v>1023</v>
      </c>
      <c r="C765" s="239">
        <v>165</v>
      </c>
      <c r="D765" s="240" t="s">
        <v>35</v>
      </c>
      <c r="E765" s="305">
        <f>E763</f>
        <v>12350</v>
      </c>
      <c r="F765" s="241">
        <f t="shared" si="1"/>
        <v>2037750</v>
      </c>
    </row>
    <row r="766" spans="1:6" ht="24" customHeight="1" x14ac:dyDescent="0.25">
      <c r="A766" s="206" t="s">
        <v>9</v>
      </c>
      <c r="B766" s="246" t="s">
        <v>642</v>
      </c>
      <c r="C766" s="205">
        <f>C765*1.1</f>
        <v>181.50000000000003</v>
      </c>
      <c r="D766" s="206" t="s">
        <v>22</v>
      </c>
      <c r="E766" s="304">
        <f>E765*0.15</f>
        <v>1852.5</v>
      </c>
      <c r="F766" s="207">
        <f t="shared" si="1"/>
        <v>336228.75000000006</v>
      </c>
    </row>
    <row r="767" spans="1:6" ht="9" customHeight="1" x14ac:dyDescent="0.25">
      <c r="B767" s="246"/>
    </row>
    <row r="768" spans="1:6" ht="30" x14ac:dyDescent="0.25">
      <c r="A768" s="206" t="s">
        <v>10</v>
      </c>
      <c r="B768" s="218" t="s">
        <v>904</v>
      </c>
      <c r="D768" s="206" t="s">
        <v>35</v>
      </c>
      <c r="E768" s="304">
        <f>E763</f>
        <v>12350</v>
      </c>
      <c r="F768" s="207">
        <f>E768*C768</f>
        <v>0</v>
      </c>
    </row>
    <row r="769" spans="1:6" s="236" customFormat="1" ht="27" customHeight="1" x14ac:dyDescent="0.25">
      <c r="A769" s="206" t="s">
        <v>11</v>
      </c>
      <c r="B769" s="214" t="s">
        <v>642</v>
      </c>
      <c r="C769" s="205">
        <f>C768*1.1</f>
        <v>0</v>
      </c>
      <c r="D769" s="206" t="s">
        <v>22</v>
      </c>
      <c r="E769" s="304">
        <f>E768*0.15</f>
        <v>1852.5</v>
      </c>
      <c r="F769" s="207">
        <f>E769*C769</f>
        <v>0</v>
      </c>
    </row>
    <row r="770" spans="1:6" s="260" customFormat="1" ht="35.450000000000003" customHeight="1" x14ac:dyDescent="0.25">
      <c r="A770" s="206"/>
      <c r="B770" s="234" t="s">
        <v>644</v>
      </c>
      <c r="C770" s="205"/>
      <c r="D770" s="206"/>
      <c r="E770" s="304"/>
      <c r="F770" s="288"/>
    </row>
    <row r="771" spans="1:6" ht="24" customHeight="1" x14ac:dyDescent="0.25">
      <c r="B771" s="219" t="s">
        <v>645</v>
      </c>
      <c r="F771" s="288"/>
    </row>
    <row r="772" spans="1:6" ht="18.95" customHeight="1" x14ac:dyDescent="0.25">
      <c r="A772" s="206" t="s">
        <v>12</v>
      </c>
      <c r="B772" s="214" t="s">
        <v>646</v>
      </c>
      <c r="C772" s="205">
        <f>C768+C765+C763+C761+C759</f>
        <v>356</v>
      </c>
      <c r="D772" s="206" t="s">
        <v>35</v>
      </c>
      <c r="E772" s="304">
        <v>4200</v>
      </c>
      <c r="F772" s="207">
        <f>E772*C772</f>
        <v>1495200</v>
      </c>
    </row>
    <row r="773" spans="1:6" x14ac:dyDescent="0.25">
      <c r="A773" s="206" t="s">
        <v>13</v>
      </c>
      <c r="B773" s="214" t="s">
        <v>627</v>
      </c>
      <c r="C773" s="205">
        <f>C766+C764+C762+C769</f>
        <v>337.70000000000005</v>
      </c>
      <c r="D773" s="206" t="s">
        <v>22</v>
      </c>
      <c r="E773" s="304">
        <f>E772*0.15</f>
        <v>630</v>
      </c>
      <c r="F773" s="207">
        <f>E773*C773</f>
        <v>212751.00000000003</v>
      </c>
    </row>
    <row r="774" spans="1:6" ht="4.9000000000000004" customHeight="1" x14ac:dyDescent="0.25"/>
    <row r="775" spans="1:6" ht="15.75" customHeight="1" x14ac:dyDescent="0.25">
      <c r="B775" s="242" t="s">
        <v>628</v>
      </c>
      <c r="F775" s="227"/>
    </row>
    <row r="776" spans="1:6" ht="13.5" customHeight="1" x14ac:dyDescent="0.25">
      <c r="B776" s="224" t="s">
        <v>647</v>
      </c>
      <c r="F776" s="288"/>
    </row>
    <row r="777" spans="1:6" ht="13.5" customHeight="1" x14ac:dyDescent="0.25">
      <c r="B777" s="224"/>
      <c r="F777" s="288"/>
    </row>
    <row r="778" spans="1:6" ht="16.5" customHeight="1" x14ac:dyDescent="0.25">
      <c r="B778" s="210" t="s">
        <v>1021</v>
      </c>
      <c r="F778" s="227"/>
    </row>
    <row r="779" spans="1:6" ht="30" x14ac:dyDescent="0.25">
      <c r="A779" s="206" t="s">
        <v>14</v>
      </c>
      <c r="B779" s="218" t="s">
        <v>1022</v>
      </c>
      <c r="C779" s="205">
        <v>19</v>
      </c>
      <c r="D779" s="206" t="s">
        <v>35</v>
      </c>
      <c r="E779" s="304">
        <v>23300</v>
      </c>
      <c r="F779" s="207">
        <f>E779*C779</f>
        <v>442700</v>
      </c>
    </row>
    <row r="780" spans="1:6" x14ac:dyDescent="0.25">
      <c r="A780" s="206" t="s">
        <v>15</v>
      </c>
      <c r="B780" s="214" t="s">
        <v>642</v>
      </c>
      <c r="C780" s="205">
        <f>C779*1.1</f>
        <v>20.900000000000002</v>
      </c>
      <c r="D780" s="206" t="s">
        <v>22</v>
      </c>
      <c r="E780" s="304">
        <f>E779*0.075</f>
        <v>1747.5</v>
      </c>
      <c r="F780" s="207">
        <f>E780*C780</f>
        <v>36522.750000000007</v>
      </c>
    </row>
    <row r="781" spans="1:6" ht="33" x14ac:dyDescent="0.25">
      <c r="B781" s="234" t="s">
        <v>648</v>
      </c>
      <c r="F781" s="227"/>
    </row>
    <row r="782" spans="1:6" x14ac:dyDescent="0.25">
      <c r="B782" s="224" t="s">
        <v>645</v>
      </c>
      <c r="F782" s="227"/>
    </row>
    <row r="783" spans="1:6" ht="18.75" customHeight="1" x14ac:dyDescent="0.25">
      <c r="A783" s="206" t="s">
        <v>16</v>
      </c>
      <c r="B783" s="214" t="s">
        <v>649</v>
      </c>
      <c r="C783" s="205">
        <f>C779</f>
        <v>19</v>
      </c>
      <c r="D783" s="206" t="s">
        <v>35</v>
      </c>
      <c r="E783" s="304">
        <f>E772</f>
        <v>4200</v>
      </c>
      <c r="F783" s="207">
        <f>E783*C783</f>
        <v>79800</v>
      </c>
    </row>
    <row r="784" spans="1:6" x14ac:dyDescent="0.25">
      <c r="A784" s="206" t="s">
        <v>17</v>
      </c>
      <c r="B784" s="214" t="s">
        <v>627</v>
      </c>
      <c r="C784" s="205">
        <f>C780</f>
        <v>20.900000000000002</v>
      </c>
      <c r="D784" s="206" t="s">
        <v>22</v>
      </c>
      <c r="E784" s="304">
        <f>E783*0.075</f>
        <v>315</v>
      </c>
      <c r="F784" s="207">
        <f>E784*C784</f>
        <v>6583.5000000000009</v>
      </c>
    </row>
    <row r="785" spans="1:6" ht="13.5" customHeight="1" x14ac:dyDescent="0.25">
      <c r="B785" s="224"/>
      <c r="F785" s="288"/>
    </row>
    <row r="789" spans="1:6" x14ac:dyDescent="0.25">
      <c r="B789" s="210" t="s">
        <v>265</v>
      </c>
    </row>
    <row r="790" spans="1:6" ht="12.75" customHeight="1" x14ac:dyDescent="0.25">
      <c r="B790" s="220" t="s">
        <v>534</v>
      </c>
      <c r="C790" s="221"/>
      <c r="D790" s="209"/>
      <c r="E790" s="303" t="s">
        <v>15</v>
      </c>
      <c r="F790" s="285">
        <f>SUM(F758:F789)</f>
        <v>7107096.5</v>
      </c>
    </row>
    <row r="791" spans="1:6" x14ac:dyDescent="0.25">
      <c r="A791" s="209" t="s">
        <v>796</v>
      </c>
      <c r="B791" s="209"/>
      <c r="C791" s="221" t="s">
        <v>773</v>
      </c>
      <c r="D791" s="209" t="s">
        <v>765</v>
      </c>
      <c r="E791" s="303" t="s">
        <v>914</v>
      </c>
      <c r="F791" s="273" t="s">
        <v>768</v>
      </c>
    </row>
    <row r="792" spans="1:6" ht="12" customHeight="1" x14ac:dyDescent="0.25">
      <c r="B792" s="210" t="s">
        <v>650</v>
      </c>
    </row>
    <row r="793" spans="1:6" ht="12" customHeight="1" x14ac:dyDescent="0.25">
      <c r="B793" s="210"/>
    </row>
    <row r="794" spans="1:6" ht="12" customHeight="1" x14ac:dyDescent="0.25">
      <c r="B794" s="210" t="s">
        <v>281</v>
      </c>
    </row>
    <row r="795" spans="1:6" ht="12" customHeight="1" x14ac:dyDescent="0.25">
      <c r="B795" s="210"/>
    </row>
    <row r="796" spans="1:6" ht="12" customHeight="1" x14ac:dyDescent="0.25">
      <c r="B796" s="210" t="s">
        <v>282</v>
      </c>
    </row>
    <row r="797" spans="1:6" ht="12" customHeight="1" x14ac:dyDescent="0.25">
      <c r="B797" s="210"/>
    </row>
    <row r="798" spans="1:6" ht="12" customHeight="1" x14ac:dyDescent="0.25">
      <c r="B798" s="220" t="s">
        <v>629</v>
      </c>
      <c r="F798" s="289"/>
    </row>
    <row r="799" spans="1:6" x14ac:dyDescent="0.25">
      <c r="B799" s="224" t="s">
        <v>651</v>
      </c>
      <c r="F799" s="289"/>
    </row>
    <row r="800" spans="1:6" x14ac:dyDescent="0.25">
      <c r="A800" s="206" t="s">
        <v>2</v>
      </c>
      <c r="B800" s="214" t="s">
        <v>285</v>
      </c>
      <c r="D800" s="206" t="s">
        <v>35</v>
      </c>
      <c r="E800" s="304">
        <f>E711</f>
        <v>3500</v>
      </c>
      <c r="F800" s="207">
        <f>E800*C800</f>
        <v>0</v>
      </c>
    </row>
    <row r="801" spans="1:6" ht="12" customHeight="1" x14ac:dyDescent="0.25">
      <c r="B801" s="220" t="s">
        <v>614</v>
      </c>
      <c r="F801" s="289"/>
    </row>
    <row r="802" spans="1:6" x14ac:dyDescent="0.25">
      <c r="B802" s="220" t="s">
        <v>687</v>
      </c>
      <c r="F802" s="289"/>
    </row>
    <row r="803" spans="1:6" x14ac:dyDescent="0.25">
      <c r="A803" s="206" t="s">
        <v>4</v>
      </c>
      <c r="B803" s="214" t="s">
        <v>688</v>
      </c>
      <c r="C803" s="205">
        <f>C783+C772</f>
        <v>375</v>
      </c>
      <c r="D803" s="206" t="s">
        <v>35</v>
      </c>
      <c r="E803" s="304">
        <v>13200</v>
      </c>
      <c r="F803" s="207">
        <f>E803*C803</f>
        <v>4950000</v>
      </c>
    </row>
    <row r="805" spans="1:6" x14ac:dyDescent="0.25">
      <c r="B805" s="220" t="s">
        <v>653</v>
      </c>
      <c r="F805" s="289"/>
    </row>
    <row r="806" spans="1:6" ht="19.5" customHeight="1" x14ac:dyDescent="0.25">
      <c r="B806" s="272" t="s">
        <v>654</v>
      </c>
    </row>
    <row r="807" spans="1:6" ht="16.5" customHeight="1" x14ac:dyDescent="0.25">
      <c r="A807" s="206" t="s">
        <v>5</v>
      </c>
      <c r="B807" s="214" t="s">
        <v>287</v>
      </c>
      <c r="C807" s="205">
        <v>526</v>
      </c>
      <c r="D807" s="206" t="s">
        <v>22</v>
      </c>
      <c r="E807" s="304">
        <v>550</v>
      </c>
      <c r="F807" s="207">
        <f>E807*C807</f>
        <v>289300</v>
      </c>
    </row>
    <row r="808" spans="1:6" ht="15.75" customHeight="1" x14ac:dyDescent="0.25">
      <c r="B808" s="220" t="s">
        <v>152</v>
      </c>
      <c r="F808" s="289"/>
    </row>
    <row r="809" spans="1:6" ht="30" x14ac:dyDescent="0.25">
      <c r="B809" s="218" t="s">
        <v>655</v>
      </c>
      <c r="F809" s="289"/>
    </row>
    <row r="810" spans="1:6" ht="17.25" customHeight="1" x14ac:dyDescent="0.25">
      <c r="A810" s="206" t="s">
        <v>6</v>
      </c>
      <c r="B810" s="214" t="s">
        <v>656</v>
      </c>
      <c r="C810" s="205">
        <f>C803</f>
        <v>375</v>
      </c>
      <c r="D810" s="206" t="s">
        <v>35</v>
      </c>
      <c r="E810" s="304">
        <f>E699</f>
        <v>2200</v>
      </c>
      <c r="F810" s="207">
        <f>E810*C810</f>
        <v>825000</v>
      </c>
    </row>
    <row r="811" spans="1:6" ht="17.25" customHeight="1" x14ac:dyDescent="0.25"/>
    <row r="812" spans="1:6" ht="17.25" customHeight="1" x14ac:dyDescent="0.25"/>
    <row r="813" spans="1:6" ht="17.25" customHeight="1" x14ac:dyDescent="0.25"/>
    <row r="814" spans="1:6" x14ac:dyDescent="0.25">
      <c r="B814" s="215"/>
      <c r="F814" s="289"/>
    </row>
    <row r="815" spans="1:6" x14ac:dyDescent="0.25">
      <c r="B815" s="215"/>
      <c r="F815" s="289"/>
    </row>
    <row r="816" spans="1:6" x14ac:dyDescent="0.25">
      <c r="B816" s="215"/>
      <c r="F816" s="289"/>
    </row>
    <row r="817" spans="1:6" x14ac:dyDescent="0.25">
      <c r="B817" s="215"/>
      <c r="F817" s="289"/>
    </row>
    <row r="818" spans="1:6" x14ac:dyDescent="0.25">
      <c r="B818" s="210" t="s">
        <v>281</v>
      </c>
      <c r="C818" s="221"/>
      <c r="D818" s="209"/>
      <c r="E818" s="303"/>
      <c r="F818" s="222"/>
    </row>
    <row r="819" spans="1:6" x14ac:dyDescent="0.25">
      <c r="B819" s="220" t="s">
        <v>534</v>
      </c>
      <c r="C819" s="221"/>
      <c r="D819" s="209"/>
      <c r="E819" s="303" t="s">
        <v>15</v>
      </c>
      <c r="F819" s="285">
        <f>SUM(F798:F818)</f>
        <v>6064300</v>
      </c>
    </row>
    <row r="820" spans="1:6" x14ac:dyDescent="0.25">
      <c r="A820" s="209" t="s">
        <v>796</v>
      </c>
      <c r="B820" s="209"/>
      <c r="C820" s="221" t="s">
        <v>773</v>
      </c>
      <c r="D820" s="209" t="s">
        <v>765</v>
      </c>
      <c r="E820" s="303" t="s">
        <v>914</v>
      </c>
      <c r="F820" s="273" t="s">
        <v>768</v>
      </c>
    </row>
    <row r="821" spans="1:6" s="497" customFormat="1" ht="18.75" x14ac:dyDescent="0.3">
      <c r="A821" s="197"/>
      <c r="B821" s="292" t="s">
        <v>792</v>
      </c>
      <c r="C821" s="293"/>
      <c r="D821" s="294"/>
      <c r="E821" s="295"/>
      <c r="F821" s="296"/>
    </row>
    <row r="822" spans="1:6" s="497" customFormat="1" ht="15" customHeight="1" x14ac:dyDescent="0.3">
      <c r="A822" s="197"/>
      <c r="B822" s="292" t="s">
        <v>657</v>
      </c>
      <c r="C822" s="293"/>
      <c r="D822" s="294"/>
      <c r="E822" s="295"/>
      <c r="F822" s="296"/>
    </row>
    <row r="823" spans="1:6" s="497" customFormat="1" ht="15" customHeight="1" x14ac:dyDescent="0.3">
      <c r="A823" s="197"/>
      <c r="B823" s="292"/>
      <c r="C823" s="293"/>
      <c r="D823" s="294"/>
      <c r="E823" s="295"/>
      <c r="F823" s="296"/>
    </row>
    <row r="824" spans="1:6" s="497" customFormat="1" ht="15" customHeight="1" x14ac:dyDescent="0.3">
      <c r="A824" s="197"/>
      <c r="B824" s="292"/>
      <c r="C824" s="293"/>
      <c r="D824" s="294"/>
      <c r="E824" s="295"/>
      <c r="F824" s="296"/>
    </row>
    <row r="825" spans="1:6" s="214" customFormat="1" ht="30" x14ac:dyDescent="0.3">
      <c r="A825" s="206" t="s">
        <v>2</v>
      </c>
      <c r="B825" s="358" t="s">
        <v>985</v>
      </c>
      <c r="C825" s="331"/>
      <c r="D825" s="206"/>
      <c r="E825" s="333"/>
      <c r="F825" s="360">
        <v>3660000</v>
      </c>
    </row>
    <row r="826" spans="1:6" s="214" customFormat="1" x14ac:dyDescent="0.25">
      <c r="A826" s="206"/>
      <c r="B826" s="220"/>
      <c r="C826" s="331"/>
      <c r="D826" s="206"/>
      <c r="E826" s="333"/>
      <c r="F826" s="332"/>
    </row>
    <row r="827" spans="1:6" s="214" customFormat="1" x14ac:dyDescent="0.25">
      <c r="A827" s="206"/>
      <c r="B827" s="220"/>
      <c r="C827" s="331"/>
      <c r="D827" s="206"/>
      <c r="E827" s="333"/>
      <c r="F827" s="332"/>
    </row>
    <row r="828" spans="1:6" s="214" customFormat="1" x14ac:dyDescent="0.25">
      <c r="A828" s="206"/>
      <c r="B828" s="220"/>
      <c r="C828" s="331"/>
      <c r="D828" s="206"/>
      <c r="E828" s="333"/>
      <c r="F828" s="332"/>
    </row>
    <row r="829" spans="1:6" s="214" customFormat="1" x14ac:dyDescent="0.25">
      <c r="A829" s="206"/>
      <c r="B829" s="220"/>
      <c r="C829" s="331"/>
      <c r="D829" s="206"/>
      <c r="E829" s="333"/>
      <c r="F829" s="332"/>
    </row>
    <row r="830" spans="1:6" s="214" customFormat="1" x14ac:dyDescent="0.25">
      <c r="A830" s="206"/>
      <c r="B830" s="220"/>
      <c r="C830" s="331"/>
      <c r="D830" s="206"/>
      <c r="E830" s="333"/>
      <c r="F830" s="332"/>
    </row>
    <row r="831" spans="1:6" s="214" customFormat="1" x14ac:dyDescent="0.25">
      <c r="A831" s="206"/>
      <c r="B831" s="220"/>
      <c r="C831" s="331"/>
      <c r="D831" s="206"/>
      <c r="E831" s="333"/>
      <c r="F831" s="332"/>
    </row>
    <row r="832" spans="1:6" s="214" customFormat="1" x14ac:dyDescent="0.25">
      <c r="A832" s="206"/>
      <c r="B832" s="220"/>
      <c r="C832" s="331"/>
      <c r="D832" s="206"/>
      <c r="E832" s="333"/>
      <c r="F832" s="332"/>
    </row>
    <row r="833" spans="1:6" s="214" customFormat="1" x14ac:dyDescent="0.25">
      <c r="A833" s="206"/>
      <c r="B833" s="220"/>
      <c r="C833" s="331"/>
      <c r="D833" s="206"/>
      <c r="E833" s="333"/>
      <c r="F833" s="332"/>
    </row>
    <row r="834" spans="1:6" s="214" customFormat="1" x14ac:dyDescent="0.25">
      <c r="A834" s="206"/>
      <c r="B834" s="220"/>
      <c r="C834" s="331"/>
      <c r="D834" s="206"/>
      <c r="E834" s="333"/>
      <c r="F834" s="332"/>
    </row>
    <row r="835" spans="1:6" s="214" customFormat="1" x14ac:dyDescent="0.25">
      <c r="A835" s="206"/>
      <c r="B835" s="220"/>
      <c r="C835" s="331"/>
      <c r="D835" s="206"/>
      <c r="E835" s="333"/>
      <c r="F835" s="332"/>
    </row>
    <row r="836" spans="1:6" s="214" customFormat="1" x14ac:dyDescent="0.25">
      <c r="A836" s="206"/>
      <c r="B836" s="220"/>
      <c r="C836" s="331"/>
      <c r="D836" s="206"/>
      <c r="E836" s="333"/>
      <c r="F836" s="332"/>
    </row>
    <row r="837" spans="1:6" s="214" customFormat="1" x14ac:dyDescent="0.25">
      <c r="A837" s="206"/>
      <c r="B837" s="220"/>
      <c r="C837" s="331"/>
      <c r="D837" s="206"/>
      <c r="E837" s="333"/>
      <c r="F837" s="332"/>
    </row>
    <row r="838" spans="1:6" s="214" customFormat="1" x14ac:dyDescent="0.25">
      <c r="A838" s="206"/>
      <c r="B838" s="220"/>
      <c r="C838" s="331"/>
      <c r="D838" s="206"/>
      <c r="E838" s="333"/>
      <c r="F838" s="332"/>
    </row>
    <row r="839" spans="1:6" s="214" customFormat="1" x14ac:dyDescent="0.25">
      <c r="A839" s="206"/>
      <c r="B839" s="220"/>
      <c r="C839" s="331"/>
      <c r="D839" s="206"/>
      <c r="E839" s="333"/>
      <c r="F839" s="332"/>
    </row>
    <row r="840" spans="1:6" s="214" customFormat="1" x14ac:dyDescent="0.25">
      <c r="A840" s="206"/>
      <c r="B840" s="220"/>
      <c r="C840" s="331"/>
      <c r="D840" s="206"/>
      <c r="E840" s="333"/>
      <c r="F840" s="332"/>
    </row>
    <row r="841" spans="1:6" s="214" customFormat="1" x14ac:dyDescent="0.25">
      <c r="A841" s="206"/>
      <c r="B841" s="220"/>
      <c r="C841" s="331"/>
      <c r="D841" s="206"/>
      <c r="E841" s="333"/>
      <c r="F841" s="332"/>
    </row>
    <row r="842" spans="1:6" s="214" customFormat="1" ht="19.149999999999999" customHeight="1" x14ac:dyDescent="0.25">
      <c r="A842" s="206"/>
      <c r="B842" s="231"/>
      <c r="C842" s="311"/>
      <c r="D842" s="209"/>
      <c r="E842" s="333"/>
      <c r="F842" s="313"/>
    </row>
    <row r="843" spans="1:6" s="214" customFormat="1" ht="19.149999999999999" customHeight="1" x14ac:dyDescent="0.25">
      <c r="A843" s="206"/>
      <c r="B843" s="231"/>
      <c r="C843" s="311"/>
      <c r="D843" s="209"/>
      <c r="E843" s="333"/>
      <c r="F843" s="313"/>
    </row>
    <row r="844" spans="1:6" s="214" customFormat="1" ht="19.149999999999999" customHeight="1" x14ac:dyDescent="0.25">
      <c r="A844" s="206"/>
      <c r="B844" s="231"/>
      <c r="C844" s="311"/>
      <c r="D844" s="209"/>
      <c r="E844" s="333"/>
      <c r="F844" s="313"/>
    </row>
    <row r="845" spans="1:6" s="214" customFormat="1" ht="19.149999999999999" customHeight="1" x14ac:dyDescent="0.25">
      <c r="A845" s="206"/>
      <c r="B845" s="231"/>
      <c r="C845" s="311"/>
      <c r="D845" s="209"/>
      <c r="E845" s="333"/>
      <c r="F845" s="313"/>
    </row>
    <row r="846" spans="1:6" s="214" customFormat="1" ht="19.149999999999999" customHeight="1" x14ac:dyDescent="0.25">
      <c r="A846" s="206"/>
      <c r="B846" s="231"/>
      <c r="C846" s="311"/>
      <c r="D846" s="209"/>
      <c r="E846" s="333"/>
      <c r="F846" s="313"/>
    </row>
    <row r="847" spans="1:6" s="214" customFormat="1" ht="19.149999999999999" customHeight="1" x14ac:dyDescent="0.25">
      <c r="A847" s="206"/>
      <c r="B847" s="231"/>
      <c r="C847" s="311"/>
      <c r="D847" s="209"/>
      <c r="E847" s="333"/>
      <c r="F847" s="313"/>
    </row>
    <row r="848" spans="1:6" s="214" customFormat="1" ht="19.149999999999999" customHeight="1" x14ac:dyDescent="0.25">
      <c r="A848" s="206"/>
      <c r="B848" s="231"/>
      <c r="C848" s="311"/>
      <c r="D848" s="209"/>
      <c r="E848" s="333"/>
      <c r="F848" s="313"/>
    </row>
    <row r="849" spans="1:6" s="214" customFormat="1" ht="19.149999999999999" customHeight="1" x14ac:dyDescent="0.25">
      <c r="A849" s="206"/>
      <c r="B849" s="231"/>
      <c r="C849" s="311"/>
      <c r="D849" s="209"/>
      <c r="E849" s="333"/>
      <c r="F849" s="313"/>
    </row>
    <row r="850" spans="1:6" s="214" customFormat="1" ht="17.25" customHeight="1" x14ac:dyDescent="0.25">
      <c r="A850" s="206"/>
      <c r="B850" s="231"/>
      <c r="C850" s="311"/>
      <c r="D850" s="209"/>
      <c r="E850" s="333"/>
      <c r="F850" s="313"/>
    </row>
    <row r="851" spans="1:6" s="214" customFormat="1" ht="17.25" customHeight="1" x14ac:dyDescent="0.25">
      <c r="A851" s="206"/>
      <c r="B851" s="231"/>
      <c r="C851" s="311"/>
      <c r="D851" s="209"/>
      <c r="E851" s="333"/>
      <c r="F851" s="313"/>
    </row>
    <row r="852" spans="1:6" s="214" customFormat="1" ht="17.25" customHeight="1" x14ac:dyDescent="0.25">
      <c r="A852" s="206"/>
      <c r="B852" s="231"/>
      <c r="C852" s="311"/>
      <c r="D852" s="209"/>
      <c r="E852" s="333"/>
      <c r="F852" s="313"/>
    </row>
    <row r="853" spans="1:6" s="214" customFormat="1" ht="17.25" customHeight="1" x14ac:dyDescent="0.25">
      <c r="A853" s="206"/>
      <c r="B853" s="210" t="s">
        <v>658</v>
      </c>
      <c r="C853" s="311"/>
      <c r="D853" s="209"/>
      <c r="E853" s="333"/>
      <c r="F853" s="313"/>
    </row>
    <row r="854" spans="1:6" s="214" customFormat="1" ht="17.25" customHeight="1" x14ac:dyDescent="0.25">
      <c r="A854" s="206"/>
      <c r="B854" s="220" t="s">
        <v>638</v>
      </c>
      <c r="C854" s="311"/>
      <c r="D854" s="209"/>
      <c r="E854" s="312" t="s">
        <v>15</v>
      </c>
      <c r="F854" s="313">
        <f>F825</f>
        <v>3660000</v>
      </c>
    </row>
    <row r="855" spans="1:6" x14ac:dyDescent="0.25">
      <c r="A855" s="209" t="s">
        <v>796</v>
      </c>
      <c r="B855" s="209"/>
      <c r="C855" s="221" t="s">
        <v>773</v>
      </c>
      <c r="D855" s="209" t="s">
        <v>765</v>
      </c>
      <c r="E855" s="303" t="s">
        <v>914</v>
      </c>
      <c r="F855" s="273" t="s">
        <v>768</v>
      </c>
    </row>
    <row r="856" spans="1:6" s="497" customFormat="1" ht="18.75" x14ac:dyDescent="0.3">
      <c r="A856" s="197"/>
      <c r="B856" s="292" t="s">
        <v>793</v>
      </c>
      <c r="C856" s="202"/>
      <c r="D856" s="197"/>
      <c r="E856" s="299"/>
      <c r="F856" s="201"/>
    </row>
    <row r="857" spans="1:6" s="497" customFormat="1" ht="16.5" customHeight="1" x14ac:dyDescent="0.3">
      <c r="A857" s="197"/>
      <c r="B857" s="202"/>
      <c r="C857" s="202"/>
      <c r="D857" s="197"/>
      <c r="E857" s="299"/>
      <c r="F857" s="201"/>
    </row>
    <row r="858" spans="1:6" s="497" customFormat="1" ht="17.25" customHeight="1" x14ac:dyDescent="0.3">
      <c r="A858" s="197"/>
      <c r="B858" s="300" t="s">
        <v>659</v>
      </c>
      <c r="C858" s="202"/>
      <c r="D858" s="197"/>
      <c r="E858" s="299"/>
      <c r="F858" s="201"/>
    </row>
    <row r="859" spans="1:6" s="497" customFormat="1" ht="17.25" customHeight="1" x14ac:dyDescent="0.3">
      <c r="A859" s="197"/>
      <c r="B859" s="300"/>
      <c r="C859" s="202"/>
      <c r="D859" s="197"/>
      <c r="E859" s="299"/>
      <c r="F859" s="201"/>
    </row>
    <row r="860" spans="1:6" s="534" customFormat="1" ht="17.25" x14ac:dyDescent="0.35">
      <c r="A860" s="354" t="s">
        <v>796</v>
      </c>
      <c r="B860" s="354" t="s">
        <v>764</v>
      </c>
      <c r="C860" s="354" t="s">
        <v>765</v>
      </c>
      <c r="D860" s="354" t="s">
        <v>773</v>
      </c>
      <c r="E860" s="645" t="s">
        <v>767</v>
      </c>
      <c r="F860" s="354" t="s">
        <v>768</v>
      </c>
    </row>
    <row r="861" spans="1:6" s="534" customFormat="1" ht="17.25" x14ac:dyDescent="0.35">
      <c r="A861" s="354"/>
      <c r="B861" s="354"/>
      <c r="C861" s="354"/>
      <c r="D861" s="354"/>
      <c r="E861" s="645"/>
      <c r="F861" s="354"/>
    </row>
    <row r="862" spans="1:6" s="534" customFormat="1" ht="30" x14ac:dyDescent="0.3">
      <c r="A862" s="357" t="s">
        <v>2</v>
      </c>
      <c r="B862" s="358" t="s">
        <v>877</v>
      </c>
      <c r="C862" s="359" t="s">
        <v>36</v>
      </c>
      <c r="E862" s="646"/>
      <c r="F862" s="360">
        <v>5124000</v>
      </c>
    </row>
    <row r="863" spans="1:6" s="534" customFormat="1" x14ac:dyDescent="0.3">
      <c r="A863" s="357"/>
      <c r="B863" s="358"/>
      <c r="C863" s="359"/>
      <c r="E863" s="646"/>
      <c r="F863" s="360"/>
    </row>
    <row r="864" spans="1:6" s="534" customFormat="1" x14ac:dyDescent="0.3">
      <c r="A864" s="357"/>
      <c r="B864" s="358"/>
      <c r="C864" s="359"/>
      <c r="E864" s="646"/>
      <c r="F864" s="360"/>
    </row>
    <row r="865" spans="1:6" s="534" customFormat="1" x14ac:dyDescent="0.3">
      <c r="A865" s="357"/>
      <c r="B865" s="358"/>
      <c r="C865" s="359"/>
      <c r="E865" s="646"/>
      <c r="F865" s="360"/>
    </row>
    <row r="866" spans="1:6" s="534" customFormat="1" x14ac:dyDescent="0.3">
      <c r="A866" s="357"/>
      <c r="B866" s="358"/>
      <c r="C866" s="359"/>
      <c r="E866" s="646"/>
      <c r="F866" s="360"/>
    </row>
    <row r="867" spans="1:6" s="534" customFormat="1" x14ac:dyDescent="0.3">
      <c r="A867" s="357"/>
      <c r="B867" s="358"/>
      <c r="C867" s="359"/>
      <c r="E867" s="646"/>
      <c r="F867" s="360"/>
    </row>
    <row r="868" spans="1:6" s="534" customFormat="1" x14ac:dyDescent="0.3">
      <c r="A868" s="357"/>
      <c r="B868" s="358"/>
      <c r="C868" s="359"/>
      <c r="E868" s="646"/>
      <c r="F868" s="360"/>
    </row>
    <row r="869" spans="1:6" s="534" customFormat="1" x14ac:dyDescent="0.3">
      <c r="A869" s="357"/>
      <c r="B869" s="358"/>
      <c r="C869" s="359"/>
      <c r="E869" s="646"/>
      <c r="F869" s="360"/>
    </row>
    <row r="870" spans="1:6" s="534" customFormat="1" x14ac:dyDescent="0.3">
      <c r="A870" s="357"/>
      <c r="B870" s="358"/>
      <c r="C870" s="359"/>
      <c r="E870" s="646"/>
      <c r="F870" s="360"/>
    </row>
    <row r="871" spans="1:6" s="534" customFormat="1" x14ac:dyDescent="0.3">
      <c r="A871" s="357"/>
      <c r="B871" s="358"/>
      <c r="C871" s="359"/>
      <c r="E871" s="646"/>
      <c r="F871" s="360"/>
    </row>
    <row r="872" spans="1:6" s="534" customFormat="1" x14ac:dyDescent="0.3">
      <c r="A872" s="357"/>
      <c r="B872" s="358"/>
      <c r="C872" s="359"/>
      <c r="E872" s="646"/>
      <c r="F872" s="360"/>
    </row>
    <row r="873" spans="1:6" s="534" customFormat="1" x14ac:dyDescent="0.3">
      <c r="A873" s="357"/>
      <c r="B873" s="358"/>
      <c r="C873" s="359"/>
      <c r="E873" s="646"/>
      <c r="F873" s="360"/>
    </row>
    <row r="874" spans="1:6" s="534" customFormat="1" x14ac:dyDescent="0.3">
      <c r="A874" s="357"/>
      <c r="B874" s="358"/>
      <c r="C874" s="359"/>
      <c r="E874" s="646"/>
      <c r="F874" s="360"/>
    </row>
    <row r="875" spans="1:6" s="534" customFormat="1" x14ac:dyDescent="0.3">
      <c r="A875" s="357"/>
      <c r="B875" s="358"/>
      <c r="C875" s="359"/>
      <c r="E875" s="646"/>
      <c r="F875" s="360"/>
    </row>
    <row r="876" spans="1:6" s="534" customFormat="1" x14ac:dyDescent="0.3">
      <c r="A876" s="357"/>
      <c r="B876" s="358"/>
      <c r="C876" s="359"/>
      <c r="E876" s="646"/>
      <c r="F876" s="360"/>
    </row>
    <row r="877" spans="1:6" s="534" customFormat="1" x14ac:dyDescent="0.3">
      <c r="A877" s="357"/>
      <c r="B877" s="358"/>
      <c r="C877" s="359"/>
      <c r="E877" s="646"/>
      <c r="F877" s="360"/>
    </row>
    <row r="878" spans="1:6" s="534" customFormat="1" x14ac:dyDescent="0.3">
      <c r="A878" s="357"/>
      <c r="B878" s="358"/>
      <c r="C878" s="359"/>
      <c r="E878" s="646"/>
      <c r="F878" s="360"/>
    </row>
    <row r="879" spans="1:6" s="534" customFormat="1" x14ac:dyDescent="0.3">
      <c r="A879" s="357"/>
      <c r="B879" s="358"/>
      <c r="C879" s="359"/>
      <c r="E879" s="646"/>
      <c r="F879" s="360"/>
    </row>
    <row r="880" spans="1:6" s="534" customFormat="1" x14ac:dyDescent="0.3">
      <c r="A880" s="357"/>
      <c r="B880" s="358"/>
      <c r="C880" s="359"/>
      <c r="E880" s="646"/>
      <c r="F880" s="360"/>
    </row>
    <row r="881" spans="1:6" s="534" customFormat="1" x14ac:dyDescent="0.3">
      <c r="A881" s="357"/>
      <c r="B881" s="358"/>
      <c r="C881" s="359"/>
      <c r="E881" s="646"/>
      <c r="F881" s="360"/>
    </row>
    <row r="882" spans="1:6" s="534" customFormat="1" x14ac:dyDescent="0.3">
      <c r="A882" s="357"/>
      <c r="B882" s="358"/>
      <c r="C882" s="359"/>
      <c r="E882" s="646"/>
      <c r="F882" s="360"/>
    </row>
    <row r="883" spans="1:6" s="497" customFormat="1" ht="18.75" x14ac:dyDescent="0.3">
      <c r="A883" s="197"/>
      <c r="B883" s="300" t="s">
        <v>659</v>
      </c>
      <c r="C883" s="202"/>
      <c r="D883" s="197"/>
      <c r="E883" s="299"/>
      <c r="F883" s="201"/>
    </row>
    <row r="884" spans="1:6" s="497" customFormat="1" ht="18" x14ac:dyDescent="0.35">
      <c r="A884" s="297"/>
      <c r="B884" s="293" t="s">
        <v>638</v>
      </c>
      <c r="C884" s="298"/>
      <c r="D884" s="297"/>
      <c r="E884" s="647" t="s">
        <v>15</v>
      </c>
      <c r="F884" s="301">
        <f>SUM(F862:F883)</f>
        <v>5124000</v>
      </c>
    </row>
    <row r="885" spans="1:6" x14ac:dyDescent="0.25">
      <c r="B885" s="211"/>
    </row>
    <row r="886" spans="1:6" x14ac:dyDescent="0.25">
      <c r="B886" s="211"/>
    </row>
    <row r="887" spans="1:6" ht="19.5" customHeight="1" x14ac:dyDescent="0.25">
      <c r="B887" s="211" t="s">
        <v>450</v>
      </c>
    </row>
    <row r="888" spans="1:6" x14ac:dyDescent="0.25">
      <c r="F888" s="273"/>
    </row>
    <row r="889" spans="1:6" ht="15.75" customHeight="1" x14ac:dyDescent="0.25">
      <c r="B889" s="218" t="s">
        <v>533</v>
      </c>
      <c r="E889" s="304">
        <f>F111</f>
        <v>12087700</v>
      </c>
      <c r="F889" s="274"/>
    </row>
    <row r="890" spans="1:6" x14ac:dyDescent="0.25">
      <c r="F890" s="274"/>
    </row>
    <row r="891" spans="1:6" x14ac:dyDescent="0.25">
      <c r="B891" s="214" t="s">
        <v>108</v>
      </c>
      <c r="E891" s="304">
        <f>F156</f>
        <v>14076800</v>
      </c>
      <c r="F891" s="274"/>
    </row>
    <row r="892" spans="1:6" x14ac:dyDescent="0.25">
      <c r="F892" s="274"/>
    </row>
    <row r="893" spans="1:6" x14ac:dyDescent="0.25">
      <c r="B893" s="214" t="s">
        <v>453</v>
      </c>
      <c r="E893" s="304">
        <f>F201</f>
        <v>14001275</v>
      </c>
      <c r="F893" s="274"/>
    </row>
    <row r="894" spans="1:6" x14ac:dyDescent="0.25">
      <c r="C894" s="275"/>
      <c r="D894" s="276"/>
      <c r="F894" s="274"/>
    </row>
    <row r="895" spans="1:6" x14ac:dyDescent="0.25">
      <c r="B895" s="214" t="s">
        <v>125</v>
      </c>
      <c r="E895" s="304">
        <f>F337</f>
        <v>2608995</v>
      </c>
      <c r="F895" s="274"/>
    </row>
    <row r="896" spans="1:6" ht="18" customHeight="1" x14ac:dyDescent="0.25">
      <c r="C896" s="275"/>
      <c r="D896" s="276"/>
      <c r="F896" s="274"/>
    </row>
    <row r="897" spans="2:6" x14ac:dyDescent="0.25">
      <c r="B897" s="214" t="s">
        <v>163</v>
      </c>
      <c r="E897" s="304">
        <f>F472</f>
        <v>8634700</v>
      </c>
      <c r="F897" s="274"/>
    </row>
    <row r="898" spans="2:6" x14ac:dyDescent="0.25">
      <c r="C898" s="275"/>
      <c r="D898" s="276"/>
      <c r="F898" s="274"/>
    </row>
    <row r="899" spans="2:6" x14ac:dyDescent="0.25">
      <c r="B899" s="214" t="s">
        <v>195</v>
      </c>
      <c r="E899" s="304">
        <f>F516</f>
        <v>4108900</v>
      </c>
      <c r="F899" s="274"/>
    </row>
    <row r="900" spans="2:6" x14ac:dyDescent="0.25">
      <c r="F900" s="274"/>
    </row>
    <row r="901" spans="2:6" x14ac:dyDescent="0.25">
      <c r="B901" s="214" t="s">
        <v>602</v>
      </c>
      <c r="E901" s="304">
        <f>F561</f>
        <v>9228380</v>
      </c>
      <c r="F901" s="274"/>
    </row>
    <row r="902" spans="2:6" x14ac:dyDescent="0.25">
      <c r="F902" s="274"/>
    </row>
    <row r="903" spans="2:6" x14ac:dyDescent="0.25">
      <c r="B903" s="214" t="s">
        <v>210</v>
      </c>
      <c r="E903" s="304">
        <f>F606</f>
        <v>4732500</v>
      </c>
      <c r="F903" s="274"/>
    </row>
    <row r="904" spans="2:6" x14ac:dyDescent="0.25">
      <c r="F904" s="274"/>
    </row>
    <row r="905" spans="2:6" x14ac:dyDescent="0.25">
      <c r="B905" s="214" t="s">
        <v>607</v>
      </c>
      <c r="E905" s="304">
        <f>F645</f>
        <v>3302776</v>
      </c>
      <c r="F905" s="274"/>
    </row>
    <row r="906" spans="2:6" x14ac:dyDescent="0.25">
      <c r="C906" s="275"/>
      <c r="D906" s="276"/>
      <c r="F906" s="274"/>
    </row>
    <row r="907" spans="2:6" x14ac:dyDescent="0.25">
      <c r="B907" s="214" t="s">
        <v>905</v>
      </c>
      <c r="E907" s="304">
        <f>F680</f>
        <v>4910000</v>
      </c>
      <c r="F907" s="274"/>
    </row>
    <row r="908" spans="2:6" x14ac:dyDescent="0.25">
      <c r="F908" s="274"/>
    </row>
    <row r="909" spans="2:6" x14ac:dyDescent="0.25">
      <c r="B909" s="214" t="s">
        <v>236</v>
      </c>
      <c r="E909" s="304">
        <f>F716</f>
        <v>12060230</v>
      </c>
      <c r="F909" s="274"/>
    </row>
    <row r="910" spans="2:6" x14ac:dyDescent="0.25">
      <c r="F910" s="274"/>
    </row>
    <row r="911" spans="2:6" x14ac:dyDescent="0.25">
      <c r="B911" s="214" t="s">
        <v>689</v>
      </c>
      <c r="E911" s="304">
        <f>F790</f>
        <v>7107096.5</v>
      </c>
      <c r="F911" s="274"/>
    </row>
    <row r="912" spans="2:6" x14ac:dyDescent="0.25">
      <c r="F912" s="274"/>
    </row>
    <row r="913" spans="2:6" x14ac:dyDescent="0.25">
      <c r="B913" s="214" t="s">
        <v>690</v>
      </c>
      <c r="E913" s="304">
        <f>F819</f>
        <v>6064300</v>
      </c>
      <c r="F913" s="274"/>
    </row>
    <row r="914" spans="2:6" x14ac:dyDescent="0.25">
      <c r="F914" s="274"/>
    </row>
    <row r="915" spans="2:6" x14ac:dyDescent="0.25">
      <c r="B915" s="214" t="s">
        <v>658</v>
      </c>
      <c r="E915" s="304">
        <f>F854</f>
        <v>3660000</v>
      </c>
      <c r="F915" s="274"/>
    </row>
    <row r="916" spans="2:6" x14ac:dyDescent="0.25">
      <c r="C916" s="275"/>
      <c r="D916" s="276"/>
      <c r="F916" s="274"/>
    </row>
    <row r="917" spans="2:6" x14ac:dyDescent="0.25">
      <c r="B917" s="214" t="s">
        <v>659</v>
      </c>
      <c r="C917" s="277"/>
      <c r="E917" s="304">
        <f>F884</f>
        <v>5124000</v>
      </c>
      <c r="F917" s="274"/>
    </row>
    <row r="918" spans="2:6" x14ac:dyDescent="0.25">
      <c r="C918" s="277"/>
      <c r="F918" s="274"/>
    </row>
    <row r="919" spans="2:6" x14ac:dyDescent="0.25">
      <c r="B919" s="278" t="s">
        <v>1035</v>
      </c>
      <c r="C919" s="279"/>
      <c r="D919" s="280"/>
      <c r="E919" s="309"/>
      <c r="F919" s="274"/>
    </row>
    <row r="920" spans="2:6" ht="17.25" customHeight="1" x14ac:dyDescent="0.25">
      <c r="B920" s="220" t="s">
        <v>660</v>
      </c>
      <c r="D920" s="276" t="s">
        <v>20</v>
      </c>
      <c r="E920" s="310"/>
      <c r="F920" s="222">
        <f>SUM(E889:E919)</f>
        <v>111707652.5</v>
      </c>
    </row>
    <row r="921" spans="2:6" ht="19.5" customHeight="1" x14ac:dyDescent="0.25">
      <c r="B921" s="220" t="s">
        <v>692</v>
      </c>
      <c r="F921" s="281">
        <f>F920*5%</f>
        <v>5585382.625</v>
      </c>
    </row>
    <row r="922" spans="2:6" ht="19.5" customHeight="1" x14ac:dyDescent="0.25">
      <c r="B922" s="220" t="s">
        <v>474</v>
      </c>
      <c r="F922" s="222">
        <f>SUM(F920:F921)</f>
        <v>117293035.125</v>
      </c>
    </row>
    <row r="923" spans="2:6" ht="19.5" customHeight="1" x14ac:dyDescent="0.25">
      <c r="B923" s="220" t="s">
        <v>693</v>
      </c>
      <c r="F923" s="222">
        <f>F922*5%</f>
        <v>5864651.7562500006</v>
      </c>
    </row>
    <row r="924" spans="2:6" ht="19.5" customHeight="1" x14ac:dyDescent="0.25">
      <c r="B924" s="220"/>
      <c r="F924" s="282">
        <f>SUM(F922:F923)</f>
        <v>123157686.88124999</v>
      </c>
    </row>
    <row r="925" spans="2:6" x14ac:dyDescent="0.25">
      <c r="B925" s="220" t="s">
        <v>477</v>
      </c>
      <c r="F925" s="281">
        <f>F924*7.5%</f>
        <v>9236826.5160937496</v>
      </c>
    </row>
    <row r="926" spans="2:6" ht="17.25" customHeight="1" thickBot="1" x14ac:dyDescent="0.3">
      <c r="B926" s="210" t="s">
        <v>694</v>
      </c>
      <c r="E926" s="303" t="s">
        <v>15</v>
      </c>
      <c r="F926" s="283">
        <f>SUM(F924:F925)</f>
        <v>132394513.39734374</v>
      </c>
    </row>
    <row r="927" spans="2:6" ht="17.25" customHeight="1" thickTop="1" x14ac:dyDescent="0.25">
      <c r="B927" s="220" t="s">
        <v>695</v>
      </c>
    </row>
    <row r="928" spans="2:6" ht="17.25" customHeight="1" x14ac:dyDescent="0.25">
      <c r="B928" s="220"/>
    </row>
    <row r="929" spans="2:5" ht="17.25" customHeight="1" x14ac:dyDescent="0.25"/>
    <row r="930" spans="2:5" ht="20.45" customHeight="1" x14ac:dyDescent="0.25"/>
    <row r="931" spans="2:5" ht="17.25" customHeight="1" x14ac:dyDescent="0.25">
      <c r="B931" s="220"/>
      <c r="E931" s="303"/>
    </row>
    <row r="932" spans="2:5" ht="17.25" customHeight="1" x14ac:dyDescent="0.25">
      <c r="B932" s="218"/>
    </row>
    <row r="933" spans="2:5" ht="17.25" customHeight="1" x14ac:dyDescent="0.25">
      <c r="B933" s="220" t="s">
        <v>471</v>
      </c>
      <c r="C933" s="221">
        <f>173.9*2+139.8</f>
        <v>487.6</v>
      </c>
      <c r="D933" s="209" t="s">
        <v>472</v>
      </c>
    </row>
    <row r="934" spans="2:5" ht="17.25" customHeight="1" x14ac:dyDescent="0.25">
      <c r="B934" s="220" t="s">
        <v>661</v>
      </c>
      <c r="E934" s="303">
        <f>F926/C933</f>
        <v>271522.79203721031</v>
      </c>
    </row>
    <row r="935" spans="2:5" ht="17.25" customHeight="1" x14ac:dyDescent="0.25"/>
    <row r="936" spans="2:5" ht="17.25" customHeight="1" x14ac:dyDescent="0.25"/>
    <row r="947" spans="1:6" x14ac:dyDescent="0.25">
      <c r="B947" s="214" t="s">
        <v>696</v>
      </c>
    </row>
    <row r="950" spans="1:6" s="223" customFormat="1" x14ac:dyDescent="0.25">
      <c r="A950" s="206"/>
      <c r="B950" s="214"/>
      <c r="C950" s="205"/>
      <c r="D950" s="206"/>
      <c r="E950" s="304"/>
      <c r="F950" s="207"/>
    </row>
    <row r="951" spans="1:6" s="223" customFormat="1" x14ac:dyDescent="0.25">
      <c r="A951" s="206"/>
      <c r="B951" s="214"/>
      <c r="C951" s="205"/>
      <c r="D951" s="206"/>
      <c r="E951" s="304"/>
      <c r="F951" s="207"/>
    </row>
    <row r="952" spans="1:6" s="223" customFormat="1" x14ac:dyDescent="0.25">
      <c r="A952" s="206"/>
      <c r="B952" s="214"/>
      <c r="C952" s="205"/>
      <c r="D952" s="206"/>
      <c r="E952" s="304"/>
      <c r="F952" s="207"/>
    </row>
    <row r="953" spans="1:6" s="223" customFormat="1" x14ac:dyDescent="0.25">
      <c r="A953" s="206"/>
      <c r="B953" s="214"/>
      <c r="C953" s="205"/>
      <c r="D953" s="206"/>
      <c r="E953" s="304"/>
      <c r="F953" s="207"/>
    </row>
    <row r="954" spans="1:6" s="223" customFormat="1" x14ac:dyDescent="0.25">
      <c r="A954" s="206"/>
      <c r="B954" s="214"/>
      <c r="C954" s="205"/>
      <c r="D954" s="206"/>
      <c r="E954" s="304"/>
      <c r="F954" s="207"/>
    </row>
    <row r="955" spans="1:6" s="223" customFormat="1" x14ac:dyDescent="0.25">
      <c r="A955" s="206"/>
      <c r="B955" s="214"/>
      <c r="C955" s="205"/>
      <c r="D955" s="206"/>
      <c r="E955" s="304"/>
      <c r="F955" s="207"/>
    </row>
    <row r="979" spans="1:6" s="223" customFormat="1" x14ac:dyDescent="0.25">
      <c r="A979" s="206"/>
      <c r="B979" s="214"/>
      <c r="C979" s="205"/>
      <c r="D979" s="206"/>
      <c r="E979" s="304"/>
      <c r="F979" s="207"/>
    </row>
    <row r="980" spans="1:6" ht="21" customHeight="1" x14ac:dyDescent="0.25"/>
    <row r="1017" spans="1:6" s="223" customFormat="1" x14ac:dyDescent="0.25">
      <c r="A1017" s="206"/>
      <c r="B1017" s="214"/>
      <c r="C1017" s="205"/>
      <c r="D1017" s="206"/>
      <c r="E1017" s="304"/>
      <c r="F1017" s="207"/>
    </row>
    <row r="1018" spans="1:6" s="223" customFormat="1" x14ac:dyDescent="0.25">
      <c r="A1018" s="206"/>
      <c r="B1018" s="214"/>
      <c r="C1018" s="205"/>
      <c r="D1018" s="206"/>
      <c r="E1018" s="304"/>
      <c r="F1018" s="207"/>
    </row>
    <row r="1049" spans="1:6" s="223" customFormat="1" x14ac:dyDescent="0.25">
      <c r="A1049" s="206"/>
      <c r="B1049" s="214"/>
      <c r="C1049" s="205"/>
      <c r="D1049" s="206"/>
      <c r="E1049" s="304"/>
      <c r="F1049" s="207"/>
    </row>
    <row r="1050" spans="1:6" s="223" customFormat="1" x14ac:dyDescent="0.25">
      <c r="A1050" s="206"/>
      <c r="B1050" s="214"/>
      <c r="C1050" s="205"/>
      <c r="D1050" s="206"/>
      <c r="E1050" s="304"/>
      <c r="F1050" s="207"/>
    </row>
  </sheetData>
  <printOptions gridLines="1"/>
  <pageMargins left="0.74803149606299213" right="0.74803149606299213" top="0.98425196850393704" bottom="0.98425196850393704" header="0.51181102362204722" footer="0.51181102362204722"/>
  <pageSetup paperSize="9" scale="74" orientation="portrait" r:id="rId1"/>
  <headerFooter alignWithMargins="0">
    <oddFooter>&amp;R&amp;"Comic Sans MS,Bold Italic"Page /&amp;P</oddFooter>
  </headerFooter>
  <rowBreaks count="22" manualBreakCount="22">
    <brk id="31" max="5" man="1"/>
    <brk id="72" max="5" man="1"/>
    <brk id="111" max="5" man="1"/>
    <brk id="156" max="5" man="1"/>
    <brk id="201" max="5" man="1"/>
    <brk id="247" max="5" man="1"/>
    <brk id="292" max="5" man="1"/>
    <brk id="337" max="5" man="1"/>
    <brk id="383" max="5" man="1"/>
    <brk id="428" max="5" man="1"/>
    <brk id="472" max="5" man="1"/>
    <brk id="516" max="5" man="1"/>
    <brk id="561" max="5" man="1"/>
    <brk id="606" max="5" man="1"/>
    <brk id="645" max="5" man="1"/>
    <brk id="680" max="5" man="1"/>
    <brk id="716" max="5" man="1"/>
    <brk id="752" max="5" man="1"/>
    <brk id="790" max="5" man="1"/>
    <brk id="819" max="5" man="1"/>
    <brk id="854" max="5" man="1"/>
    <brk id="885"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2954-80F7-477E-A26E-AB78C3934D0E}">
  <dimension ref="A1:J29"/>
  <sheetViews>
    <sheetView view="pageBreakPreview" topLeftCell="A4" zoomScaleNormal="96" zoomScaleSheetLayoutView="100" workbookViewId="0">
      <selection activeCell="E15" sqref="E15"/>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1103</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ht="26.25" customHeight="1"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t="26.25" hidden="1" customHeight="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4A87-8000-4AE6-81E8-B74811DBA0AB}">
  <dimension ref="A1:S1071"/>
  <sheetViews>
    <sheetView view="pageBreakPreview" topLeftCell="A418" zoomScale="120" zoomScaleNormal="100" zoomScaleSheetLayoutView="120" workbookViewId="0">
      <selection activeCell="C812" sqref="C812"/>
    </sheetView>
  </sheetViews>
  <sheetFormatPr defaultColWidth="9.140625" defaultRowHeight="16.5" x14ac:dyDescent="0.25"/>
  <cols>
    <col min="1" max="1" width="4.85546875" style="206" bestFit="1" customWidth="1"/>
    <col min="2" max="2" width="46.7109375" style="214" customWidth="1"/>
    <col min="3" max="3" width="9.5703125" style="205" bestFit="1" customWidth="1"/>
    <col min="4" max="4" width="6.85546875" style="206" bestFit="1" customWidth="1"/>
    <col min="5" max="5" width="16" style="304" bestFit="1" customWidth="1"/>
    <col min="6" max="6" width="17.5703125" style="207" bestFit="1" customWidth="1"/>
    <col min="7" max="7" width="9.28515625" style="208" customWidth="1"/>
    <col min="8" max="9" width="9.140625" style="208"/>
    <col min="10" max="10" width="12.5703125" style="208" bestFit="1" customWidth="1"/>
    <col min="11" max="11" width="9.140625" style="208"/>
    <col min="12" max="12" width="12.42578125" style="208" bestFit="1" customWidth="1"/>
    <col min="13" max="16384" width="9.140625" style="208"/>
  </cols>
  <sheetData>
    <row r="1" spans="1:6" x14ac:dyDescent="0.25">
      <c r="A1" s="209" t="s">
        <v>796</v>
      </c>
      <c r="B1" s="220" t="s">
        <v>913</v>
      </c>
      <c r="C1" s="221" t="s">
        <v>773</v>
      </c>
      <c r="D1" s="209" t="s">
        <v>765</v>
      </c>
      <c r="E1" s="303" t="s">
        <v>914</v>
      </c>
      <c r="F1" s="222" t="s">
        <v>768</v>
      </c>
    </row>
    <row r="2" spans="1:6" x14ac:dyDescent="0.25">
      <c r="A2" s="203"/>
      <c r="B2" s="204" t="s">
        <v>508</v>
      </c>
    </row>
    <row r="3" spans="1:6" x14ac:dyDescent="0.25">
      <c r="B3" s="209"/>
    </row>
    <row r="4" spans="1:6" x14ac:dyDescent="0.25">
      <c r="B4" s="210" t="s">
        <v>509</v>
      </c>
    </row>
    <row r="5" spans="1:6" x14ac:dyDescent="0.25">
      <c r="B5" s="210"/>
    </row>
    <row r="6" spans="1:6" s="214" customFormat="1" x14ac:dyDescent="0.25">
      <c r="A6" s="206"/>
      <c r="B6" s="211" t="s">
        <v>44</v>
      </c>
      <c r="C6" s="205"/>
      <c r="D6" s="206"/>
      <c r="E6" s="304"/>
      <c r="F6" s="212"/>
    </row>
    <row r="7" spans="1:6" s="214" customFormat="1" ht="15" x14ac:dyDescent="0.25">
      <c r="A7" s="206"/>
      <c r="C7" s="205"/>
      <c r="D7" s="206"/>
      <c r="E7" s="304"/>
      <c r="F7" s="212"/>
    </row>
    <row r="8" spans="1:6" ht="17.25" customHeight="1" x14ac:dyDescent="0.25">
      <c r="B8" s="211" t="s">
        <v>510</v>
      </c>
    </row>
    <row r="9" spans="1:6" ht="40.5" customHeight="1" x14ac:dyDescent="0.25">
      <c r="A9" s="206" t="s">
        <v>2</v>
      </c>
      <c r="B9" s="215" t="s">
        <v>45</v>
      </c>
      <c r="C9" s="205">
        <v>672</v>
      </c>
      <c r="D9" s="206" t="s">
        <v>511</v>
      </c>
      <c r="E9" s="304">
        <v>500</v>
      </c>
      <c r="F9" s="207">
        <f t="shared" ref="F9:F18" si="0">C9*E9</f>
        <v>336000</v>
      </c>
    </row>
    <row r="10" spans="1:6" ht="51.75" customHeight="1" x14ac:dyDescent="0.25">
      <c r="A10" s="206" t="s">
        <v>4</v>
      </c>
      <c r="B10" s="215" t="s">
        <v>512</v>
      </c>
      <c r="C10" s="205">
        <v>166</v>
      </c>
      <c r="D10" s="206" t="s">
        <v>513</v>
      </c>
      <c r="E10" s="304">
        <v>1900</v>
      </c>
      <c r="F10" s="207">
        <f t="shared" si="0"/>
        <v>315400</v>
      </c>
    </row>
    <row r="11" spans="1:6" ht="45" customHeight="1" x14ac:dyDescent="0.25">
      <c r="A11" s="206" t="s">
        <v>5</v>
      </c>
      <c r="B11" s="215" t="s">
        <v>49</v>
      </c>
      <c r="C11" s="205">
        <v>104</v>
      </c>
      <c r="D11" s="206" t="s">
        <v>513</v>
      </c>
      <c r="E11" s="304">
        <f>E10</f>
        <v>1900</v>
      </c>
      <c r="F11" s="207">
        <f t="shared" si="0"/>
        <v>197600</v>
      </c>
    </row>
    <row r="12" spans="1:6" ht="55.5" customHeight="1" x14ac:dyDescent="0.25">
      <c r="A12" s="206" t="s">
        <v>6</v>
      </c>
      <c r="B12" s="215" t="s">
        <v>514</v>
      </c>
      <c r="D12" s="206" t="s">
        <v>513</v>
      </c>
      <c r="E12" s="304">
        <f>E10</f>
        <v>1900</v>
      </c>
      <c r="F12" s="207">
        <f t="shared" si="0"/>
        <v>0</v>
      </c>
    </row>
    <row r="13" spans="1:6" ht="30.75" customHeight="1" x14ac:dyDescent="0.25">
      <c r="A13" s="206" t="s">
        <v>7</v>
      </c>
      <c r="B13" s="215" t="s">
        <v>19</v>
      </c>
      <c r="C13" s="205">
        <v>210</v>
      </c>
      <c r="D13" s="206" t="s">
        <v>511</v>
      </c>
      <c r="E13" s="304">
        <f>'[31]AJIWE STRIP MALL '!E49</f>
        <v>250</v>
      </c>
      <c r="F13" s="207">
        <f t="shared" si="0"/>
        <v>52500</v>
      </c>
    </row>
    <row r="14" spans="1:6" ht="30.75" customHeight="1" x14ac:dyDescent="0.25">
      <c r="A14" s="206" t="s">
        <v>8</v>
      </c>
      <c r="B14" s="215" t="s">
        <v>515</v>
      </c>
      <c r="C14" s="205">
        <v>158</v>
      </c>
      <c r="D14" s="206" t="s">
        <v>513</v>
      </c>
      <c r="E14" s="304">
        <v>1400</v>
      </c>
      <c r="F14" s="207">
        <f t="shared" si="0"/>
        <v>221200</v>
      </c>
    </row>
    <row r="15" spans="1:6" ht="44.25" customHeight="1" x14ac:dyDescent="0.25">
      <c r="A15" s="206" t="s">
        <v>9</v>
      </c>
      <c r="B15" s="215" t="s">
        <v>516</v>
      </c>
      <c r="C15" s="205">
        <v>112</v>
      </c>
      <c r="D15" s="206" t="s">
        <v>513</v>
      </c>
      <c r="E15" s="304">
        <v>900</v>
      </c>
      <c r="F15" s="207">
        <f t="shared" si="0"/>
        <v>100800</v>
      </c>
    </row>
    <row r="16" spans="1:6" ht="44.25" customHeight="1" x14ac:dyDescent="0.25">
      <c r="A16" s="206" t="s">
        <v>10</v>
      </c>
      <c r="B16" s="218" t="s">
        <v>802</v>
      </c>
      <c r="C16" s="205">
        <v>72</v>
      </c>
      <c r="D16" s="206" t="s">
        <v>513</v>
      </c>
      <c r="E16" s="304">
        <v>6500</v>
      </c>
      <c r="F16" s="207">
        <f>C16*E16</f>
        <v>468000</v>
      </c>
    </row>
    <row r="17" spans="1:6" ht="36" customHeight="1" x14ac:dyDescent="0.25">
      <c r="A17" s="206" t="s">
        <v>11</v>
      </c>
      <c r="B17" s="215" t="s">
        <v>663</v>
      </c>
      <c r="C17" s="205">
        <v>36</v>
      </c>
      <c r="D17" s="206" t="s">
        <v>511</v>
      </c>
      <c r="E17" s="304">
        <v>4500</v>
      </c>
      <c r="F17" s="207">
        <f t="shared" si="0"/>
        <v>162000</v>
      </c>
    </row>
    <row r="18" spans="1:6" ht="36" customHeight="1" x14ac:dyDescent="0.25">
      <c r="A18" s="206" t="s">
        <v>12</v>
      </c>
      <c r="B18" s="215" t="s">
        <v>517</v>
      </c>
      <c r="D18" s="206" t="s">
        <v>511</v>
      </c>
      <c r="E18" s="304">
        <f>'[31]AJIWE STRIP MALL '!E54</f>
        <v>150</v>
      </c>
      <c r="F18" s="207">
        <f t="shared" si="0"/>
        <v>0</v>
      </c>
    </row>
    <row r="19" spans="1:6" x14ac:dyDescent="0.25">
      <c r="B19" s="211" t="s">
        <v>98</v>
      </c>
    </row>
    <row r="20" spans="1:6" ht="17.25" customHeight="1" x14ac:dyDescent="0.25">
      <c r="B20" s="219" t="s">
        <v>664</v>
      </c>
    </row>
    <row r="21" spans="1:6" ht="17.25" customHeight="1" x14ac:dyDescent="0.25">
      <c r="A21" s="206" t="s">
        <v>13</v>
      </c>
      <c r="B21" s="214" t="s">
        <v>803</v>
      </c>
      <c r="C21" s="205">
        <v>420</v>
      </c>
      <c r="D21" s="206" t="s">
        <v>511</v>
      </c>
      <c r="E21" s="304">
        <v>6500</v>
      </c>
      <c r="F21" s="207">
        <f>C21*E21</f>
        <v>2730000</v>
      </c>
    </row>
    <row r="22" spans="1:6" ht="17.25" customHeight="1" x14ac:dyDescent="0.25"/>
    <row r="23" spans="1:6" ht="17.25" customHeight="1" x14ac:dyDescent="0.25"/>
    <row r="24" spans="1:6" ht="17.25" customHeight="1" x14ac:dyDescent="0.25"/>
    <row r="25" spans="1:6" ht="17.25" customHeight="1" x14ac:dyDescent="0.25"/>
    <row r="26" spans="1:6" ht="17.25" customHeight="1" x14ac:dyDescent="0.25"/>
    <row r="27" spans="1:6" ht="17.25" customHeight="1" x14ac:dyDescent="0.25"/>
    <row r="28" spans="1:6" ht="17.25" customHeight="1" x14ac:dyDescent="0.25"/>
    <row r="29" spans="1:6" ht="17.25" customHeight="1" x14ac:dyDescent="0.25"/>
    <row r="30" spans="1:6" ht="17.25" customHeight="1" x14ac:dyDescent="0.25"/>
    <row r="31" spans="1:6" ht="17.25" customHeight="1" x14ac:dyDescent="0.25">
      <c r="B31" s="220" t="s">
        <v>520</v>
      </c>
      <c r="C31" s="221"/>
      <c r="D31" s="209"/>
      <c r="E31" s="303" t="s">
        <v>15</v>
      </c>
      <c r="F31" s="285">
        <f>SUM(F9:F21)</f>
        <v>4583500</v>
      </c>
    </row>
    <row r="32" spans="1:6" x14ac:dyDescent="0.25">
      <c r="A32" s="209" t="s">
        <v>796</v>
      </c>
      <c r="B32" s="209" t="s">
        <v>913</v>
      </c>
      <c r="C32" s="221" t="s">
        <v>773</v>
      </c>
      <c r="D32" s="209" t="s">
        <v>765</v>
      </c>
      <c r="E32" s="303" t="s">
        <v>914</v>
      </c>
      <c r="F32" s="273" t="s">
        <v>768</v>
      </c>
    </row>
    <row r="33" spans="1:6" s="223" customFormat="1" ht="17.25" customHeight="1" x14ac:dyDescent="0.25">
      <c r="A33" s="209"/>
      <c r="B33" s="210" t="s">
        <v>521</v>
      </c>
      <c r="C33" s="221"/>
      <c r="D33" s="209"/>
      <c r="E33" s="303"/>
      <c r="F33" s="222"/>
    </row>
    <row r="34" spans="1:6" ht="30.75" customHeight="1" x14ac:dyDescent="0.25">
      <c r="B34" s="219" t="s">
        <v>522</v>
      </c>
    </row>
    <row r="35" spans="1:6" ht="22.9" customHeight="1" x14ac:dyDescent="0.25">
      <c r="B35" s="219" t="s">
        <v>916</v>
      </c>
    </row>
    <row r="36" spans="1:6" ht="22.5" customHeight="1" x14ac:dyDescent="0.25">
      <c r="A36" s="206" t="s">
        <v>2</v>
      </c>
      <c r="B36" s="214" t="s">
        <v>910</v>
      </c>
      <c r="C36" s="205">
        <v>28</v>
      </c>
      <c r="D36" s="206" t="s">
        <v>513</v>
      </c>
      <c r="E36" s="304">
        <v>95000</v>
      </c>
      <c r="F36" s="207">
        <f>C36*E36</f>
        <v>2660000</v>
      </c>
    </row>
    <row r="37" spans="1:6" ht="21.75" customHeight="1" x14ac:dyDescent="0.25">
      <c r="A37" s="206" t="s">
        <v>4</v>
      </c>
      <c r="B37" s="214" t="s">
        <v>519</v>
      </c>
      <c r="C37" s="205">
        <v>44</v>
      </c>
      <c r="D37" s="206" t="s">
        <v>513</v>
      </c>
      <c r="E37" s="304">
        <f>E36</f>
        <v>95000</v>
      </c>
      <c r="F37" s="207">
        <f>C37*E37</f>
        <v>4180000</v>
      </c>
    </row>
    <row r="38" spans="1:6" s="214" customFormat="1" ht="15" x14ac:dyDescent="0.3">
      <c r="A38" s="535"/>
      <c r="B38" s="541"/>
      <c r="C38" s="537"/>
      <c r="D38" s="538"/>
      <c r="E38" s="648"/>
      <c r="F38" s="540"/>
    </row>
    <row r="39" spans="1:6" s="214" customFormat="1" ht="15" x14ac:dyDescent="0.3">
      <c r="A39" s="535"/>
      <c r="B39" s="536" t="s">
        <v>797</v>
      </c>
      <c r="C39" s="537"/>
      <c r="D39" s="538"/>
      <c r="E39" s="648"/>
      <c r="F39" s="540"/>
    </row>
    <row r="40" spans="1:6" s="214" customFormat="1" ht="30" x14ac:dyDescent="0.3">
      <c r="A40" s="535"/>
      <c r="B40" s="542" t="s">
        <v>915</v>
      </c>
      <c r="C40" s="537"/>
      <c r="D40" s="538"/>
      <c r="E40" s="648"/>
      <c r="F40" s="540"/>
    </row>
    <row r="41" spans="1:6" s="214" customFormat="1" ht="14.25" customHeight="1" x14ac:dyDescent="0.3">
      <c r="A41" s="535"/>
      <c r="B41" s="541"/>
      <c r="C41" s="537"/>
      <c r="D41" s="538"/>
      <c r="E41" s="648"/>
      <c r="F41" s="540"/>
    </row>
    <row r="42" spans="1:6" s="214" customFormat="1" ht="15" x14ac:dyDescent="0.3">
      <c r="A42" s="535" t="s">
        <v>5</v>
      </c>
      <c r="B42" s="543" t="s">
        <v>912</v>
      </c>
      <c r="C42" s="537">
        <v>32</v>
      </c>
      <c r="D42" s="538" t="s">
        <v>47</v>
      </c>
      <c r="E42" s="648">
        <v>95000</v>
      </c>
      <c r="F42" s="540">
        <f>E42*C42</f>
        <v>3040000</v>
      </c>
    </row>
    <row r="43" spans="1:6" s="214" customFormat="1" ht="15" x14ac:dyDescent="0.3">
      <c r="A43" s="535" t="s">
        <v>6</v>
      </c>
      <c r="B43" s="543" t="s">
        <v>917</v>
      </c>
      <c r="C43" s="537">
        <v>2</v>
      </c>
      <c r="D43" s="538" t="s">
        <v>47</v>
      </c>
      <c r="E43" s="648">
        <f>E42</f>
        <v>95000</v>
      </c>
      <c r="F43" s="540">
        <f>E43*C43</f>
        <v>190000</v>
      </c>
    </row>
    <row r="44" spans="1:6" s="214" customFormat="1" ht="10.15" customHeight="1" x14ac:dyDescent="0.35">
      <c r="A44" s="535"/>
      <c r="B44" s="544"/>
      <c r="C44" s="537"/>
      <c r="D44" s="538"/>
      <c r="E44" s="648"/>
      <c r="F44" s="540"/>
    </row>
    <row r="45" spans="1:6" s="214" customFormat="1" ht="15" x14ac:dyDescent="0.3">
      <c r="A45" s="535"/>
      <c r="B45" s="536" t="s">
        <v>798</v>
      </c>
      <c r="C45" s="537"/>
      <c r="D45" s="538"/>
      <c r="E45" s="648"/>
      <c r="F45" s="540"/>
    </row>
    <row r="46" spans="1:6" s="214" customFormat="1" ht="15" x14ac:dyDescent="0.3">
      <c r="A46" s="535"/>
      <c r="B46" s="536" t="s">
        <v>102</v>
      </c>
      <c r="C46" s="537"/>
      <c r="D46" s="538"/>
      <c r="E46" s="648"/>
      <c r="F46" s="540"/>
    </row>
    <row r="47" spans="1:6" s="214" customFormat="1" ht="15" x14ac:dyDescent="0.3">
      <c r="A47" s="535"/>
      <c r="B47" s="536" t="s">
        <v>799</v>
      </c>
      <c r="C47" s="537"/>
      <c r="D47" s="538"/>
      <c r="E47" s="648"/>
      <c r="F47" s="540"/>
    </row>
    <row r="48" spans="1:6" s="214" customFormat="1" ht="11.65" customHeight="1" x14ac:dyDescent="0.3">
      <c r="A48" s="535"/>
      <c r="B48" s="543"/>
      <c r="C48" s="537"/>
      <c r="D48" s="538"/>
      <c r="E48" s="648"/>
      <c r="F48" s="540"/>
    </row>
    <row r="49" spans="1:6" s="214" customFormat="1" ht="15" x14ac:dyDescent="0.3">
      <c r="A49" s="535" t="s">
        <v>7</v>
      </c>
      <c r="B49" s="543" t="s">
        <v>1013</v>
      </c>
      <c r="C49" s="537">
        <v>1344</v>
      </c>
      <c r="D49" s="538" t="s">
        <v>75</v>
      </c>
      <c r="E49" s="648">
        <v>1450</v>
      </c>
      <c r="F49" s="540">
        <f>E49*C49</f>
        <v>1948800</v>
      </c>
    </row>
    <row r="50" spans="1:6" s="214" customFormat="1" ht="15" x14ac:dyDescent="0.3">
      <c r="A50" s="535" t="s">
        <v>8</v>
      </c>
      <c r="B50" s="543" t="s">
        <v>918</v>
      </c>
      <c r="C50" s="537">
        <f>0*10</f>
        <v>0</v>
      </c>
      <c r="D50" s="538" t="s">
        <v>75</v>
      </c>
      <c r="E50" s="648">
        <f>E49</f>
        <v>1450</v>
      </c>
      <c r="F50" s="540">
        <f>E50*C50</f>
        <v>0</v>
      </c>
    </row>
    <row r="51" spans="1:6" s="214" customFormat="1" ht="15" x14ac:dyDescent="0.3">
      <c r="A51" s="535" t="s">
        <v>9</v>
      </c>
      <c r="B51" s="543" t="s">
        <v>903</v>
      </c>
      <c r="C51" s="537"/>
      <c r="D51" s="538" t="s">
        <v>75</v>
      </c>
      <c r="E51" s="648">
        <f>E49</f>
        <v>1450</v>
      </c>
      <c r="F51" s="540">
        <f>E51*C51</f>
        <v>0</v>
      </c>
    </row>
    <row r="52" spans="1:6" s="214" customFormat="1" ht="15" x14ac:dyDescent="0.3">
      <c r="A52" s="535" t="s">
        <v>10</v>
      </c>
      <c r="B52" s="543" t="s">
        <v>919</v>
      </c>
      <c r="C52" s="537">
        <v>530</v>
      </c>
      <c r="D52" s="538" t="s">
        <v>75</v>
      </c>
      <c r="E52" s="648">
        <f>E51</f>
        <v>1450</v>
      </c>
      <c r="F52" s="540">
        <f>E52*C52</f>
        <v>768500</v>
      </c>
    </row>
    <row r="53" spans="1:6" s="214" customFormat="1" ht="15" x14ac:dyDescent="0.3">
      <c r="A53" s="535" t="s">
        <v>11</v>
      </c>
      <c r="B53" s="543" t="s">
        <v>922</v>
      </c>
      <c r="C53" s="537">
        <v>176</v>
      </c>
      <c r="D53" s="538" t="s">
        <v>75</v>
      </c>
      <c r="E53" s="648">
        <f>E52</f>
        <v>1450</v>
      </c>
      <c r="F53" s="540">
        <f>E53*C53</f>
        <v>255200</v>
      </c>
    </row>
    <row r="54" spans="1:6" s="214" customFormat="1" ht="12.4" customHeight="1" x14ac:dyDescent="0.3">
      <c r="A54" s="535"/>
      <c r="B54" s="543"/>
      <c r="C54" s="537"/>
      <c r="D54" s="538"/>
      <c r="E54" s="648"/>
      <c r="F54" s="540"/>
    </row>
    <row r="55" spans="1:6" s="214" customFormat="1" ht="15" x14ac:dyDescent="0.3">
      <c r="A55" s="535"/>
      <c r="B55" s="536" t="s">
        <v>67</v>
      </c>
      <c r="C55" s="537"/>
      <c r="D55" s="538"/>
      <c r="E55" s="648"/>
      <c r="F55" s="540"/>
    </row>
    <row r="56" spans="1:6" s="214" customFormat="1" ht="15" x14ac:dyDescent="0.3">
      <c r="A56" s="535"/>
      <c r="B56" s="536" t="s">
        <v>800</v>
      </c>
      <c r="C56" s="537"/>
      <c r="D56" s="538"/>
      <c r="E56" s="648"/>
      <c r="F56" s="540"/>
    </row>
    <row r="57" spans="1:6" s="214" customFormat="1" ht="13.9" customHeight="1" x14ac:dyDescent="0.3">
      <c r="A57" s="535"/>
      <c r="B57" s="543"/>
      <c r="C57" s="537"/>
      <c r="D57" s="538"/>
      <c r="E57" s="648"/>
      <c r="F57" s="540"/>
    </row>
    <row r="58" spans="1:6" s="214" customFormat="1" ht="15" x14ac:dyDescent="0.3">
      <c r="A58" s="535" t="s">
        <v>12</v>
      </c>
      <c r="B58" s="543" t="s">
        <v>920</v>
      </c>
      <c r="C58" s="537">
        <v>76</v>
      </c>
      <c r="D58" s="538" t="s">
        <v>35</v>
      </c>
      <c r="E58" s="648">
        <v>8500</v>
      </c>
      <c r="F58" s="540">
        <f>E58*C58</f>
        <v>646000</v>
      </c>
    </row>
    <row r="59" spans="1:6" s="214" customFormat="1" ht="15" x14ac:dyDescent="0.3">
      <c r="A59" s="535" t="s">
        <v>13</v>
      </c>
      <c r="B59" s="543" t="s">
        <v>921</v>
      </c>
      <c r="C59" s="537">
        <v>2</v>
      </c>
      <c r="D59" s="538" t="s">
        <v>35</v>
      </c>
      <c r="E59" s="648">
        <f>E58</f>
        <v>8500</v>
      </c>
      <c r="F59" s="540">
        <f>E59*C59</f>
        <v>17000</v>
      </c>
    </row>
    <row r="60" spans="1:6" s="214" customFormat="1" ht="15" x14ac:dyDescent="0.3">
      <c r="A60" s="535"/>
      <c r="B60" s="543"/>
      <c r="C60" s="537"/>
      <c r="D60" s="538"/>
      <c r="E60" s="648"/>
      <c r="F60" s="540"/>
    </row>
    <row r="61" spans="1:6" ht="49.5" customHeight="1" x14ac:dyDescent="0.25">
      <c r="B61" s="224" t="s">
        <v>524</v>
      </c>
    </row>
    <row r="62" spans="1:6" ht="20.25" customHeight="1" x14ac:dyDescent="0.25">
      <c r="A62" s="206" t="s">
        <v>14</v>
      </c>
      <c r="B62" s="218" t="s">
        <v>39</v>
      </c>
      <c r="C62" s="205">
        <v>288</v>
      </c>
      <c r="D62" s="206" t="s">
        <v>511</v>
      </c>
      <c r="E62" s="304">
        <v>2000</v>
      </c>
      <c r="F62" s="207">
        <f>C62*E62</f>
        <v>576000</v>
      </c>
    </row>
    <row r="63" spans="1:6" x14ac:dyDescent="0.25">
      <c r="B63" s="218"/>
    </row>
    <row r="64" spans="1:6" ht="21" customHeight="1" x14ac:dyDescent="0.25">
      <c r="B64" s="211" t="s">
        <v>67</v>
      </c>
    </row>
    <row r="65" spans="1:6" ht="24.75" customHeight="1" x14ac:dyDescent="0.25">
      <c r="B65" s="219" t="s">
        <v>120</v>
      </c>
    </row>
    <row r="66" spans="1:6" ht="21.75" customHeight="1" x14ac:dyDescent="0.25">
      <c r="A66" s="206" t="s">
        <v>15</v>
      </c>
      <c r="B66" s="214" t="s">
        <v>911</v>
      </c>
      <c r="C66" s="205">
        <v>102</v>
      </c>
      <c r="D66" s="206" t="s">
        <v>511</v>
      </c>
      <c r="E66" s="304">
        <v>8500</v>
      </c>
      <c r="F66" s="207">
        <f>C66*E66</f>
        <v>867000</v>
      </c>
    </row>
    <row r="67" spans="1:6" ht="21.75" customHeight="1" x14ac:dyDescent="0.25"/>
    <row r="68" spans="1:6" ht="21.75" customHeight="1" x14ac:dyDescent="0.25"/>
    <row r="69" spans="1:6" ht="23.25" customHeight="1" x14ac:dyDescent="0.25"/>
    <row r="72" spans="1:6" x14ac:dyDescent="0.25">
      <c r="B72" s="225" t="s">
        <v>525</v>
      </c>
      <c r="E72" s="303" t="s">
        <v>15</v>
      </c>
      <c r="F72" s="222">
        <f>SUM(F35:F71)</f>
        <v>15148500</v>
      </c>
    </row>
    <row r="73" spans="1:6" x14ac:dyDescent="0.25">
      <c r="A73" s="209" t="s">
        <v>796</v>
      </c>
      <c r="B73" s="209" t="s">
        <v>913</v>
      </c>
      <c r="C73" s="221" t="s">
        <v>773</v>
      </c>
      <c r="D73" s="209" t="s">
        <v>765</v>
      </c>
      <c r="E73" s="303" t="s">
        <v>914</v>
      </c>
      <c r="F73" s="273" t="s">
        <v>768</v>
      </c>
    </row>
    <row r="74" spans="1:6" x14ac:dyDescent="0.25">
      <c r="B74" s="210" t="s">
        <v>521</v>
      </c>
    </row>
    <row r="75" spans="1:6" x14ac:dyDescent="0.25">
      <c r="B75" s="210"/>
    </row>
    <row r="76" spans="1:6" x14ac:dyDescent="0.25">
      <c r="B76" s="211" t="s">
        <v>84</v>
      </c>
      <c r="C76" s="221"/>
      <c r="D76" s="209"/>
      <c r="E76" s="303"/>
      <c r="F76" s="286"/>
    </row>
    <row r="77" spans="1:6" x14ac:dyDescent="0.25">
      <c r="B77" s="226"/>
      <c r="C77" s="221"/>
      <c r="D77" s="209"/>
      <c r="E77" s="303"/>
      <c r="F77" s="286"/>
    </row>
    <row r="78" spans="1:6" ht="57.75" customHeight="1" x14ac:dyDescent="0.25">
      <c r="B78" s="224" t="s">
        <v>526</v>
      </c>
      <c r="C78" s="221"/>
      <c r="D78" s="209"/>
      <c r="E78" s="303"/>
      <c r="F78" s="286"/>
    </row>
    <row r="79" spans="1:6" x14ac:dyDescent="0.25">
      <c r="B79" s="224"/>
      <c r="C79" s="221"/>
      <c r="D79" s="209"/>
      <c r="E79" s="303"/>
      <c r="F79" s="286"/>
    </row>
    <row r="80" spans="1:6" x14ac:dyDescent="0.25">
      <c r="A80" s="206" t="s">
        <v>2</v>
      </c>
      <c r="B80" s="218" t="s">
        <v>527</v>
      </c>
      <c r="C80" s="205">
        <v>312</v>
      </c>
      <c r="D80" s="206" t="s">
        <v>511</v>
      </c>
      <c r="E80" s="304">
        <v>13000</v>
      </c>
      <c r="F80" s="207">
        <f>C80*E80</f>
        <v>4056000</v>
      </c>
    </row>
    <row r="82" spans="1:6" x14ac:dyDescent="0.25">
      <c r="B82" s="219" t="s">
        <v>528</v>
      </c>
      <c r="F82" s="227"/>
    </row>
    <row r="83" spans="1:6" x14ac:dyDescent="0.25">
      <c r="B83" s="219" t="s">
        <v>529</v>
      </c>
      <c r="F83" s="227"/>
    </row>
    <row r="84" spans="1:6" x14ac:dyDescent="0.25">
      <c r="F84" s="227"/>
    </row>
    <row r="85" spans="1:6" ht="29.25" customHeight="1" x14ac:dyDescent="0.25">
      <c r="A85" s="206" t="s">
        <v>4</v>
      </c>
      <c r="B85" s="215" t="s">
        <v>530</v>
      </c>
      <c r="C85" s="205">
        <f>C62</f>
        <v>288</v>
      </c>
      <c r="D85" s="206" t="s">
        <v>511</v>
      </c>
      <c r="E85" s="304">
        <v>650</v>
      </c>
      <c r="F85" s="207">
        <f>C85*E85</f>
        <v>187200</v>
      </c>
    </row>
    <row r="86" spans="1:6" x14ac:dyDescent="0.25">
      <c r="B86" s="215"/>
      <c r="F86" s="227"/>
    </row>
    <row r="87" spans="1:6" x14ac:dyDescent="0.25">
      <c r="B87" s="228"/>
      <c r="F87" s="227"/>
    </row>
    <row r="88" spans="1:6" ht="29.25" customHeight="1" x14ac:dyDescent="0.25">
      <c r="B88" s="228" t="s">
        <v>923</v>
      </c>
      <c r="C88" s="214"/>
      <c r="D88" s="389"/>
      <c r="E88" s="231"/>
    </row>
    <row r="89" spans="1:6" ht="29.25" customHeight="1" x14ac:dyDescent="0.25">
      <c r="A89" s="206" t="s">
        <v>5</v>
      </c>
      <c r="B89" s="215" t="s">
        <v>924</v>
      </c>
      <c r="C89" s="391">
        <v>11</v>
      </c>
      <c r="D89" s="206" t="s">
        <v>511</v>
      </c>
      <c r="E89" s="639">
        <v>9500</v>
      </c>
      <c r="F89" s="207">
        <f>C89*E89</f>
        <v>104500</v>
      </c>
    </row>
    <row r="90" spans="1:6" ht="29.25" customHeight="1" x14ac:dyDescent="0.25">
      <c r="A90" s="206" t="s">
        <v>6</v>
      </c>
      <c r="B90" s="215" t="s">
        <v>925</v>
      </c>
      <c r="C90" s="391">
        <v>1</v>
      </c>
      <c r="D90" s="206" t="s">
        <v>511</v>
      </c>
      <c r="E90" s="639">
        <f>E89*0.3</f>
        <v>2850</v>
      </c>
      <c r="F90" s="207">
        <f>C90*E90</f>
        <v>2850</v>
      </c>
    </row>
    <row r="91" spans="1:6" ht="35.25" customHeight="1" x14ac:dyDescent="0.25">
      <c r="B91" s="215"/>
      <c r="F91" s="229"/>
    </row>
    <row r="92" spans="1:6" x14ac:dyDescent="0.25">
      <c r="B92" s="215"/>
      <c r="F92" s="227"/>
    </row>
    <row r="93" spans="1:6" ht="18.75" customHeight="1" x14ac:dyDescent="0.25">
      <c r="B93" s="225" t="s">
        <v>525</v>
      </c>
      <c r="E93" s="303" t="s">
        <v>15</v>
      </c>
      <c r="F93" s="222">
        <f>SUM(F76:F92)</f>
        <v>4350550</v>
      </c>
    </row>
    <row r="94" spans="1:6" x14ac:dyDescent="0.25">
      <c r="B94" s="215"/>
      <c r="F94" s="227"/>
    </row>
    <row r="95" spans="1:6" x14ac:dyDescent="0.25">
      <c r="B95" s="225"/>
      <c r="E95" s="303"/>
      <c r="F95" s="285"/>
    </row>
    <row r="96" spans="1:6" x14ac:dyDescent="0.25">
      <c r="B96" s="211" t="s">
        <v>531</v>
      </c>
      <c r="E96" s="303"/>
      <c r="F96" s="285"/>
    </row>
    <row r="97" spans="1:6" x14ac:dyDescent="0.25">
      <c r="B97" s="231" t="s">
        <v>451</v>
      </c>
      <c r="E97" s="304">
        <f>F31</f>
        <v>4583500</v>
      </c>
      <c r="F97" s="230"/>
    </row>
    <row r="98" spans="1:6" x14ac:dyDescent="0.25">
      <c r="B98" s="232"/>
      <c r="F98" s="230"/>
    </row>
    <row r="99" spans="1:6" x14ac:dyDescent="0.25">
      <c r="B99" s="231" t="s">
        <v>452</v>
      </c>
      <c r="E99" s="304">
        <f>F72</f>
        <v>15148500</v>
      </c>
      <c r="F99" s="230"/>
    </row>
    <row r="100" spans="1:6" x14ac:dyDescent="0.25">
      <c r="B100" s="231"/>
      <c r="F100" s="230"/>
    </row>
    <row r="101" spans="1:6" x14ac:dyDescent="0.25">
      <c r="B101" s="231" t="s">
        <v>454</v>
      </c>
      <c r="E101" s="304">
        <f>F93</f>
        <v>4350550</v>
      </c>
      <c r="F101" s="230"/>
    </row>
    <row r="102" spans="1:6" x14ac:dyDescent="0.25">
      <c r="B102" s="233"/>
      <c r="F102" s="230"/>
    </row>
    <row r="103" spans="1:6" x14ac:dyDescent="0.25">
      <c r="B103" s="233"/>
      <c r="F103" s="230"/>
    </row>
    <row r="104" spans="1:6" x14ac:dyDescent="0.25">
      <c r="B104" s="233"/>
      <c r="F104" s="230"/>
    </row>
    <row r="105" spans="1:6" x14ac:dyDescent="0.25">
      <c r="B105" s="233"/>
      <c r="F105" s="230"/>
    </row>
    <row r="106" spans="1:6" x14ac:dyDescent="0.25">
      <c r="B106" s="233"/>
      <c r="F106" s="230"/>
    </row>
    <row r="107" spans="1:6" x14ac:dyDescent="0.25">
      <c r="B107" s="233"/>
      <c r="F107" s="230"/>
    </row>
    <row r="108" spans="1:6" x14ac:dyDescent="0.25">
      <c r="B108" s="233"/>
      <c r="F108" s="230"/>
    </row>
    <row r="109" spans="1:6" x14ac:dyDescent="0.25">
      <c r="B109" s="233"/>
      <c r="F109" s="230"/>
    </row>
    <row r="110" spans="1:6" x14ac:dyDescent="0.25">
      <c r="B110" s="234" t="s">
        <v>533</v>
      </c>
      <c r="C110" s="221"/>
      <c r="D110" s="209"/>
      <c r="F110" s="235"/>
    </row>
    <row r="111" spans="1:6" x14ac:dyDescent="0.25">
      <c r="B111" s="220" t="s">
        <v>534</v>
      </c>
      <c r="C111" s="221"/>
      <c r="D111" s="209"/>
      <c r="E111" s="303" t="s">
        <v>15</v>
      </c>
      <c r="F111" s="286">
        <f>SUM(E97:E102)</f>
        <v>24082550</v>
      </c>
    </row>
    <row r="112" spans="1:6" x14ac:dyDescent="0.25">
      <c r="A112" s="209" t="s">
        <v>796</v>
      </c>
      <c r="B112" s="209" t="s">
        <v>913</v>
      </c>
      <c r="C112" s="221" t="s">
        <v>773</v>
      </c>
      <c r="D112" s="209" t="s">
        <v>765</v>
      </c>
      <c r="E112" s="303" t="s">
        <v>914</v>
      </c>
      <c r="F112" s="273" t="s">
        <v>768</v>
      </c>
    </row>
    <row r="113" spans="1:6" x14ac:dyDescent="0.25">
      <c r="B113" s="204" t="s">
        <v>535</v>
      </c>
    </row>
    <row r="115" spans="1:6" x14ac:dyDescent="0.25">
      <c r="B115" s="210" t="s">
        <v>108</v>
      </c>
    </row>
    <row r="116" spans="1:6" x14ac:dyDescent="0.25">
      <c r="B116" s="210"/>
    </row>
    <row r="117" spans="1:6" x14ac:dyDescent="0.25">
      <c r="B117" s="211" t="s">
        <v>98</v>
      </c>
    </row>
    <row r="119" spans="1:6" x14ac:dyDescent="0.25">
      <c r="B119" s="219" t="s">
        <v>536</v>
      </c>
    </row>
    <row r="120" spans="1:6" x14ac:dyDescent="0.25">
      <c r="B120" s="219"/>
    </row>
    <row r="121" spans="1:6" x14ac:dyDescent="0.25">
      <c r="B121" s="219" t="s">
        <v>666</v>
      </c>
    </row>
    <row r="123" spans="1:6" x14ac:dyDescent="0.25">
      <c r="A123" s="206" t="s">
        <v>2</v>
      </c>
      <c r="B123" s="214" t="s">
        <v>65</v>
      </c>
      <c r="C123" s="205">
        <v>8</v>
      </c>
      <c r="D123" s="206" t="s">
        <v>513</v>
      </c>
      <c r="E123" s="304">
        <f>E42</f>
        <v>95000</v>
      </c>
      <c r="F123" s="207">
        <f>C123*E123</f>
        <v>760000</v>
      </c>
    </row>
    <row r="125" spans="1:6" x14ac:dyDescent="0.25">
      <c r="A125" s="206" t="s">
        <v>4</v>
      </c>
      <c r="B125" s="214" t="s">
        <v>537</v>
      </c>
      <c r="C125" s="205">
        <v>26</v>
      </c>
      <c r="D125" s="206" t="s">
        <v>513</v>
      </c>
      <c r="E125" s="304">
        <f>E123</f>
        <v>95000</v>
      </c>
      <c r="F125" s="207">
        <f>C125*E125</f>
        <v>2470000</v>
      </c>
    </row>
    <row r="127" spans="1:6" x14ac:dyDescent="0.25">
      <c r="A127" s="206" t="s">
        <v>5</v>
      </c>
      <c r="B127" s="214" t="s">
        <v>669</v>
      </c>
      <c r="D127" s="206" t="s">
        <v>513</v>
      </c>
      <c r="E127" s="304">
        <f>E125</f>
        <v>95000</v>
      </c>
      <c r="F127" s="207">
        <f>C127*E127</f>
        <v>0</v>
      </c>
    </row>
    <row r="129" spans="1:6" ht="24.75" customHeight="1" x14ac:dyDescent="0.25">
      <c r="B129" s="211" t="s">
        <v>102</v>
      </c>
    </row>
    <row r="131" spans="1:6" ht="30" x14ac:dyDescent="0.25">
      <c r="B131" s="224" t="s">
        <v>926</v>
      </c>
    </row>
    <row r="132" spans="1:6" x14ac:dyDescent="0.25">
      <c r="B132" s="224"/>
    </row>
    <row r="133" spans="1:6" x14ac:dyDescent="0.25">
      <c r="A133" s="206" t="s">
        <v>6</v>
      </c>
      <c r="B133" s="214" t="s">
        <v>671</v>
      </c>
      <c r="D133" s="206" t="s">
        <v>75</v>
      </c>
      <c r="E133" s="304">
        <f>E49</f>
        <v>1450</v>
      </c>
      <c r="F133" s="207">
        <f>C133*E133</f>
        <v>0</v>
      </c>
    </row>
    <row r="135" spans="1:6" x14ac:dyDescent="0.25">
      <c r="A135" s="206" t="s">
        <v>7</v>
      </c>
      <c r="B135" s="214" t="s">
        <v>538</v>
      </c>
      <c r="C135" s="205">
        <v>1940</v>
      </c>
      <c r="D135" s="206" t="s">
        <v>75</v>
      </c>
      <c r="E135" s="304">
        <f>E133</f>
        <v>1450</v>
      </c>
      <c r="F135" s="207">
        <f>C135*E135</f>
        <v>2813000</v>
      </c>
    </row>
    <row r="137" spans="1:6" x14ac:dyDescent="0.25">
      <c r="A137" s="206" t="s">
        <v>8</v>
      </c>
      <c r="B137" s="214" t="s">
        <v>539</v>
      </c>
      <c r="C137" s="205">
        <v>2538</v>
      </c>
      <c r="D137" s="206" t="s">
        <v>75</v>
      </c>
      <c r="E137" s="304">
        <f>E135</f>
        <v>1450</v>
      </c>
      <c r="F137" s="207">
        <f>C137*E137</f>
        <v>3680100</v>
      </c>
    </row>
    <row r="139" spans="1:6" x14ac:dyDescent="0.25">
      <c r="A139" s="206" t="s">
        <v>9</v>
      </c>
      <c r="B139" s="214" t="s">
        <v>672</v>
      </c>
      <c r="C139" s="205">
        <v>0</v>
      </c>
      <c r="D139" s="206" t="s">
        <v>75</v>
      </c>
      <c r="E139" s="304">
        <f>E133</f>
        <v>1450</v>
      </c>
      <c r="F139" s="207">
        <f>C139*E139</f>
        <v>0</v>
      </c>
    </row>
    <row r="141" spans="1:6" x14ac:dyDescent="0.25">
      <c r="A141" s="206" t="s">
        <v>10</v>
      </c>
      <c r="B141" s="214" t="s">
        <v>523</v>
      </c>
      <c r="C141" s="205">
        <v>1644</v>
      </c>
      <c r="D141" s="206" t="s">
        <v>75</v>
      </c>
      <c r="E141" s="304">
        <f>E137</f>
        <v>1450</v>
      </c>
      <c r="F141" s="207">
        <f>C141*E141</f>
        <v>2383800</v>
      </c>
    </row>
    <row r="143" spans="1:6" x14ac:dyDescent="0.25">
      <c r="B143" s="211" t="s">
        <v>67</v>
      </c>
    </row>
    <row r="145" spans="1:6" x14ac:dyDescent="0.25">
      <c r="B145" s="219" t="s">
        <v>120</v>
      </c>
    </row>
    <row r="147" spans="1:6" x14ac:dyDescent="0.25">
      <c r="A147" s="206" t="s">
        <v>11</v>
      </c>
      <c r="B147" s="214" t="s">
        <v>540</v>
      </c>
      <c r="C147" s="205">
        <v>88</v>
      </c>
      <c r="D147" s="206" t="s">
        <v>511</v>
      </c>
      <c r="E147" s="304">
        <f>E66</f>
        <v>8500</v>
      </c>
      <c r="F147" s="207">
        <f>C147*E147</f>
        <v>748000</v>
      </c>
    </row>
    <row r="149" spans="1:6" x14ac:dyDescent="0.25">
      <c r="A149" s="206" t="s">
        <v>12</v>
      </c>
      <c r="B149" s="214" t="s">
        <v>541</v>
      </c>
      <c r="C149" s="205">
        <v>274</v>
      </c>
      <c r="D149" s="206" t="s">
        <v>511</v>
      </c>
      <c r="E149" s="304">
        <f>E147</f>
        <v>8500</v>
      </c>
      <c r="F149" s="207">
        <f>C149*E149</f>
        <v>2329000</v>
      </c>
    </row>
    <row r="155" spans="1:6" x14ac:dyDescent="0.25">
      <c r="B155" s="210" t="s">
        <v>108</v>
      </c>
    </row>
    <row r="156" spans="1:6" x14ac:dyDescent="0.25">
      <c r="B156" s="220" t="s">
        <v>542</v>
      </c>
      <c r="E156" s="303" t="s">
        <v>15</v>
      </c>
      <c r="F156" s="285">
        <f>SUM(F115:F155)</f>
        <v>15183900</v>
      </c>
    </row>
    <row r="157" spans="1:6" x14ac:dyDescent="0.25">
      <c r="A157" s="209" t="s">
        <v>796</v>
      </c>
      <c r="B157" s="209" t="s">
        <v>913</v>
      </c>
      <c r="C157" s="221" t="s">
        <v>773</v>
      </c>
      <c r="D157" s="209" t="s">
        <v>765</v>
      </c>
      <c r="E157" s="303" t="s">
        <v>914</v>
      </c>
      <c r="F157" s="273" t="s">
        <v>768</v>
      </c>
    </row>
    <row r="158" spans="1:6" x14ac:dyDescent="0.25">
      <c r="B158" s="204" t="s">
        <v>543</v>
      </c>
    </row>
    <row r="160" spans="1:6" x14ac:dyDescent="0.25">
      <c r="B160" s="210" t="s">
        <v>544</v>
      </c>
      <c r="F160" s="227"/>
    </row>
    <row r="161" spans="1:6" s="236" customFormat="1" x14ac:dyDescent="0.25">
      <c r="A161" s="206"/>
      <c r="B161" s="214"/>
      <c r="C161" s="205"/>
      <c r="D161" s="206"/>
      <c r="E161" s="304"/>
      <c r="F161" s="227"/>
    </row>
    <row r="162" spans="1:6" x14ac:dyDescent="0.25">
      <c r="B162" s="211" t="s">
        <v>98</v>
      </c>
    </row>
    <row r="163" spans="1:6" s="236" customFormat="1" x14ac:dyDescent="0.25">
      <c r="A163" s="206"/>
      <c r="B163" s="214"/>
      <c r="C163" s="205"/>
      <c r="D163" s="206"/>
      <c r="E163" s="304"/>
      <c r="F163" s="207"/>
    </row>
    <row r="164" spans="1:6" s="236" customFormat="1" x14ac:dyDescent="0.25">
      <c r="A164" s="206"/>
      <c r="B164" s="219" t="s">
        <v>536</v>
      </c>
      <c r="C164" s="205"/>
      <c r="D164" s="206"/>
      <c r="E164" s="304"/>
      <c r="F164" s="207"/>
    </row>
    <row r="165" spans="1:6" s="236" customFormat="1" x14ac:dyDescent="0.25">
      <c r="A165" s="206"/>
      <c r="B165" s="219"/>
      <c r="C165" s="205"/>
      <c r="D165" s="206"/>
      <c r="E165" s="304"/>
      <c r="F165" s="207"/>
    </row>
    <row r="166" spans="1:6" x14ac:dyDescent="0.25">
      <c r="B166" s="219" t="s">
        <v>666</v>
      </c>
    </row>
    <row r="168" spans="1:6" x14ac:dyDescent="0.25">
      <c r="A168" s="206" t="s">
        <v>2</v>
      </c>
      <c r="B168" s="214" t="s">
        <v>545</v>
      </c>
      <c r="C168" s="205">
        <v>54</v>
      </c>
      <c r="D168" s="206" t="s">
        <v>513</v>
      </c>
      <c r="E168" s="304">
        <f>E123</f>
        <v>95000</v>
      </c>
      <c r="F168" s="207">
        <f>C168*E168</f>
        <v>5130000</v>
      </c>
    </row>
    <row r="169" spans="1:6" ht="17.25" customHeight="1" x14ac:dyDescent="0.25"/>
    <row r="170" spans="1:6" x14ac:dyDescent="0.25">
      <c r="F170" s="230"/>
    </row>
    <row r="171" spans="1:6" x14ac:dyDescent="0.25">
      <c r="B171" s="211" t="s">
        <v>102</v>
      </c>
    </row>
    <row r="173" spans="1:6" ht="30" x14ac:dyDescent="0.25">
      <c r="B173" s="224" t="s">
        <v>674</v>
      </c>
    </row>
    <row r="174" spans="1:6" x14ac:dyDescent="0.25">
      <c r="B174" s="224"/>
    </row>
    <row r="175" spans="1:6" x14ac:dyDescent="0.25">
      <c r="A175" s="206" t="s">
        <v>4</v>
      </c>
      <c r="B175" s="214" t="s">
        <v>571</v>
      </c>
      <c r="C175" s="205">
        <v>6282</v>
      </c>
      <c r="D175" s="206" t="s">
        <v>75</v>
      </c>
      <c r="E175" s="304">
        <f>E133</f>
        <v>1450</v>
      </c>
      <c r="F175" s="207">
        <f>C175*E175</f>
        <v>9108900</v>
      </c>
    </row>
    <row r="177" spans="1:6" x14ac:dyDescent="0.25">
      <c r="A177" s="206" t="s">
        <v>5</v>
      </c>
      <c r="B177" s="214" t="s">
        <v>804</v>
      </c>
      <c r="D177" s="206" t="s">
        <v>75</v>
      </c>
      <c r="E177" s="304">
        <f>E135</f>
        <v>1450</v>
      </c>
      <c r="F177" s="207">
        <f>C177*E177</f>
        <v>0</v>
      </c>
    </row>
    <row r="178" spans="1:6" x14ac:dyDescent="0.25">
      <c r="B178" s="211" t="s">
        <v>67</v>
      </c>
    </row>
    <row r="180" spans="1:6" x14ac:dyDescent="0.25">
      <c r="B180" s="219" t="s">
        <v>120</v>
      </c>
      <c r="E180" s="303"/>
      <c r="F180" s="285"/>
    </row>
    <row r="181" spans="1:6" x14ac:dyDescent="0.25">
      <c r="E181" s="303"/>
      <c r="F181" s="285"/>
    </row>
    <row r="182" spans="1:6" x14ac:dyDescent="0.25">
      <c r="A182" s="206" t="s">
        <v>6</v>
      </c>
      <c r="B182" s="214" t="s">
        <v>546</v>
      </c>
      <c r="C182" s="205">
        <v>284</v>
      </c>
      <c r="D182" s="206" t="s">
        <v>511</v>
      </c>
      <c r="E182" s="304">
        <f>E147</f>
        <v>8500</v>
      </c>
      <c r="F182" s="207">
        <f>C182*E182</f>
        <v>2414000</v>
      </c>
    </row>
    <row r="184" spans="1:6" x14ac:dyDescent="0.25">
      <c r="A184" s="206" t="s">
        <v>7</v>
      </c>
      <c r="B184" s="214" t="s">
        <v>547</v>
      </c>
      <c r="C184" s="205">
        <v>110</v>
      </c>
      <c r="D184" s="206" t="s">
        <v>22</v>
      </c>
      <c r="E184" s="304">
        <f>E182*0.15</f>
        <v>1275</v>
      </c>
      <c r="F184" s="207">
        <f>C184*E184</f>
        <v>140250</v>
      </c>
    </row>
    <row r="185" spans="1:6" x14ac:dyDescent="0.25">
      <c r="A185" s="209"/>
      <c r="C185" s="221"/>
      <c r="D185" s="209"/>
      <c r="E185" s="303"/>
      <c r="F185" s="285"/>
    </row>
    <row r="187" spans="1:6" x14ac:dyDescent="0.25">
      <c r="A187" s="209"/>
      <c r="C187" s="221"/>
      <c r="D187" s="209"/>
      <c r="E187" s="303"/>
      <c r="F187" s="285"/>
    </row>
    <row r="188" spans="1:6" x14ac:dyDescent="0.25">
      <c r="A188" s="209"/>
      <c r="D188" s="209"/>
      <c r="E188" s="303"/>
      <c r="F188" s="285"/>
    </row>
    <row r="189" spans="1:6" x14ac:dyDescent="0.25">
      <c r="A189" s="209"/>
      <c r="C189" s="221"/>
      <c r="D189" s="209"/>
      <c r="E189" s="303"/>
      <c r="F189" s="285"/>
    </row>
    <row r="190" spans="1:6" x14ac:dyDescent="0.25">
      <c r="A190" s="209"/>
      <c r="C190" s="221"/>
      <c r="D190" s="209"/>
      <c r="E190" s="303"/>
      <c r="F190" s="285"/>
    </row>
    <row r="191" spans="1:6" x14ac:dyDescent="0.25">
      <c r="A191" s="209"/>
      <c r="C191" s="221"/>
      <c r="D191" s="209"/>
      <c r="E191" s="303"/>
      <c r="F191" s="285"/>
    </row>
    <row r="192" spans="1:6" x14ac:dyDescent="0.25">
      <c r="A192" s="209"/>
      <c r="C192" s="221"/>
      <c r="D192" s="209"/>
      <c r="E192" s="303"/>
      <c r="F192" s="285"/>
    </row>
    <row r="193" spans="1:6" x14ac:dyDescent="0.25">
      <c r="A193" s="209"/>
      <c r="C193" s="221"/>
      <c r="D193" s="209"/>
      <c r="E193" s="303"/>
      <c r="F193" s="285"/>
    </row>
    <row r="194" spans="1:6" x14ac:dyDescent="0.25">
      <c r="A194" s="209"/>
      <c r="C194" s="221"/>
      <c r="D194" s="209"/>
      <c r="E194" s="303"/>
      <c r="F194" s="285"/>
    </row>
    <row r="195" spans="1:6" x14ac:dyDescent="0.25">
      <c r="A195" s="209"/>
      <c r="C195" s="221"/>
      <c r="D195" s="209"/>
      <c r="E195" s="303"/>
      <c r="F195" s="285"/>
    </row>
    <row r="196" spans="1:6" x14ac:dyDescent="0.25">
      <c r="A196" s="209"/>
      <c r="C196" s="221"/>
      <c r="D196" s="209"/>
      <c r="E196" s="303"/>
      <c r="F196" s="285"/>
    </row>
    <row r="197" spans="1:6" x14ac:dyDescent="0.25">
      <c r="A197" s="209"/>
      <c r="C197" s="221"/>
      <c r="D197" s="209"/>
      <c r="E197" s="303"/>
      <c r="F197" s="285"/>
    </row>
    <row r="198" spans="1:6" x14ac:dyDescent="0.25">
      <c r="A198" s="209"/>
      <c r="C198" s="221"/>
      <c r="D198" s="209"/>
      <c r="E198" s="303"/>
      <c r="F198" s="285"/>
    </row>
    <row r="199" spans="1:6" x14ac:dyDescent="0.25">
      <c r="A199" s="209"/>
      <c r="C199" s="221"/>
      <c r="D199" s="209"/>
      <c r="E199" s="303"/>
      <c r="F199" s="285"/>
    </row>
    <row r="200" spans="1:6" x14ac:dyDescent="0.25">
      <c r="A200" s="209"/>
      <c r="C200" s="221"/>
      <c r="D200" s="209"/>
      <c r="E200" s="303"/>
      <c r="F200" s="285"/>
    </row>
    <row r="201" spans="1:6" x14ac:dyDescent="0.25">
      <c r="B201" s="210" t="s">
        <v>453</v>
      </c>
    </row>
    <row r="202" spans="1:6" x14ac:dyDescent="0.25">
      <c r="B202" s="220" t="s">
        <v>534</v>
      </c>
      <c r="E202" s="303" t="s">
        <v>15</v>
      </c>
      <c r="F202" s="285">
        <f>SUM(F160:F201)</f>
        <v>16793150</v>
      </c>
    </row>
    <row r="203" spans="1:6" x14ac:dyDescent="0.25">
      <c r="A203" s="209" t="s">
        <v>796</v>
      </c>
      <c r="B203" s="209" t="s">
        <v>913</v>
      </c>
      <c r="C203" s="221" t="s">
        <v>773</v>
      </c>
      <c r="D203" s="209" t="s">
        <v>765</v>
      </c>
      <c r="E203" s="303" t="s">
        <v>914</v>
      </c>
      <c r="F203" s="273" t="s">
        <v>768</v>
      </c>
    </row>
    <row r="204" spans="1:6" x14ac:dyDescent="0.25">
      <c r="B204" s="204" t="s">
        <v>548</v>
      </c>
      <c r="F204" s="230"/>
    </row>
    <row r="205" spans="1:6" x14ac:dyDescent="0.25">
      <c r="B205" s="206"/>
      <c r="F205" s="230"/>
    </row>
    <row r="206" spans="1:6" x14ac:dyDescent="0.25">
      <c r="B206" s="210" t="s">
        <v>549</v>
      </c>
      <c r="F206" s="230"/>
    </row>
    <row r="207" spans="1:6" ht="10.5" customHeight="1" x14ac:dyDescent="0.25">
      <c r="A207" s="237"/>
      <c r="B207" s="210"/>
      <c r="F207" s="230"/>
    </row>
    <row r="208" spans="1:6" x14ac:dyDescent="0.25">
      <c r="A208" s="237"/>
      <c r="B208" s="211" t="s">
        <v>98</v>
      </c>
      <c r="F208" s="230"/>
    </row>
    <row r="209" spans="1:6" x14ac:dyDescent="0.25">
      <c r="A209" s="237"/>
      <c r="F209" s="230"/>
    </row>
    <row r="210" spans="1:6" x14ac:dyDescent="0.25">
      <c r="B210" s="219" t="s">
        <v>536</v>
      </c>
      <c r="E210" s="304" t="s">
        <v>20</v>
      </c>
      <c r="F210" s="230"/>
    </row>
    <row r="211" spans="1:6" ht="11.25" customHeight="1" x14ac:dyDescent="0.25">
      <c r="A211" s="237"/>
      <c r="B211" s="219"/>
      <c r="F211" s="230"/>
    </row>
    <row r="212" spans="1:6" x14ac:dyDescent="0.25">
      <c r="A212" s="237"/>
      <c r="B212" s="219" t="s">
        <v>666</v>
      </c>
      <c r="F212" s="230"/>
    </row>
    <row r="213" spans="1:6" ht="9" customHeight="1" x14ac:dyDescent="0.25">
      <c r="A213" s="237"/>
      <c r="F213" s="230"/>
    </row>
    <row r="214" spans="1:6" x14ac:dyDescent="0.25">
      <c r="A214" s="206" t="s">
        <v>2</v>
      </c>
      <c r="B214" s="214" t="s">
        <v>550</v>
      </c>
      <c r="C214" s="205">
        <v>6</v>
      </c>
      <c r="D214" s="206" t="s">
        <v>513</v>
      </c>
      <c r="E214" s="304">
        <f>E123</f>
        <v>95000</v>
      </c>
      <c r="F214" s="287">
        <f>C214*E214</f>
        <v>570000</v>
      </c>
    </row>
    <row r="215" spans="1:6" ht="10.5" customHeight="1" x14ac:dyDescent="0.25">
      <c r="F215" s="287"/>
    </row>
    <row r="216" spans="1:6" ht="12.75" customHeight="1" x14ac:dyDescent="0.25">
      <c r="A216" s="237"/>
      <c r="B216" s="211" t="s">
        <v>102</v>
      </c>
      <c r="F216" s="230"/>
    </row>
    <row r="217" spans="1:6" ht="9.75" customHeight="1" x14ac:dyDescent="0.25">
      <c r="F217" s="230"/>
    </row>
    <row r="218" spans="1:6" ht="30" x14ac:dyDescent="0.25">
      <c r="B218" s="224" t="s">
        <v>551</v>
      </c>
    </row>
    <row r="219" spans="1:6" ht="15.75" customHeight="1" x14ac:dyDescent="0.25">
      <c r="B219" s="224"/>
    </row>
    <row r="220" spans="1:6" ht="17.25" customHeight="1" x14ac:dyDescent="0.25">
      <c r="A220" s="206" t="s">
        <v>4</v>
      </c>
      <c r="B220" s="214" t="s">
        <v>672</v>
      </c>
      <c r="C220" s="205">
        <v>574</v>
      </c>
      <c r="D220" s="206" t="s">
        <v>75</v>
      </c>
      <c r="E220" s="304">
        <f>E175</f>
        <v>1450</v>
      </c>
      <c r="F220" s="207">
        <f>C220*E220</f>
        <v>832300</v>
      </c>
    </row>
    <row r="221" spans="1:6" x14ac:dyDescent="0.25">
      <c r="B221" s="224"/>
    </row>
    <row r="222" spans="1:6" s="236" customFormat="1" x14ac:dyDescent="0.25">
      <c r="A222" s="238"/>
      <c r="B222" s="218"/>
      <c r="C222" s="239"/>
      <c r="D222" s="240"/>
      <c r="E222" s="305"/>
      <c r="F222" s="241"/>
    </row>
    <row r="223" spans="1:6" x14ac:dyDescent="0.25">
      <c r="A223" s="237"/>
      <c r="B223" s="211" t="s">
        <v>67</v>
      </c>
      <c r="F223" s="230"/>
    </row>
    <row r="224" spans="1:6" x14ac:dyDescent="0.25">
      <c r="F224" s="230"/>
    </row>
    <row r="225" spans="1:6" x14ac:dyDescent="0.25">
      <c r="B225" s="219" t="s">
        <v>120</v>
      </c>
      <c r="F225" s="230"/>
    </row>
    <row r="226" spans="1:6" x14ac:dyDescent="0.25">
      <c r="F226" s="230"/>
    </row>
    <row r="227" spans="1:6" x14ac:dyDescent="0.25">
      <c r="A227" s="206" t="s">
        <v>5</v>
      </c>
      <c r="B227" s="214" t="s">
        <v>552</v>
      </c>
      <c r="C227" s="205">
        <v>20</v>
      </c>
      <c r="D227" s="206" t="s">
        <v>511</v>
      </c>
      <c r="E227" s="304">
        <f>E66</f>
        <v>8500</v>
      </c>
      <c r="F227" s="207">
        <f>C227*E227</f>
        <v>170000</v>
      </c>
    </row>
    <row r="228" spans="1:6" x14ac:dyDescent="0.25">
      <c r="F228" s="230"/>
    </row>
    <row r="229" spans="1:6" x14ac:dyDescent="0.25">
      <c r="A229" s="206" t="s">
        <v>6</v>
      </c>
      <c r="B229" s="214" t="s">
        <v>553</v>
      </c>
      <c r="C229" s="205">
        <v>6</v>
      </c>
      <c r="D229" s="206" t="s">
        <v>511</v>
      </c>
      <c r="E229" s="304">
        <f>E227</f>
        <v>8500</v>
      </c>
      <c r="F229" s="207">
        <f>C229*E229</f>
        <v>51000</v>
      </c>
    </row>
    <row r="231" spans="1:6" x14ac:dyDescent="0.25">
      <c r="A231" s="206" t="s">
        <v>7</v>
      </c>
      <c r="B231" s="214" t="s">
        <v>554</v>
      </c>
      <c r="C231" s="205">
        <v>162</v>
      </c>
      <c r="D231" s="206" t="s">
        <v>511</v>
      </c>
      <c r="E231" s="304">
        <f>E229</f>
        <v>8500</v>
      </c>
      <c r="F231" s="207">
        <f>C231*E231</f>
        <v>1377000</v>
      </c>
    </row>
    <row r="232" spans="1:6" x14ac:dyDescent="0.25">
      <c r="F232" s="230"/>
    </row>
    <row r="233" spans="1:6" ht="30" x14ac:dyDescent="0.25">
      <c r="A233" s="206" t="s">
        <v>8</v>
      </c>
      <c r="B233" s="215" t="s">
        <v>555</v>
      </c>
      <c r="C233" s="205">
        <v>4</v>
      </c>
      <c r="D233" s="206" t="s">
        <v>511</v>
      </c>
      <c r="E233" s="304">
        <f>E229</f>
        <v>8500</v>
      </c>
      <c r="F233" s="207">
        <f>C233*E233</f>
        <v>34000</v>
      </c>
    </row>
    <row r="234" spans="1:6" x14ac:dyDescent="0.25">
      <c r="B234" s="215"/>
      <c r="F234" s="230"/>
    </row>
    <row r="235" spans="1:6" x14ac:dyDescent="0.25">
      <c r="A235" s="206" t="s">
        <v>9</v>
      </c>
      <c r="B235" s="214" t="s">
        <v>133</v>
      </c>
      <c r="C235" s="205">
        <v>34</v>
      </c>
      <c r="D235" s="206" t="s">
        <v>22</v>
      </c>
      <c r="E235" s="304">
        <f>E184</f>
        <v>1275</v>
      </c>
      <c r="F235" s="207">
        <f>C235*E235</f>
        <v>43350</v>
      </c>
    </row>
    <row r="237" spans="1:6" x14ac:dyDescent="0.25">
      <c r="A237" s="206" t="s">
        <v>10</v>
      </c>
      <c r="B237" s="214" t="s">
        <v>556</v>
      </c>
      <c r="C237" s="205">
        <v>8</v>
      </c>
      <c r="D237" s="206" t="s">
        <v>22</v>
      </c>
      <c r="E237" s="304">
        <f>E235</f>
        <v>1275</v>
      </c>
      <c r="F237" s="207">
        <f>C237*E237</f>
        <v>10200</v>
      </c>
    </row>
    <row r="248" spans="1:6" ht="19.5" customHeight="1" x14ac:dyDescent="0.25">
      <c r="B248" s="220" t="s">
        <v>520</v>
      </c>
      <c r="C248" s="221"/>
      <c r="D248" s="209"/>
      <c r="E248" s="303" t="s">
        <v>15</v>
      </c>
      <c r="F248" s="207">
        <f>SUM(F206:F247)</f>
        <v>3087850</v>
      </c>
    </row>
    <row r="249" spans="1:6" x14ac:dyDescent="0.25">
      <c r="A249" s="209" t="s">
        <v>796</v>
      </c>
      <c r="B249" s="209"/>
      <c r="C249" s="221" t="s">
        <v>773</v>
      </c>
      <c r="D249" s="209" t="s">
        <v>765</v>
      </c>
      <c r="E249" s="303" t="s">
        <v>914</v>
      </c>
      <c r="F249" s="273" t="s">
        <v>768</v>
      </c>
    </row>
    <row r="250" spans="1:6" x14ac:dyDescent="0.25">
      <c r="B250" s="210" t="s">
        <v>557</v>
      </c>
    </row>
    <row r="251" spans="1:6" x14ac:dyDescent="0.25">
      <c r="B251" s="210"/>
    </row>
    <row r="252" spans="1:6" x14ac:dyDescent="0.25">
      <c r="B252" s="211" t="s">
        <v>137</v>
      </c>
      <c r="F252" s="288"/>
    </row>
    <row r="253" spans="1:6" x14ac:dyDescent="0.25">
      <c r="F253" s="288"/>
    </row>
    <row r="254" spans="1:6" x14ac:dyDescent="0.25">
      <c r="B254" s="242" t="s">
        <v>702</v>
      </c>
      <c r="F254" s="230"/>
    </row>
    <row r="255" spans="1:6" x14ac:dyDescent="0.25">
      <c r="B255" s="211"/>
      <c r="F255" s="230"/>
    </row>
    <row r="256" spans="1:6" x14ac:dyDescent="0.25">
      <c r="A256" s="206" t="s">
        <v>2</v>
      </c>
      <c r="B256" s="233" t="s">
        <v>558</v>
      </c>
      <c r="C256" s="205">
        <v>8</v>
      </c>
      <c r="D256" s="206" t="s">
        <v>511</v>
      </c>
      <c r="E256" s="306">
        <v>23000</v>
      </c>
      <c r="F256" s="207">
        <f>C256*E256</f>
        <v>184000</v>
      </c>
    </row>
    <row r="257" spans="1:6" x14ac:dyDescent="0.25">
      <c r="B257" s="233"/>
      <c r="F257" s="230"/>
    </row>
    <row r="258" spans="1:6" x14ac:dyDescent="0.25">
      <c r="A258" s="206" t="s">
        <v>4</v>
      </c>
      <c r="B258" s="214" t="s">
        <v>139</v>
      </c>
      <c r="C258" s="205">
        <v>10</v>
      </c>
      <c r="D258" s="206" t="s">
        <v>22</v>
      </c>
      <c r="E258" s="306">
        <f>E256*0.3</f>
        <v>6900</v>
      </c>
      <c r="F258" s="207">
        <f>C258*E258</f>
        <v>69000</v>
      </c>
    </row>
    <row r="259" spans="1:6" x14ac:dyDescent="0.25">
      <c r="E259" s="306"/>
    </row>
    <row r="260" spans="1:6" x14ac:dyDescent="0.25">
      <c r="A260" s="206" t="s">
        <v>5</v>
      </c>
      <c r="B260" s="214" t="s">
        <v>140</v>
      </c>
      <c r="C260" s="205">
        <v>32</v>
      </c>
      <c r="D260" s="206" t="s">
        <v>22</v>
      </c>
      <c r="E260" s="306">
        <f>E256*0.15</f>
        <v>3450</v>
      </c>
      <c r="F260" s="207">
        <f>C260*E260</f>
        <v>110400</v>
      </c>
    </row>
    <row r="261" spans="1:6" x14ac:dyDescent="0.25">
      <c r="F261" s="230"/>
    </row>
    <row r="262" spans="1:6" s="223" customFormat="1" ht="15" customHeight="1" x14ac:dyDescent="0.25">
      <c r="A262" s="206" t="s">
        <v>6</v>
      </c>
      <c r="B262" s="218" t="s">
        <v>141</v>
      </c>
      <c r="C262" s="205">
        <v>62</v>
      </c>
      <c r="D262" s="206" t="s">
        <v>22</v>
      </c>
      <c r="E262" s="306">
        <f>E256*0.08</f>
        <v>1840</v>
      </c>
      <c r="F262" s="207">
        <f>C262*E262</f>
        <v>114080</v>
      </c>
    </row>
    <row r="263" spans="1:6" s="223" customFormat="1" ht="15" customHeight="1" x14ac:dyDescent="0.25">
      <c r="A263" s="206"/>
      <c r="B263" s="218"/>
      <c r="C263" s="205"/>
      <c r="D263" s="206"/>
      <c r="E263" s="304"/>
      <c r="F263" s="207"/>
    </row>
    <row r="264" spans="1:6" ht="35.25" customHeight="1" x14ac:dyDescent="0.25">
      <c r="B264" s="242" t="s">
        <v>559</v>
      </c>
      <c r="C264" s="221"/>
      <c r="D264" s="209"/>
      <c r="E264" s="303"/>
      <c r="F264" s="286"/>
    </row>
    <row r="265" spans="1:6" x14ac:dyDescent="0.25">
      <c r="B265" s="220"/>
      <c r="C265" s="221"/>
      <c r="D265" s="209"/>
      <c r="E265" s="303"/>
      <c r="F265" s="286"/>
    </row>
    <row r="266" spans="1:6" x14ac:dyDescent="0.25">
      <c r="B266" s="219" t="s">
        <v>560</v>
      </c>
      <c r="F266" s="230"/>
    </row>
    <row r="267" spans="1:6" x14ac:dyDescent="0.25">
      <c r="B267" s="219"/>
      <c r="F267" s="230"/>
    </row>
    <row r="268" spans="1:6" x14ac:dyDescent="0.25">
      <c r="A268" s="206" t="s">
        <v>7</v>
      </c>
      <c r="B268" s="233" t="s">
        <v>561</v>
      </c>
      <c r="C268" s="205">
        <f>C256</f>
        <v>8</v>
      </c>
      <c r="D268" s="206" t="s">
        <v>511</v>
      </c>
      <c r="E268" s="304">
        <v>4500</v>
      </c>
      <c r="F268" s="207">
        <f>C268*E268</f>
        <v>36000</v>
      </c>
    </row>
    <row r="269" spans="1:6" x14ac:dyDescent="0.25">
      <c r="B269" s="219"/>
      <c r="F269" s="230"/>
    </row>
    <row r="270" spans="1:6" ht="15" x14ac:dyDescent="0.25">
      <c r="A270" s="206" t="s">
        <v>8</v>
      </c>
      <c r="B270" s="233" t="s">
        <v>145</v>
      </c>
      <c r="C270" s="205">
        <f>C260</f>
        <v>32</v>
      </c>
      <c r="D270" s="206" t="s">
        <v>22</v>
      </c>
      <c r="E270" s="304">
        <v>1500</v>
      </c>
      <c r="F270" s="212">
        <f>C270*E270</f>
        <v>48000</v>
      </c>
    </row>
    <row r="271" spans="1:6" x14ac:dyDescent="0.25">
      <c r="B271" s="233"/>
    </row>
    <row r="272" spans="1:6" ht="15" x14ac:dyDescent="0.25">
      <c r="A272" s="206" t="s">
        <v>9</v>
      </c>
      <c r="B272" s="233" t="s">
        <v>562</v>
      </c>
      <c r="C272" s="205">
        <f>C258</f>
        <v>10</v>
      </c>
      <c r="D272" s="206" t="s">
        <v>22</v>
      </c>
      <c r="E272" s="304">
        <v>2500</v>
      </c>
      <c r="F272" s="212">
        <f>C272*E272</f>
        <v>25000</v>
      </c>
    </row>
    <row r="273" spans="1:6" ht="15" x14ac:dyDescent="0.25">
      <c r="B273" s="233"/>
      <c r="F273" s="212"/>
    </row>
    <row r="274" spans="1:6" ht="15" x14ac:dyDescent="0.25">
      <c r="A274" s="206" t="s">
        <v>10</v>
      </c>
      <c r="B274" s="233" t="s">
        <v>146</v>
      </c>
      <c r="C274" s="205">
        <f>C262</f>
        <v>62</v>
      </c>
      <c r="D274" s="206" t="s">
        <v>22</v>
      </c>
      <c r="E274" s="304">
        <f>E268*0.15</f>
        <v>675</v>
      </c>
      <c r="F274" s="212">
        <f>C274*E274</f>
        <v>41850</v>
      </c>
    </row>
    <row r="275" spans="1:6" x14ac:dyDescent="0.25">
      <c r="F275" s="230"/>
    </row>
    <row r="276" spans="1:6" x14ac:dyDescent="0.25">
      <c r="B276" s="211" t="s">
        <v>147</v>
      </c>
      <c r="F276" s="230"/>
    </row>
    <row r="277" spans="1:6" x14ac:dyDescent="0.25">
      <c r="F277" s="230"/>
    </row>
    <row r="278" spans="1:6" ht="30" x14ac:dyDescent="0.25">
      <c r="B278" s="224" t="s">
        <v>563</v>
      </c>
      <c r="F278" s="230"/>
    </row>
    <row r="279" spans="1:6" x14ac:dyDescent="0.25">
      <c r="B279" s="224"/>
      <c r="F279" s="230"/>
    </row>
    <row r="280" spans="1:6" x14ac:dyDescent="0.25">
      <c r="A280" s="206" t="s">
        <v>11</v>
      </c>
      <c r="B280" s="233" t="s">
        <v>149</v>
      </c>
      <c r="C280" s="205">
        <f>C227</f>
        <v>20</v>
      </c>
      <c r="D280" s="206" t="s">
        <v>511</v>
      </c>
      <c r="E280" s="304">
        <v>3500</v>
      </c>
      <c r="F280" s="207">
        <f>C280*E280</f>
        <v>70000</v>
      </c>
    </row>
    <row r="281" spans="1:6" x14ac:dyDescent="0.25">
      <c r="B281" s="233"/>
    </row>
    <row r="282" spans="1:6" x14ac:dyDescent="0.25">
      <c r="A282" s="206" t="s">
        <v>12</v>
      </c>
      <c r="B282" s="214" t="s">
        <v>38</v>
      </c>
      <c r="C282" s="205">
        <f>C229</f>
        <v>6</v>
      </c>
      <c r="D282" s="206" t="s">
        <v>511</v>
      </c>
      <c r="E282" s="304">
        <f>E280</f>
        <v>3500</v>
      </c>
      <c r="F282" s="207">
        <f>C282*E282</f>
        <v>21000</v>
      </c>
    </row>
    <row r="284" spans="1:6" x14ac:dyDescent="0.25">
      <c r="A284" s="206" t="s">
        <v>13</v>
      </c>
      <c r="B284" s="214" t="s">
        <v>37</v>
      </c>
      <c r="C284" s="205">
        <f>C233</f>
        <v>4</v>
      </c>
      <c r="D284" s="206" t="s">
        <v>511</v>
      </c>
      <c r="E284" s="304">
        <f>E282</f>
        <v>3500</v>
      </c>
      <c r="F284" s="207">
        <f>C284*E284</f>
        <v>14000</v>
      </c>
    </row>
    <row r="285" spans="1:6" x14ac:dyDescent="0.25">
      <c r="F285" s="230"/>
    </row>
    <row r="286" spans="1:6" x14ac:dyDescent="0.25">
      <c r="F286" s="230"/>
    </row>
    <row r="287" spans="1:6" x14ac:dyDescent="0.25">
      <c r="F287" s="230"/>
    </row>
    <row r="288" spans="1:6" x14ac:dyDescent="0.25">
      <c r="F288" s="230"/>
    </row>
    <row r="289" spans="1:6" x14ac:dyDescent="0.25">
      <c r="F289" s="230"/>
    </row>
    <row r="290" spans="1:6" x14ac:dyDescent="0.25">
      <c r="F290" s="230"/>
    </row>
    <row r="291" spans="1:6" x14ac:dyDescent="0.25">
      <c r="F291" s="230"/>
    </row>
    <row r="292" spans="1:6" x14ac:dyDescent="0.25">
      <c r="F292" s="230"/>
    </row>
    <row r="293" spans="1:6" x14ac:dyDescent="0.25">
      <c r="B293" s="220" t="s">
        <v>520</v>
      </c>
      <c r="C293" s="221"/>
      <c r="D293" s="209"/>
      <c r="E293" s="303" t="s">
        <v>15</v>
      </c>
      <c r="F293" s="235">
        <f>SUM(F252:F292)</f>
        <v>733330</v>
      </c>
    </row>
    <row r="294" spans="1:6" x14ac:dyDescent="0.25">
      <c r="A294" s="209" t="s">
        <v>796</v>
      </c>
      <c r="B294" s="209"/>
      <c r="C294" s="221" t="s">
        <v>773</v>
      </c>
      <c r="D294" s="209" t="s">
        <v>765</v>
      </c>
      <c r="E294" s="303" t="s">
        <v>914</v>
      </c>
      <c r="F294" s="273" t="s">
        <v>768</v>
      </c>
    </row>
    <row r="295" spans="1:6" x14ac:dyDescent="0.25">
      <c r="B295" s="210" t="s">
        <v>557</v>
      </c>
      <c r="F295" s="230"/>
    </row>
    <row r="296" spans="1:6" x14ac:dyDescent="0.25">
      <c r="F296" s="230"/>
    </row>
    <row r="297" spans="1:6" x14ac:dyDescent="0.25">
      <c r="B297" s="210" t="s">
        <v>564</v>
      </c>
      <c r="F297" s="230"/>
    </row>
    <row r="298" spans="1:6" x14ac:dyDescent="0.25">
      <c r="F298" s="230"/>
    </row>
    <row r="299" spans="1:6" ht="30" x14ac:dyDescent="0.25">
      <c r="B299" s="224" t="s">
        <v>565</v>
      </c>
      <c r="F299" s="230"/>
    </row>
    <row r="300" spans="1:6" x14ac:dyDescent="0.25">
      <c r="F300" s="230"/>
    </row>
    <row r="301" spans="1:6" x14ac:dyDescent="0.25">
      <c r="A301" s="206" t="s">
        <v>2</v>
      </c>
      <c r="B301" s="233" t="s">
        <v>149</v>
      </c>
      <c r="C301" s="205">
        <f>C280</f>
        <v>20</v>
      </c>
      <c r="D301" s="206" t="s">
        <v>511</v>
      </c>
      <c r="E301" s="304">
        <v>1400</v>
      </c>
      <c r="F301" s="207">
        <f>C301*E301</f>
        <v>28000</v>
      </c>
    </row>
    <row r="302" spans="1:6" x14ac:dyDescent="0.25">
      <c r="B302" s="233"/>
    </row>
    <row r="303" spans="1:6" x14ac:dyDescent="0.25">
      <c r="A303" s="206" t="s">
        <v>4</v>
      </c>
      <c r="B303" s="214" t="s">
        <v>38</v>
      </c>
      <c r="C303" s="205">
        <f>C282</f>
        <v>6</v>
      </c>
      <c r="D303" s="206" t="s">
        <v>511</v>
      </c>
      <c r="E303" s="304">
        <f>E301</f>
        <v>1400</v>
      </c>
      <c r="F303" s="207">
        <f>C303*E303</f>
        <v>8400</v>
      </c>
    </row>
    <row r="305" spans="1:6" x14ac:dyDescent="0.25">
      <c r="A305" s="206" t="s">
        <v>5</v>
      </c>
      <c r="B305" s="214" t="s">
        <v>37</v>
      </c>
      <c r="C305" s="205">
        <f>C284</f>
        <v>4</v>
      </c>
      <c r="D305" s="206" t="s">
        <v>511</v>
      </c>
      <c r="E305" s="304">
        <f>E303</f>
        <v>1400</v>
      </c>
      <c r="F305" s="207">
        <f>C305*E305</f>
        <v>5600</v>
      </c>
    </row>
    <row r="306" spans="1:6" x14ac:dyDescent="0.25">
      <c r="B306" s="233"/>
      <c r="F306" s="230"/>
    </row>
    <row r="307" spans="1:6" x14ac:dyDescent="0.25">
      <c r="B307" s="211" t="s">
        <v>152</v>
      </c>
      <c r="F307" s="230"/>
    </row>
    <row r="308" spans="1:6" x14ac:dyDescent="0.25">
      <c r="F308" s="230"/>
    </row>
    <row r="309" spans="1:6" ht="30" x14ac:dyDescent="0.25">
      <c r="B309" s="224" t="s">
        <v>675</v>
      </c>
      <c r="F309" s="230"/>
    </row>
    <row r="310" spans="1:6" x14ac:dyDescent="0.25">
      <c r="F310" s="230"/>
    </row>
    <row r="311" spans="1:6" x14ac:dyDescent="0.25">
      <c r="A311" s="206" t="s">
        <v>6</v>
      </c>
      <c r="B311" s="233" t="s">
        <v>149</v>
      </c>
      <c r="C311" s="205">
        <f>C301</f>
        <v>20</v>
      </c>
      <c r="D311" s="206" t="s">
        <v>511</v>
      </c>
      <c r="E311" s="304">
        <v>2200</v>
      </c>
      <c r="F311" s="207">
        <f>C311*E311</f>
        <v>44000</v>
      </c>
    </row>
    <row r="312" spans="1:6" x14ac:dyDescent="0.25">
      <c r="B312" s="233"/>
    </row>
    <row r="313" spans="1:6" x14ac:dyDescent="0.25">
      <c r="A313" s="206" t="s">
        <v>7</v>
      </c>
      <c r="B313" s="214" t="s">
        <v>38</v>
      </c>
      <c r="C313" s="205">
        <f>C303</f>
        <v>6</v>
      </c>
      <c r="D313" s="206" t="s">
        <v>511</v>
      </c>
      <c r="E313" s="304">
        <f>E311</f>
        <v>2200</v>
      </c>
      <c r="F313" s="207">
        <f>C313*E313</f>
        <v>13200</v>
      </c>
    </row>
    <row r="315" spans="1:6" x14ac:dyDescent="0.25">
      <c r="A315" s="206" t="s">
        <v>8</v>
      </c>
      <c r="B315" s="214" t="s">
        <v>37</v>
      </c>
      <c r="C315" s="205">
        <f>C305</f>
        <v>4</v>
      </c>
      <c r="D315" s="206" t="s">
        <v>511</v>
      </c>
      <c r="E315" s="304">
        <f>E313</f>
        <v>2200</v>
      </c>
      <c r="F315" s="207">
        <f>C315*E315</f>
        <v>8800</v>
      </c>
    </row>
    <row r="317" spans="1:6" x14ac:dyDescent="0.25">
      <c r="F317" s="230"/>
    </row>
    <row r="318" spans="1:6" x14ac:dyDescent="0.25">
      <c r="B318" s="220" t="s">
        <v>520</v>
      </c>
      <c r="E318" s="303" t="s">
        <v>15</v>
      </c>
      <c r="F318" s="222">
        <f>SUM(F298:F317)</f>
        <v>108000</v>
      </c>
    </row>
    <row r="320" spans="1:6" x14ac:dyDescent="0.25">
      <c r="B320" s="219" t="s">
        <v>531</v>
      </c>
      <c r="F320" s="230"/>
    </row>
    <row r="321" spans="2:6" x14ac:dyDescent="0.25">
      <c r="B321" s="231" t="s">
        <v>566</v>
      </c>
      <c r="E321" s="304">
        <f>F248</f>
        <v>3087850</v>
      </c>
      <c r="F321" s="230"/>
    </row>
    <row r="322" spans="2:6" x14ac:dyDescent="0.25">
      <c r="B322" s="243"/>
      <c r="F322" s="230"/>
    </row>
    <row r="323" spans="2:6" x14ac:dyDescent="0.25">
      <c r="B323" s="231" t="s">
        <v>567</v>
      </c>
      <c r="E323" s="304">
        <f>F293</f>
        <v>733330</v>
      </c>
      <c r="F323" s="230"/>
    </row>
    <row r="324" spans="2:6" x14ac:dyDescent="0.25">
      <c r="B324" s="244"/>
      <c r="F324" s="230"/>
    </row>
    <row r="325" spans="2:6" x14ac:dyDescent="0.25">
      <c r="B325" s="231" t="s">
        <v>568</v>
      </c>
      <c r="E325" s="304">
        <f>F318</f>
        <v>108000</v>
      </c>
      <c r="F325" s="230"/>
    </row>
    <row r="326" spans="2:6" x14ac:dyDescent="0.25">
      <c r="B326" s="231"/>
      <c r="F326" s="230"/>
    </row>
    <row r="327" spans="2:6" x14ac:dyDescent="0.25">
      <c r="B327" s="231"/>
      <c r="F327" s="230"/>
    </row>
    <row r="328" spans="2:6" x14ac:dyDescent="0.25">
      <c r="B328" s="231"/>
      <c r="F328" s="230"/>
    </row>
    <row r="329" spans="2:6" x14ac:dyDescent="0.25">
      <c r="B329" s="231"/>
      <c r="F329" s="230"/>
    </row>
    <row r="330" spans="2:6" x14ac:dyDescent="0.25">
      <c r="B330" s="231"/>
      <c r="F330" s="230"/>
    </row>
    <row r="331" spans="2:6" x14ac:dyDescent="0.25">
      <c r="B331" s="231"/>
      <c r="F331" s="230"/>
    </row>
    <row r="332" spans="2:6" x14ac:dyDescent="0.25">
      <c r="B332" s="231"/>
      <c r="F332" s="230"/>
    </row>
    <row r="333" spans="2:6" x14ac:dyDescent="0.25">
      <c r="B333" s="231"/>
      <c r="F333" s="230"/>
    </row>
    <row r="334" spans="2:6" x14ac:dyDescent="0.25">
      <c r="B334" s="231"/>
      <c r="F334" s="230"/>
    </row>
    <row r="335" spans="2:6" x14ac:dyDescent="0.25">
      <c r="B335" s="231"/>
      <c r="F335" s="230"/>
    </row>
    <row r="336" spans="2:6" x14ac:dyDescent="0.25">
      <c r="B336" s="231"/>
      <c r="F336" s="230"/>
    </row>
    <row r="337" spans="1:6" x14ac:dyDescent="0.25">
      <c r="B337" s="210" t="s">
        <v>125</v>
      </c>
      <c r="F337" s="230"/>
    </row>
    <row r="338" spans="1:6" x14ac:dyDescent="0.25">
      <c r="B338" s="220" t="s">
        <v>534</v>
      </c>
      <c r="E338" s="303" t="s">
        <v>15</v>
      </c>
      <c r="F338" s="286">
        <f>SUM(E320:E327)</f>
        <v>3929180</v>
      </c>
    </row>
    <row r="339" spans="1:6" x14ac:dyDescent="0.25">
      <c r="A339" s="209" t="s">
        <v>796</v>
      </c>
      <c r="B339" s="209"/>
      <c r="C339" s="221" t="s">
        <v>773</v>
      </c>
      <c r="D339" s="209" t="s">
        <v>765</v>
      </c>
      <c r="E339" s="303" t="s">
        <v>914</v>
      </c>
      <c r="F339" s="273" t="s">
        <v>768</v>
      </c>
    </row>
    <row r="340" spans="1:6" x14ac:dyDescent="0.25">
      <c r="B340" s="210"/>
      <c r="F340" s="230"/>
    </row>
    <row r="341" spans="1:6" x14ac:dyDescent="0.25">
      <c r="B341" s="204" t="s">
        <v>569</v>
      </c>
      <c r="F341" s="230"/>
    </row>
    <row r="342" spans="1:6" x14ac:dyDescent="0.25">
      <c r="F342" s="230"/>
    </row>
    <row r="343" spans="1:6" x14ac:dyDescent="0.25">
      <c r="B343" s="210" t="s">
        <v>163</v>
      </c>
      <c r="F343" s="230"/>
    </row>
    <row r="344" spans="1:6" x14ac:dyDescent="0.25">
      <c r="F344" s="230"/>
    </row>
    <row r="345" spans="1:6" x14ac:dyDescent="0.25">
      <c r="B345" s="211" t="s">
        <v>98</v>
      </c>
      <c r="F345" s="230"/>
    </row>
    <row r="346" spans="1:6" x14ac:dyDescent="0.25">
      <c r="F346" s="230"/>
    </row>
    <row r="347" spans="1:6" x14ac:dyDescent="0.25">
      <c r="B347" s="219" t="s">
        <v>536</v>
      </c>
      <c r="F347" s="230"/>
    </row>
    <row r="348" spans="1:6" x14ac:dyDescent="0.25">
      <c r="B348" s="219"/>
      <c r="F348" s="230"/>
    </row>
    <row r="349" spans="1:6" x14ac:dyDescent="0.25">
      <c r="B349" s="219" t="s">
        <v>666</v>
      </c>
      <c r="F349" s="230"/>
    </row>
    <row r="350" spans="1:6" x14ac:dyDescent="0.25">
      <c r="F350" s="230"/>
    </row>
    <row r="351" spans="1:6" x14ac:dyDescent="0.25">
      <c r="A351" s="206" t="s">
        <v>2</v>
      </c>
      <c r="B351" s="214" t="s">
        <v>537</v>
      </c>
      <c r="C351" s="205">
        <v>21</v>
      </c>
      <c r="D351" s="206" t="s">
        <v>513</v>
      </c>
      <c r="E351" s="304">
        <f>E123</f>
        <v>95000</v>
      </c>
      <c r="F351" s="230">
        <f>C351*E351</f>
        <v>1995000</v>
      </c>
    </row>
    <row r="352" spans="1:6" x14ac:dyDescent="0.25">
      <c r="F352" s="230"/>
    </row>
    <row r="353" spans="1:6" x14ac:dyDescent="0.25">
      <c r="A353" s="206" t="s">
        <v>4</v>
      </c>
      <c r="B353" s="214" t="s">
        <v>886</v>
      </c>
      <c r="C353" s="205">
        <v>6</v>
      </c>
      <c r="D353" s="206" t="s">
        <v>513</v>
      </c>
      <c r="E353" s="304">
        <f>E125</f>
        <v>95000</v>
      </c>
      <c r="F353" s="230">
        <f>C353*E353</f>
        <v>570000</v>
      </c>
    </row>
    <row r="354" spans="1:6" x14ac:dyDescent="0.25">
      <c r="F354" s="230"/>
    </row>
    <row r="355" spans="1:6" x14ac:dyDescent="0.25">
      <c r="A355" s="237"/>
      <c r="B355" s="211" t="s">
        <v>102</v>
      </c>
      <c r="F355" s="230"/>
    </row>
    <row r="356" spans="1:6" x14ac:dyDescent="0.25">
      <c r="B356" s="219"/>
      <c r="F356" s="230"/>
    </row>
    <row r="357" spans="1:6" ht="30" x14ac:dyDescent="0.25">
      <c r="B357" s="224" t="s">
        <v>570</v>
      </c>
      <c r="F357" s="230"/>
    </row>
    <row r="358" spans="1:6" x14ac:dyDescent="0.25">
      <c r="B358" s="218"/>
      <c r="C358" s="239"/>
      <c r="D358" s="240"/>
      <c r="E358" s="305"/>
      <c r="F358" s="245"/>
    </row>
    <row r="359" spans="1:6" x14ac:dyDescent="0.25">
      <c r="A359" s="206" t="s">
        <v>5</v>
      </c>
      <c r="B359" s="214" t="s">
        <v>927</v>
      </c>
      <c r="D359" s="206" t="s">
        <v>75</v>
      </c>
      <c r="F359" s="287">
        <f>C359*E359</f>
        <v>0</v>
      </c>
    </row>
    <row r="360" spans="1:6" x14ac:dyDescent="0.25">
      <c r="B360" s="218"/>
      <c r="C360" s="239"/>
      <c r="D360" s="240"/>
      <c r="E360" s="305"/>
      <c r="F360" s="245"/>
    </row>
    <row r="361" spans="1:6" x14ac:dyDescent="0.25">
      <c r="A361" s="206" t="s">
        <v>6</v>
      </c>
      <c r="B361" s="214" t="s">
        <v>928</v>
      </c>
      <c r="D361" s="206" t="s">
        <v>75</v>
      </c>
      <c r="F361" s="287">
        <f>C361*E361</f>
        <v>0</v>
      </c>
    </row>
    <row r="362" spans="1:6" x14ac:dyDescent="0.25">
      <c r="B362" s="218"/>
      <c r="C362" s="239"/>
      <c r="D362" s="240"/>
      <c r="E362" s="305"/>
      <c r="F362" s="245"/>
    </row>
    <row r="363" spans="1:6" x14ac:dyDescent="0.25">
      <c r="A363" s="206" t="s">
        <v>7</v>
      </c>
      <c r="B363" s="214" t="s">
        <v>806</v>
      </c>
      <c r="C363" s="205">
        <v>1128</v>
      </c>
      <c r="D363" s="206" t="s">
        <v>75</v>
      </c>
      <c r="E363" s="304">
        <f>E220</f>
        <v>1450</v>
      </c>
      <c r="F363" s="287">
        <f>C363*E363</f>
        <v>1635600</v>
      </c>
    </row>
    <row r="364" spans="1:6" x14ac:dyDescent="0.25">
      <c r="A364" s="238"/>
      <c r="F364" s="287"/>
    </row>
    <row r="365" spans="1:6" x14ac:dyDescent="0.25">
      <c r="A365" s="206" t="s">
        <v>8</v>
      </c>
      <c r="B365" s="214" t="s">
        <v>571</v>
      </c>
      <c r="C365" s="205">
        <v>438</v>
      </c>
      <c r="D365" s="206" t="s">
        <v>75</v>
      </c>
      <c r="E365" s="304">
        <f>E363</f>
        <v>1450</v>
      </c>
      <c r="F365" s="287">
        <f>C365*E365</f>
        <v>635100</v>
      </c>
    </row>
    <row r="366" spans="1:6" x14ac:dyDescent="0.25">
      <c r="F366" s="287"/>
    </row>
    <row r="367" spans="1:6" x14ac:dyDescent="0.25">
      <c r="A367" s="206" t="s">
        <v>9</v>
      </c>
      <c r="B367" s="214" t="s">
        <v>804</v>
      </c>
      <c r="C367" s="205">
        <v>804</v>
      </c>
      <c r="D367" s="206" t="s">
        <v>75</v>
      </c>
      <c r="E367" s="304">
        <f>E365</f>
        <v>1450</v>
      </c>
      <c r="F367" s="287">
        <f>C367*E367</f>
        <v>1165800</v>
      </c>
    </row>
    <row r="368" spans="1:6" x14ac:dyDescent="0.25">
      <c r="B368" s="211" t="s">
        <v>67</v>
      </c>
      <c r="F368" s="230"/>
    </row>
    <row r="369" spans="1:6" x14ac:dyDescent="0.25">
      <c r="F369" s="230"/>
    </row>
    <row r="370" spans="1:6" x14ac:dyDescent="0.25">
      <c r="B370" s="219" t="s">
        <v>120</v>
      </c>
      <c r="F370" s="230"/>
    </row>
    <row r="371" spans="1:6" x14ac:dyDescent="0.25">
      <c r="F371" s="230"/>
    </row>
    <row r="372" spans="1:6" x14ac:dyDescent="0.25">
      <c r="A372" s="206" t="s">
        <v>10</v>
      </c>
      <c r="B372" s="214" t="s">
        <v>572</v>
      </c>
      <c r="C372" s="205">
        <v>164</v>
      </c>
      <c r="D372" s="206" t="s">
        <v>511</v>
      </c>
      <c r="E372" s="304">
        <f>E182</f>
        <v>8500</v>
      </c>
      <c r="F372" s="230">
        <f>C372*E372</f>
        <v>1394000</v>
      </c>
    </row>
    <row r="373" spans="1:6" x14ac:dyDescent="0.25">
      <c r="F373" s="230"/>
    </row>
    <row r="374" spans="1:6" x14ac:dyDescent="0.25">
      <c r="A374" s="206" t="s">
        <v>11</v>
      </c>
      <c r="B374" s="214" t="s">
        <v>1038</v>
      </c>
      <c r="C374" s="205">
        <v>48</v>
      </c>
      <c r="D374" s="206" t="s">
        <v>511</v>
      </c>
      <c r="E374" s="304">
        <f>E184</f>
        <v>1275</v>
      </c>
      <c r="F374" s="230">
        <f>C374*E374</f>
        <v>61200</v>
      </c>
    </row>
    <row r="375" spans="1:6" x14ac:dyDescent="0.25">
      <c r="F375" s="230"/>
    </row>
    <row r="376" spans="1:6" x14ac:dyDescent="0.25">
      <c r="F376" s="230"/>
    </row>
    <row r="377" spans="1:6" x14ac:dyDescent="0.25">
      <c r="F377" s="230"/>
    </row>
    <row r="378" spans="1:6" x14ac:dyDescent="0.25">
      <c r="F378" s="230"/>
    </row>
    <row r="379" spans="1:6" x14ac:dyDescent="0.25">
      <c r="F379" s="230"/>
    </row>
    <row r="380" spans="1:6" x14ac:dyDescent="0.25">
      <c r="F380" s="230"/>
    </row>
    <row r="381" spans="1:6" x14ac:dyDescent="0.25">
      <c r="F381" s="230"/>
    </row>
    <row r="382" spans="1:6" x14ac:dyDescent="0.25">
      <c r="F382" s="230"/>
    </row>
    <row r="383" spans="1:6" x14ac:dyDescent="0.25">
      <c r="F383" s="230"/>
    </row>
    <row r="384" spans="1:6" x14ac:dyDescent="0.25">
      <c r="B384" s="220" t="s">
        <v>520</v>
      </c>
      <c r="C384" s="221"/>
      <c r="D384" s="209"/>
      <c r="E384" s="303" t="s">
        <v>15</v>
      </c>
      <c r="F384" s="235">
        <f>SUM(F344:F376)</f>
        <v>7456700</v>
      </c>
    </row>
    <row r="385" spans="1:7" x14ac:dyDescent="0.25">
      <c r="A385" s="209" t="s">
        <v>796</v>
      </c>
      <c r="B385" s="209"/>
      <c r="C385" s="221" t="s">
        <v>773</v>
      </c>
      <c r="D385" s="209" t="s">
        <v>765</v>
      </c>
      <c r="E385" s="303" t="s">
        <v>914</v>
      </c>
      <c r="F385" s="273" t="s">
        <v>768</v>
      </c>
    </row>
    <row r="386" spans="1:7" x14ac:dyDescent="0.25">
      <c r="B386" s="210" t="s">
        <v>573</v>
      </c>
      <c r="F386" s="230"/>
    </row>
    <row r="387" spans="1:7" ht="8.4499999999999993" customHeight="1" x14ac:dyDescent="0.25">
      <c r="F387" s="230"/>
    </row>
    <row r="388" spans="1:7" ht="49.5" x14ac:dyDescent="0.25">
      <c r="B388" s="242" t="s">
        <v>909</v>
      </c>
    </row>
    <row r="389" spans="1:7" x14ac:dyDescent="0.25">
      <c r="B389" s="233"/>
      <c r="G389" s="223"/>
    </row>
    <row r="390" spans="1:7" x14ac:dyDescent="0.25">
      <c r="A390" s="206" t="s">
        <v>2</v>
      </c>
      <c r="B390" s="246" t="s">
        <v>575</v>
      </c>
      <c r="C390" s="205">
        <v>354</v>
      </c>
      <c r="D390" s="206" t="s">
        <v>511</v>
      </c>
      <c r="E390" s="304">
        <v>10100</v>
      </c>
      <c r="F390" s="289">
        <f>E390*C390</f>
        <v>3575400</v>
      </c>
      <c r="G390" s="223"/>
    </row>
    <row r="391" spans="1:7" ht="10.9" customHeight="1" x14ac:dyDescent="0.25">
      <c r="B391" s="246"/>
      <c r="F391" s="289"/>
    </row>
    <row r="392" spans="1:7" x14ac:dyDescent="0.25">
      <c r="F392" s="289"/>
    </row>
    <row r="393" spans="1:7" x14ac:dyDescent="0.25">
      <c r="B393" s="211" t="s">
        <v>577</v>
      </c>
    </row>
    <row r="394" spans="1:7" ht="12.6" customHeight="1" x14ac:dyDescent="0.25"/>
    <row r="395" spans="1:7" ht="14.25" customHeight="1" x14ac:dyDescent="0.25">
      <c r="B395" s="224" t="s">
        <v>187</v>
      </c>
    </row>
    <row r="397" spans="1:7" s="202" customFormat="1" ht="17.100000000000001" customHeight="1" x14ac:dyDescent="0.25">
      <c r="A397" s="197" t="s">
        <v>4</v>
      </c>
      <c r="B397" s="214" t="s">
        <v>578</v>
      </c>
      <c r="C397" s="247"/>
      <c r="D397" s="197" t="s">
        <v>579</v>
      </c>
      <c r="E397" s="307"/>
      <c r="F397" s="248"/>
    </row>
    <row r="399" spans="1:7" x14ac:dyDescent="0.25">
      <c r="A399" s="206" t="s">
        <v>5</v>
      </c>
      <c r="B399" s="214" t="s">
        <v>678</v>
      </c>
      <c r="C399" s="205">
        <v>25</v>
      </c>
      <c r="D399" s="206" t="s">
        <v>22</v>
      </c>
      <c r="E399" s="304">
        <v>800</v>
      </c>
      <c r="F399" s="289">
        <f>C399*E399</f>
        <v>20000</v>
      </c>
    </row>
    <row r="401" spans="1:6" x14ac:dyDescent="0.25">
      <c r="A401" s="206" t="s">
        <v>6</v>
      </c>
      <c r="B401" s="214" t="s">
        <v>580</v>
      </c>
      <c r="C401" s="205">
        <v>342</v>
      </c>
      <c r="D401" s="206" t="s">
        <v>22</v>
      </c>
      <c r="E401" s="304">
        <v>800</v>
      </c>
      <c r="F401" s="289">
        <f>C401*E401</f>
        <v>273600</v>
      </c>
    </row>
    <row r="402" spans="1:6" ht="12.75" customHeight="1" x14ac:dyDescent="0.25">
      <c r="F402" s="289"/>
    </row>
    <row r="403" spans="1:6" x14ac:dyDescent="0.25">
      <c r="A403" s="206" t="s">
        <v>7</v>
      </c>
      <c r="B403" s="214" t="s">
        <v>188</v>
      </c>
      <c r="C403" s="205">
        <v>338</v>
      </c>
      <c r="D403" s="206" t="s">
        <v>22</v>
      </c>
      <c r="E403" s="304">
        <f>E401</f>
        <v>800</v>
      </c>
      <c r="F403" s="289">
        <f>C403*E403</f>
        <v>270400</v>
      </c>
    </row>
    <row r="404" spans="1:6" ht="12.75" customHeight="1" x14ac:dyDescent="0.25"/>
    <row r="405" spans="1:6" x14ac:dyDescent="0.25">
      <c r="A405" s="206" t="s">
        <v>8</v>
      </c>
      <c r="B405" s="214" t="s">
        <v>581</v>
      </c>
      <c r="C405" s="205">
        <v>278</v>
      </c>
      <c r="D405" s="206" t="s">
        <v>22</v>
      </c>
      <c r="E405" s="304">
        <f>E403</f>
        <v>800</v>
      </c>
      <c r="F405" s="289">
        <f>C405*E405</f>
        <v>222400</v>
      </c>
    </row>
    <row r="406" spans="1:6" ht="12.75" customHeight="1" x14ac:dyDescent="0.25">
      <c r="F406" s="289"/>
    </row>
    <row r="407" spans="1:6" x14ac:dyDescent="0.25">
      <c r="A407" s="206" t="s">
        <v>9</v>
      </c>
      <c r="B407" s="214" t="s">
        <v>191</v>
      </c>
      <c r="C407" s="205">
        <v>414</v>
      </c>
      <c r="D407" s="206" t="s">
        <v>22</v>
      </c>
      <c r="E407" s="304">
        <v>550</v>
      </c>
      <c r="F407" s="289">
        <f>C407*E407</f>
        <v>227700</v>
      </c>
    </row>
    <row r="408" spans="1:6" ht="12.6" customHeight="1" x14ac:dyDescent="0.25">
      <c r="F408" s="289"/>
    </row>
    <row r="409" spans="1:6" x14ac:dyDescent="0.25">
      <c r="B409" s="211" t="s">
        <v>84</v>
      </c>
      <c r="C409" s="221"/>
      <c r="D409" s="209"/>
      <c r="E409" s="303"/>
      <c r="F409" s="286"/>
    </row>
    <row r="410" spans="1:6" x14ac:dyDescent="0.25">
      <c r="B410" s="226"/>
      <c r="C410" s="221"/>
      <c r="D410" s="209"/>
      <c r="E410" s="303"/>
      <c r="F410" s="286"/>
    </row>
    <row r="411" spans="1:6" ht="32.25" customHeight="1" x14ac:dyDescent="0.25">
      <c r="B411" s="224" t="s">
        <v>582</v>
      </c>
      <c r="C411" s="221"/>
      <c r="D411" s="209"/>
      <c r="E411" s="303"/>
      <c r="F411" s="286"/>
    </row>
    <row r="412" spans="1:6" x14ac:dyDescent="0.25">
      <c r="B412" s="224"/>
      <c r="C412" s="221"/>
      <c r="D412" s="209"/>
      <c r="E412" s="303"/>
      <c r="F412" s="286"/>
    </row>
    <row r="413" spans="1:6" x14ac:dyDescent="0.25">
      <c r="A413" s="206" t="s">
        <v>10</v>
      </c>
      <c r="B413" s="218" t="s">
        <v>680</v>
      </c>
      <c r="C413" s="205">
        <v>128</v>
      </c>
      <c r="D413" s="206" t="s">
        <v>511</v>
      </c>
      <c r="E413" s="304">
        <v>10300</v>
      </c>
      <c r="F413" s="207">
        <f>C413*E413</f>
        <v>1318400</v>
      </c>
    </row>
    <row r="415" spans="1:6" x14ac:dyDescent="0.25">
      <c r="B415" s="211" t="s">
        <v>147</v>
      </c>
      <c r="F415" s="230"/>
    </row>
    <row r="416" spans="1:6" ht="12.95" customHeight="1" x14ac:dyDescent="0.25">
      <c r="F416" s="230"/>
    </row>
    <row r="417" spans="1:6" ht="30" x14ac:dyDescent="0.25">
      <c r="B417" s="224" t="s">
        <v>583</v>
      </c>
      <c r="F417" s="230"/>
    </row>
    <row r="418" spans="1:6" ht="16.5" customHeight="1" x14ac:dyDescent="0.25">
      <c r="B418" s="224"/>
      <c r="F418" s="230"/>
    </row>
    <row r="419" spans="1:6" ht="19.5" customHeight="1" x14ac:dyDescent="0.25">
      <c r="A419" s="206" t="s">
        <v>11</v>
      </c>
      <c r="B419" s="233" t="s">
        <v>24</v>
      </c>
      <c r="C419" s="205">
        <v>348</v>
      </c>
      <c r="D419" s="206" t="s">
        <v>511</v>
      </c>
      <c r="E419" s="304">
        <f>E280</f>
        <v>3500</v>
      </c>
      <c r="F419" s="207">
        <f>C419*E419</f>
        <v>1218000</v>
      </c>
    </row>
    <row r="420" spans="1:6" x14ac:dyDescent="0.25">
      <c r="B420" s="233"/>
    </row>
    <row r="421" spans="1:6" x14ac:dyDescent="0.25">
      <c r="A421" s="206" t="s">
        <v>12</v>
      </c>
      <c r="B421" s="214" t="s">
        <v>584</v>
      </c>
      <c r="C421" s="205">
        <v>206</v>
      </c>
      <c r="D421" s="206" t="s">
        <v>511</v>
      </c>
      <c r="E421" s="304">
        <f>E419</f>
        <v>3500</v>
      </c>
      <c r="F421" s="207">
        <f>C421*E421</f>
        <v>721000</v>
      </c>
    </row>
    <row r="422" spans="1:6" ht="14.25" customHeight="1" x14ac:dyDescent="0.25"/>
    <row r="423" spans="1:6" x14ac:dyDescent="0.25">
      <c r="B423" s="211" t="s">
        <v>585</v>
      </c>
    </row>
    <row r="425" spans="1:6" x14ac:dyDescent="0.25">
      <c r="B425" s="219" t="s">
        <v>560</v>
      </c>
      <c r="F425" s="230"/>
    </row>
    <row r="426" spans="1:6" x14ac:dyDescent="0.25">
      <c r="B426" s="219"/>
      <c r="F426" s="230"/>
    </row>
    <row r="427" spans="1:6" x14ac:dyDescent="0.25">
      <c r="A427" s="206" t="s">
        <v>13</v>
      </c>
      <c r="B427" s="233" t="s">
        <v>586</v>
      </c>
      <c r="C427" s="205">
        <v>21</v>
      </c>
      <c r="D427" s="206" t="s">
        <v>511</v>
      </c>
      <c r="E427" s="304">
        <v>3200</v>
      </c>
      <c r="F427" s="207">
        <f>C427*E427</f>
        <v>67200</v>
      </c>
    </row>
    <row r="428" spans="1:6" x14ac:dyDescent="0.25">
      <c r="B428" s="233"/>
    </row>
    <row r="429" spans="1:6" x14ac:dyDescent="0.25">
      <c r="B429" s="220" t="s">
        <v>520</v>
      </c>
      <c r="C429" s="221"/>
      <c r="D429" s="209"/>
      <c r="E429" s="303" t="s">
        <v>15</v>
      </c>
      <c r="F429" s="222">
        <f>SUM(F388:F428)</f>
        <v>7914100</v>
      </c>
    </row>
    <row r="430" spans="1:6" x14ac:dyDescent="0.25">
      <c r="A430" s="209" t="s">
        <v>796</v>
      </c>
      <c r="B430" s="209"/>
      <c r="C430" s="221" t="s">
        <v>773</v>
      </c>
      <c r="D430" s="209" t="s">
        <v>765</v>
      </c>
      <c r="E430" s="303" t="s">
        <v>914</v>
      </c>
      <c r="F430" s="273" t="s">
        <v>768</v>
      </c>
    </row>
    <row r="431" spans="1:6" x14ac:dyDescent="0.25">
      <c r="B431" s="210" t="s">
        <v>573</v>
      </c>
    </row>
    <row r="432" spans="1:6" x14ac:dyDescent="0.25">
      <c r="B432" s="233"/>
    </row>
    <row r="433" spans="1:6" x14ac:dyDescent="0.25">
      <c r="B433" s="210" t="s">
        <v>587</v>
      </c>
    </row>
    <row r="434" spans="1:6" x14ac:dyDescent="0.25">
      <c r="B434" s="219"/>
    </row>
    <row r="435" spans="1:6" x14ac:dyDescent="0.25">
      <c r="B435" s="252" t="s">
        <v>588</v>
      </c>
    </row>
    <row r="436" spans="1:6" x14ac:dyDescent="0.25">
      <c r="B436" s="244"/>
    </row>
    <row r="437" spans="1:6" x14ac:dyDescent="0.25">
      <c r="A437" s="206" t="s">
        <v>2</v>
      </c>
      <c r="B437" s="253" t="s">
        <v>589</v>
      </c>
      <c r="C437" s="205">
        <v>21</v>
      </c>
      <c r="D437" s="206" t="s">
        <v>511</v>
      </c>
      <c r="E437" s="304">
        <v>7100</v>
      </c>
      <c r="F437" s="207">
        <f>C437*E437</f>
        <v>149100</v>
      </c>
    </row>
    <row r="438" spans="1:6" ht="14.25" customHeight="1" x14ac:dyDescent="0.25">
      <c r="B438" s="254"/>
    </row>
    <row r="439" spans="1:6" x14ac:dyDescent="0.25">
      <c r="A439" s="206" t="s">
        <v>4</v>
      </c>
      <c r="B439" s="233" t="s">
        <v>590</v>
      </c>
      <c r="C439" s="205">
        <v>0</v>
      </c>
      <c r="D439" s="206" t="s">
        <v>511</v>
      </c>
      <c r="E439" s="304">
        <f>E437</f>
        <v>7100</v>
      </c>
      <c r="F439" s="207">
        <f>C439*E439</f>
        <v>0</v>
      </c>
    </row>
    <row r="440" spans="1:6" ht="12" customHeight="1" x14ac:dyDescent="0.25">
      <c r="B440" s="233"/>
    </row>
    <row r="441" spans="1:6" x14ac:dyDescent="0.25">
      <c r="A441" s="206" t="s">
        <v>5</v>
      </c>
      <c r="B441" s="233" t="s">
        <v>591</v>
      </c>
      <c r="D441" s="206" t="s">
        <v>3</v>
      </c>
      <c r="E441" s="304">
        <v>24000</v>
      </c>
      <c r="F441" s="207">
        <f>C441*E441</f>
        <v>0</v>
      </c>
    </row>
    <row r="442" spans="1:6" x14ac:dyDescent="0.25">
      <c r="B442" s="233"/>
    </row>
    <row r="443" spans="1:6" s="269" customFormat="1" x14ac:dyDescent="0.25">
      <c r="A443" s="265"/>
      <c r="B443" s="266" t="s">
        <v>615</v>
      </c>
      <c r="C443" s="267"/>
      <c r="D443" s="265"/>
      <c r="E443" s="304"/>
      <c r="F443" s="268"/>
    </row>
    <row r="444" spans="1:6" s="269" customFormat="1" ht="30" x14ac:dyDescent="0.25">
      <c r="A444" s="265"/>
      <c r="B444" s="270" t="s">
        <v>616</v>
      </c>
      <c r="C444" s="267"/>
      <c r="D444" s="265"/>
      <c r="E444" s="304"/>
      <c r="F444" s="268"/>
    </row>
    <row r="445" spans="1:6" s="269" customFormat="1" x14ac:dyDescent="0.25">
      <c r="A445" s="265" t="s">
        <v>6</v>
      </c>
      <c r="B445" s="233" t="s">
        <v>24</v>
      </c>
      <c r="C445" s="262">
        <f>C419</f>
        <v>348</v>
      </c>
      <c r="D445" s="265" t="s">
        <v>35</v>
      </c>
      <c r="E445" s="304">
        <v>1400</v>
      </c>
      <c r="F445" s="268">
        <f>E445*C445</f>
        <v>487200</v>
      </c>
    </row>
    <row r="446" spans="1:6" s="269" customFormat="1" x14ac:dyDescent="0.25">
      <c r="A446" s="265"/>
      <c r="B446" s="233"/>
      <c r="C446" s="262"/>
      <c r="D446" s="265"/>
      <c r="E446" s="304"/>
      <c r="F446" s="268"/>
    </row>
    <row r="447" spans="1:6" s="269" customFormat="1" ht="24" customHeight="1" x14ac:dyDescent="0.25">
      <c r="A447" s="265" t="s">
        <v>7</v>
      </c>
      <c r="B447" s="214" t="s">
        <v>584</v>
      </c>
      <c r="C447" s="262">
        <v>206</v>
      </c>
      <c r="D447" s="265" t="s">
        <v>22</v>
      </c>
      <c r="E447" s="304">
        <v>590</v>
      </c>
      <c r="F447" s="268">
        <f>E447*C447</f>
        <v>121540</v>
      </c>
    </row>
    <row r="448" spans="1:6" x14ac:dyDescent="0.25">
      <c r="B448" s="211" t="s">
        <v>592</v>
      </c>
    </row>
    <row r="450" spans="1:6" ht="30" x14ac:dyDescent="0.25">
      <c r="B450" s="224" t="s">
        <v>681</v>
      </c>
    </row>
    <row r="452" spans="1:6" x14ac:dyDescent="0.25">
      <c r="A452" s="206" t="s">
        <v>8</v>
      </c>
      <c r="B452" s="233" t="s">
        <v>24</v>
      </c>
      <c r="C452" s="205">
        <f>C419</f>
        <v>348</v>
      </c>
      <c r="D452" s="206" t="s">
        <v>35</v>
      </c>
      <c r="E452" s="304">
        <v>2200</v>
      </c>
      <c r="F452" s="289">
        <f>C452*E452</f>
        <v>765600</v>
      </c>
    </row>
    <row r="453" spans="1:6" x14ac:dyDescent="0.25">
      <c r="B453" s="233"/>
      <c r="F453" s="289"/>
    </row>
    <row r="454" spans="1:6" x14ac:dyDescent="0.25">
      <c r="A454" s="206" t="s">
        <v>9</v>
      </c>
      <c r="B454" s="214" t="s">
        <v>584</v>
      </c>
      <c r="C454" s="205">
        <v>206</v>
      </c>
      <c r="D454" s="206" t="s">
        <v>35</v>
      </c>
      <c r="E454" s="304">
        <f>E452</f>
        <v>2200</v>
      </c>
      <c r="F454" s="289">
        <f>C454*E454</f>
        <v>453200</v>
      </c>
    </row>
    <row r="455" spans="1:6" x14ac:dyDescent="0.25">
      <c r="F455" s="289"/>
    </row>
    <row r="456" spans="1:6" x14ac:dyDescent="0.25">
      <c r="B456" s="220" t="s">
        <v>520</v>
      </c>
      <c r="C456" s="221"/>
      <c r="D456" s="209"/>
      <c r="E456" s="303" t="s">
        <v>15</v>
      </c>
      <c r="F456" s="286">
        <f>SUM(F433:F455)</f>
        <v>1976640</v>
      </c>
    </row>
    <row r="457" spans="1:6" x14ac:dyDescent="0.25">
      <c r="B457" s="220"/>
      <c r="C457" s="221"/>
      <c r="D457" s="209"/>
      <c r="E457" s="303"/>
      <c r="F457" s="286"/>
    </row>
    <row r="458" spans="1:6" x14ac:dyDescent="0.25">
      <c r="B458" s="220"/>
      <c r="C458" s="221"/>
      <c r="D458" s="209"/>
      <c r="E458" s="303"/>
      <c r="F458" s="286"/>
    </row>
    <row r="459" spans="1:6" x14ac:dyDescent="0.25">
      <c r="B459" s="210" t="s">
        <v>531</v>
      </c>
      <c r="F459" s="230"/>
    </row>
    <row r="460" spans="1:6" x14ac:dyDescent="0.25">
      <c r="B460" s="219"/>
      <c r="F460" s="230"/>
    </row>
    <row r="461" spans="1:6" x14ac:dyDescent="0.25">
      <c r="B461" s="231" t="s">
        <v>457</v>
      </c>
      <c r="E461" s="304">
        <f>F384</f>
        <v>7456700</v>
      </c>
      <c r="F461" s="230"/>
    </row>
    <row r="462" spans="1:6" x14ac:dyDescent="0.25">
      <c r="B462" s="231"/>
      <c r="F462" s="230"/>
    </row>
    <row r="463" spans="1:6" x14ac:dyDescent="0.25">
      <c r="B463" s="231" t="s">
        <v>458</v>
      </c>
      <c r="E463" s="304">
        <f>F429</f>
        <v>7914100</v>
      </c>
      <c r="F463" s="230"/>
    </row>
    <row r="464" spans="1:6" x14ac:dyDescent="0.25">
      <c r="B464" s="231"/>
    </row>
    <row r="465" spans="1:6" x14ac:dyDescent="0.25">
      <c r="B465" s="231" t="s">
        <v>459</v>
      </c>
      <c r="E465" s="304">
        <f>F456</f>
        <v>1976640</v>
      </c>
    </row>
    <row r="466" spans="1:6" x14ac:dyDescent="0.25">
      <c r="B466" s="233"/>
    </row>
    <row r="467" spans="1:6" x14ac:dyDescent="0.25">
      <c r="B467" s="233"/>
    </row>
    <row r="468" spans="1:6" x14ac:dyDescent="0.25">
      <c r="B468" s="233"/>
    </row>
    <row r="469" spans="1:6" x14ac:dyDescent="0.25">
      <c r="B469" s="233"/>
    </row>
    <row r="470" spans="1:6" x14ac:dyDescent="0.25">
      <c r="B470" s="233"/>
    </row>
    <row r="471" spans="1:6" x14ac:dyDescent="0.25">
      <c r="B471" s="233"/>
    </row>
    <row r="472" spans="1:6" x14ac:dyDescent="0.25">
      <c r="B472" s="210" t="s">
        <v>163</v>
      </c>
      <c r="F472" s="230"/>
    </row>
    <row r="473" spans="1:6" x14ac:dyDescent="0.25">
      <c r="B473" s="220" t="s">
        <v>534</v>
      </c>
      <c r="C473" s="221"/>
      <c r="D473" s="209"/>
      <c r="E473" s="303" t="s">
        <v>15</v>
      </c>
      <c r="F473" s="286">
        <f>SUM(E459:E466)</f>
        <v>17347440</v>
      </c>
    </row>
    <row r="474" spans="1:6" x14ac:dyDescent="0.25">
      <c r="A474" s="209" t="s">
        <v>796</v>
      </c>
      <c r="B474" s="209"/>
      <c r="C474" s="221" t="s">
        <v>773</v>
      </c>
      <c r="D474" s="209" t="s">
        <v>765</v>
      </c>
      <c r="E474" s="303" t="s">
        <v>914</v>
      </c>
      <c r="F474" s="273" t="s">
        <v>768</v>
      </c>
    </row>
    <row r="475" spans="1:6" x14ac:dyDescent="0.25">
      <c r="B475" s="204" t="s">
        <v>593</v>
      </c>
      <c r="F475" s="230"/>
    </row>
    <row r="476" spans="1:6" x14ac:dyDescent="0.25">
      <c r="F476" s="230"/>
    </row>
    <row r="477" spans="1:6" x14ac:dyDescent="0.25">
      <c r="B477" s="210" t="s">
        <v>195</v>
      </c>
      <c r="F477" s="230"/>
    </row>
    <row r="478" spans="1:6" x14ac:dyDescent="0.25">
      <c r="B478" s="210"/>
      <c r="F478" s="230"/>
    </row>
    <row r="479" spans="1:6" x14ac:dyDescent="0.25">
      <c r="B479" s="211" t="s">
        <v>84</v>
      </c>
      <c r="C479" s="221"/>
      <c r="D479" s="209"/>
      <c r="E479" s="303"/>
      <c r="F479" s="286"/>
    </row>
    <row r="480" spans="1:6" x14ac:dyDescent="0.25">
      <c r="B480" s="226"/>
      <c r="C480" s="221"/>
      <c r="D480" s="209"/>
      <c r="E480" s="303"/>
      <c r="F480" s="286"/>
    </row>
    <row r="481" spans="1:6" ht="30" x14ac:dyDescent="0.25">
      <c r="B481" s="224" t="s">
        <v>594</v>
      </c>
      <c r="C481" s="221"/>
      <c r="D481" s="209"/>
      <c r="E481" s="303"/>
      <c r="F481" s="286"/>
    </row>
    <row r="482" spans="1:6" x14ac:dyDescent="0.25">
      <c r="B482" s="224"/>
      <c r="C482" s="221"/>
      <c r="D482" s="209"/>
      <c r="E482" s="303"/>
      <c r="F482" s="286"/>
    </row>
    <row r="483" spans="1:6" x14ac:dyDescent="0.25">
      <c r="A483" s="206" t="s">
        <v>2</v>
      </c>
      <c r="B483" s="214" t="s">
        <v>595</v>
      </c>
      <c r="C483" s="205">
        <v>543</v>
      </c>
      <c r="D483" s="206" t="s">
        <v>511</v>
      </c>
      <c r="E483" s="304">
        <f>E413</f>
        <v>10300</v>
      </c>
      <c r="F483" s="289">
        <f>C483*E483</f>
        <v>5592900</v>
      </c>
    </row>
    <row r="484" spans="1:6" x14ac:dyDescent="0.25">
      <c r="B484" s="210"/>
      <c r="F484" s="291"/>
    </row>
    <row r="485" spans="1:6" x14ac:dyDescent="0.25">
      <c r="A485" s="206" t="s">
        <v>4</v>
      </c>
      <c r="B485" s="214" t="s">
        <v>596</v>
      </c>
      <c r="D485" s="206" t="s">
        <v>511</v>
      </c>
      <c r="E485" s="304">
        <v>9500</v>
      </c>
      <c r="F485" s="289">
        <f>C485*E485</f>
        <v>0</v>
      </c>
    </row>
    <row r="486" spans="1:6" x14ac:dyDescent="0.25">
      <c r="C486" s="256"/>
      <c r="F486" s="257"/>
    </row>
    <row r="487" spans="1:6" ht="29.25" customHeight="1" x14ac:dyDescent="0.25">
      <c r="B487" s="228" t="s">
        <v>923</v>
      </c>
      <c r="C487" s="214"/>
      <c r="D487" s="389"/>
      <c r="E487" s="231"/>
    </row>
    <row r="488" spans="1:6" ht="29.25" customHeight="1" x14ac:dyDescent="0.25">
      <c r="A488" s="206" t="s">
        <v>5</v>
      </c>
      <c r="B488" s="215" t="s">
        <v>924</v>
      </c>
      <c r="C488" s="391">
        <v>51</v>
      </c>
      <c r="D488" s="206" t="s">
        <v>511</v>
      </c>
      <c r="E488" s="639">
        <v>9500</v>
      </c>
      <c r="F488" s="207">
        <f>C488*E488</f>
        <v>484500</v>
      </c>
    </row>
    <row r="489" spans="1:6" x14ac:dyDescent="0.25">
      <c r="B489" s="211" t="s">
        <v>98</v>
      </c>
      <c r="F489" s="230"/>
    </row>
    <row r="490" spans="1:6" x14ac:dyDescent="0.25">
      <c r="F490" s="230"/>
    </row>
    <row r="491" spans="1:6" ht="17.25" customHeight="1" x14ac:dyDescent="0.25">
      <c r="B491" s="219" t="s">
        <v>666</v>
      </c>
      <c r="F491" s="230"/>
    </row>
    <row r="492" spans="1:6" ht="14.25" customHeight="1" x14ac:dyDescent="0.25">
      <c r="B492" s="219"/>
      <c r="F492" s="230"/>
    </row>
    <row r="493" spans="1:6" x14ac:dyDescent="0.25">
      <c r="A493" s="206" t="s">
        <v>6</v>
      </c>
      <c r="B493" s="214" t="s">
        <v>597</v>
      </c>
      <c r="C493" s="205">
        <v>2</v>
      </c>
      <c r="D493" s="206" t="s">
        <v>513</v>
      </c>
      <c r="E493" s="304">
        <f>E123</f>
        <v>95000</v>
      </c>
      <c r="F493" s="230">
        <f>C493*E493</f>
        <v>190000</v>
      </c>
    </row>
    <row r="494" spans="1:6" x14ac:dyDescent="0.25">
      <c r="C494" s="205" t="s">
        <v>20</v>
      </c>
      <c r="F494" s="230"/>
    </row>
    <row r="495" spans="1:6" x14ac:dyDescent="0.25">
      <c r="B495" s="211" t="s">
        <v>102</v>
      </c>
      <c r="F495" s="230"/>
    </row>
    <row r="496" spans="1:6" ht="14.25" customHeight="1" x14ac:dyDescent="0.25">
      <c r="B496" s="219"/>
      <c r="F496" s="230"/>
    </row>
    <row r="497" spans="1:6" x14ac:dyDescent="0.25">
      <c r="B497" s="219" t="s">
        <v>598</v>
      </c>
      <c r="F497" s="230"/>
    </row>
    <row r="498" spans="1:6" ht="12.75" customHeight="1" x14ac:dyDescent="0.25">
      <c r="F498" s="230"/>
    </row>
    <row r="499" spans="1:6" x14ac:dyDescent="0.25">
      <c r="A499" s="206" t="s">
        <v>6</v>
      </c>
      <c r="B499" s="214" t="s">
        <v>571</v>
      </c>
      <c r="C499" s="205">
        <v>195</v>
      </c>
      <c r="D499" s="206" t="s">
        <v>75</v>
      </c>
      <c r="E499" s="304">
        <f>E363</f>
        <v>1450</v>
      </c>
      <c r="F499" s="230">
        <f>C499*E499</f>
        <v>282750</v>
      </c>
    </row>
    <row r="500" spans="1:6" x14ac:dyDescent="0.25">
      <c r="F500" s="230"/>
    </row>
    <row r="501" spans="1:6" x14ac:dyDescent="0.25">
      <c r="A501" s="206" t="s">
        <v>7</v>
      </c>
      <c r="B501" s="214" t="s">
        <v>599</v>
      </c>
      <c r="C501" s="205">
        <v>142</v>
      </c>
      <c r="D501" s="206" t="s">
        <v>75</v>
      </c>
      <c r="E501" s="304">
        <f>E499</f>
        <v>1450</v>
      </c>
      <c r="F501" s="230">
        <f>C501*E501</f>
        <v>205900</v>
      </c>
    </row>
    <row r="502" spans="1:6" ht="14.25" customHeight="1" x14ac:dyDescent="0.25">
      <c r="F502" s="230"/>
    </row>
    <row r="503" spans="1:6" x14ac:dyDescent="0.25">
      <c r="B503" s="211" t="s">
        <v>67</v>
      </c>
      <c r="F503" s="230"/>
    </row>
    <row r="504" spans="1:6" ht="15" customHeight="1" x14ac:dyDescent="0.25">
      <c r="F504" s="230"/>
    </row>
    <row r="505" spans="1:6" x14ac:dyDescent="0.25">
      <c r="B505" s="219" t="s">
        <v>120</v>
      </c>
      <c r="F505" s="230"/>
    </row>
    <row r="506" spans="1:6" ht="9.75" customHeight="1" x14ac:dyDescent="0.25">
      <c r="F506" s="230"/>
    </row>
    <row r="507" spans="1:6" x14ac:dyDescent="0.25">
      <c r="A507" s="206" t="s">
        <v>8</v>
      </c>
      <c r="B507" s="214" t="s">
        <v>600</v>
      </c>
      <c r="C507" s="205">
        <v>31</v>
      </c>
      <c r="D507" s="206" t="s">
        <v>511</v>
      </c>
      <c r="E507" s="304">
        <f>E372</f>
        <v>8500</v>
      </c>
      <c r="F507" s="230">
        <f>C507*E507</f>
        <v>263500</v>
      </c>
    </row>
    <row r="508" spans="1:6" x14ac:dyDescent="0.25">
      <c r="B508" s="219"/>
      <c r="F508" s="227"/>
    </row>
    <row r="509" spans="1:6" x14ac:dyDescent="0.25">
      <c r="F509" s="261"/>
    </row>
    <row r="510" spans="1:6" x14ac:dyDescent="0.25">
      <c r="F510" s="227"/>
    </row>
    <row r="511" spans="1:6" x14ac:dyDescent="0.25">
      <c r="B511" s="219"/>
      <c r="F511" s="230"/>
    </row>
    <row r="512" spans="1:6" x14ac:dyDescent="0.25">
      <c r="B512" s="219"/>
      <c r="F512" s="230"/>
    </row>
    <row r="513" spans="1:13" x14ac:dyDescent="0.25">
      <c r="B513" s="224"/>
      <c r="F513" s="230"/>
    </row>
    <row r="514" spans="1:13" x14ac:dyDescent="0.25">
      <c r="F514" s="257"/>
    </row>
    <row r="515" spans="1:13" x14ac:dyDescent="0.25">
      <c r="F515" s="257"/>
    </row>
    <row r="516" spans="1:13" x14ac:dyDescent="0.25">
      <c r="B516" s="210" t="s">
        <v>195</v>
      </c>
      <c r="C516" s="221"/>
      <c r="D516" s="209"/>
      <c r="E516" s="303"/>
      <c r="F516" s="235"/>
    </row>
    <row r="517" spans="1:13" ht="18.75" customHeight="1" x14ac:dyDescent="0.25">
      <c r="B517" s="220" t="s">
        <v>534</v>
      </c>
      <c r="C517" s="221"/>
      <c r="D517" s="209"/>
      <c r="E517" s="303" t="s">
        <v>15</v>
      </c>
      <c r="F517" s="235">
        <f>SUM(F481:F516)</f>
        <v>7019550</v>
      </c>
    </row>
    <row r="518" spans="1:13" x14ac:dyDescent="0.25">
      <c r="A518" s="209" t="s">
        <v>796</v>
      </c>
      <c r="B518" s="209"/>
      <c r="C518" s="221" t="s">
        <v>773</v>
      </c>
      <c r="D518" s="209" t="s">
        <v>765</v>
      </c>
      <c r="E518" s="303" t="s">
        <v>914</v>
      </c>
      <c r="F518" s="273" t="s">
        <v>768</v>
      </c>
    </row>
    <row r="519" spans="1:13" x14ac:dyDescent="0.25">
      <c r="B519" s="210" t="s">
        <v>601</v>
      </c>
      <c r="F519" s="230"/>
    </row>
    <row r="520" spans="1:13" ht="8.25" customHeight="1" x14ac:dyDescent="0.25">
      <c r="B520" s="220"/>
      <c r="F520" s="230"/>
    </row>
    <row r="521" spans="1:13" x14ac:dyDescent="0.25">
      <c r="B521" s="210" t="s">
        <v>602</v>
      </c>
      <c r="F521" s="230"/>
    </row>
    <row r="522" spans="1:13" ht="10.5" customHeight="1" x14ac:dyDescent="0.25">
      <c r="F522" s="230"/>
    </row>
    <row r="523" spans="1:13" x14ac:dyDescent="0.25">
      <c r="B523" s="211" t="s">
        <v>203</v>
      </c>
      <c r="C523" s="221"/>
      <c r="D523" s="209"/>
      <c r="E523" s="303"/>
      <c r="F523" s="286"/>
    </row>
    <row r="524" spans="1:13" ht="9" customHeight="1" x14ac:dyDescent="0.25">
      <c r="B524" s="220"/>
      <c r="C524" s="221"/>
      <c r="D524" s="209"/>
      <c r="E524" s="303"/>
      <c r="F524" s="286"/>
    </row>
    <row r="525" spans="1:13" x14ac:dyDescent="0.25">
      <c r="B525" s="214" t="s">
        <v>603</v>
      </c>
      <c r="F525" s="230"/>
    </row>
    <row r="526" spans="1:13" ht="91.5" customHeight="1" x14ac:dyDescent="0.25">
      <c r="B526" s="218" t="s">
        <v>708</v>
      </c>
      <c r="G526" s="206"/>
      <c r="I526" s="214"/>
      <c r="J526" s="214"/>
      <c r="K526" s="214"/>
      <c r="L526" s="214"/>
      <c r="M526" s="214"/>
    </row>
    <row r="527" spans="1:13" ht="14.25" customHeight="1" x14ac:dyDescent="0.25">
      <c r="A527" s="206" t="s">
        <v>2</v>
      </c>
      <c r="B527" s="214" t="s">
        <v>1014</v>
      </c>
      <c r="C527" s="205">
        <v>24</v>
      </c>
      <c r="D527" s="206" t="s">
        <v>3</v>
      </c>
      <c r="E527" s="304">
        <v>175500</v>
      </c>
      <c r="F527" s="230">
        <f>E527*C527</f>
        <v>4212000</v>
      </c>
      <c r="G527" s="214"/>
      <c r="H527" s="258"/>
      <c r="I527" s="259"/>
      <c r="J527" s="259"/>
      <c r="K527" s="214"/>
    </row>
    <row r="528" spans="1:13" x14ac:dyDescent="0.25">
      <c r="F528" s="230"/>
      <c r="G528" s="214"/>
      <c r="H528" s="258"/>
      <c r="I528" s="259"/>
      <c r="J528" s="259"/>
      <c r="K528" s="214"/>
    </row>
    <row r="529" spans="1:13" ht="14.25" customHeight="1" x14ac:dyDescent="0.25">
      <c r="A529" s="206" t="s">
        <v>4</v>
      </c>
      <c r="B529" s="214" t="s">
        <v>1015</v>
      </c>
      <c r="C529" s="205">
        <v>11</v>
      </c>
      <c r="D529" s="206" t="s">
        <v>3</v>
      </c>
      <c r="E529" s="304">
        <v>140400</v>
      </c>
      <c r="F529" s="230">
        <f>E529*C529</f>
        <v>1544400</v>
      </c>
      <c r="G529" s="214"/>
      <c r="H529" s="258"/>
      <c r="I529" s="259"/>
      <c r="J529" s="259"/>
      <c r="K529" s="214"/>
    </row>
    <row r="530" spans="1:13" ht="14.25" customHeight="1" x14ac:dyDescent="0.25">
      <c r="F530" s="230"/>
      <c r="G530" s="214"/>
      <c r="H530" s="214"/>
      <c r="I530" s="259"/>
      <c r="J530" s="259"/>
      <c r="K530" s="214"/>
    </row>
    <row r="531" spans="1:13" ht="14.25" customHeight="1" x14ac:dyDescent="0.25">
      <c r="A531" s="206" t="s">
        <v>5</v>
      </c>
      <c r="B531" s="214" t="s">
        <v>1016</v>
      </c>
      <c r="C531" s="205">
        <v>6</v>
      </c>
      <c r="D531" s="206" t="s">
        <v>3</v>
      </c>
      <c r="E531" s="304">
        <v>70200</v>
      </c>
      <c r="F531" s="230">
        <f>E531*C531</f>
        <v>421200</v>
      </c>
      <c r="G531" s="214"/>
      <c r="H531" s="258"/>
      <c r="I531" s="259"/>
      <c r="J531" s="259"/>
      <c r="K531" s="214"/>
    </row>
    <row r="532" spans="1:13" ht="14.25" customHeight="1" x14ac:dyDescent="0.25">
      <c r="F532" s="230"/>
      <c r="G532" s="214"/>
      <c r="H532" s="214"/>
      <c r="I532" s="259"/>
      <c r="J532" s="259"/>
      <c r="K532" s="214"/>
    </row>
    <row r="533" spans="1:13" ht="22.5" customHeight="1" x14ac:dyDescent="0.25">
      <c r="A533" s="206" t="s">
        <v>6</v>
      </c>
      <c r="B533" s="214" t="s">
        <v>1017</v>
      </c>
      <c r="D533" s="206" t="s">
        <v>3</v>
      </c>
      <c r="E533" s="304">
        <v>93600</v>
      </c>
      <c r="F533" s="207">
        <f>E533*C533</f>
        <v>0</v>
      </c>
    </row>
    <row r="534" spans="1:13" ht="14.25" customHeight="1" x14ac:dyDescent="0.25">
      <c r="F534" s="230"/>
      <c r="G534" s="214"/>
      <c r="H534" s="214"/>
      <c r="I534" s="259"/>
      <c r="J534" s="259"/>
      <c r="K534" s="214"/>
    </row>
    <row r="535" spans="1:13" ht="22.5" customHeight="1" x14ac:dyDescent="0.25">
      <c r="A535" s="206" t="s">
        <v>7</v>
      </c>
      <c r="B535" s="214" t="s">
        <v>929</v>
      </c>
      <c r="C535" s="205">
        <v>14</v>
      </c>
      <c r="D535" s="206" t="s">
        <v>3</v>
      </c>
      <c r="E535" s="304">
        <v>46800</v>
      </c>
      <c r="F535" s="207">
        <f>E535*C535</f>
        <v>655200</v>
      </c>
    </row>
    <row r="536" spans="1:13" ht="14.25" customHeight="1" x14ac:dyDescent="0.25">
      <c r="F536" s="230"/>
      <c r="G536" s="214"/>
      <c r="H536" s="214"/>
      <c r="I536" s="259"/>
      <c r="J536" s="259"/>
      <c r="K536" s="214"/>
    </row>
    <row r="537" spans="1:13" ht="11.45" customHeight="1" x14ac:dyDescent="0.25">
      <c r="E537" s="304">
        <v>0</v>
      </c>
      <c r="F537" s="230"/>
      <c r="H537" s="223"/>
    </row>
    <row r="538" spans="1:13" x14ac:dyDescent="0.25">
      <c r="B538" s="234" t="s">
        <v>682</v>
      </c>
      <c r="G538" s="206"/>
      <c r="I538" s="214"/>
      <c r="J538" s="214"/>
      <c r="K538" s="214"/>
      <c r="L538" s="214"/>
      <c r="M538" s="214"/>
    </row>
    <row r="539" spans="1:13" ht="19.149999999999999" customHeight="1" x14ac:dyDescent="0.25">
      <c r="A539" s="206" t="s">
        <v>8</v>
      </c>
      <c r="B539" s="214" t="s">
        <v>1014</v>
      </c>
      <c r="C539" s="205">
        <f>C527</f>
        <v>24</v>
      </c>
      <c r="D539" s="206" t="s">
        <v>3</v>
      </c>
      <c r="E539" s="304">
        <v>17550</v>
      </c>
      <c r="F539" s="230">
        <f>E539*C539</f>
        <v>421200</v>
      </c>
      <c r="G539" s="214"/>
      <c r="H539" s="258"/>
      <c r="I539" s="259"/>
      <c r="J539" s="259"/>
      <c r="K539" s="214"/>
    </row>
    <row r="540" spans="1:13" ht="14.25" customHeight="1" x14ac:dyDescent="0.25">
      <c r="F540" s="230"/>
      <c r="G540" s="214"/>
      <c r="H540" s="258"/>
      <c r="I540" s="259"/>
      <c r="J540" s="259"/>
      <c r="K540" s="214"/>
    </row>
    <row r="541" spans="1:13" ht="14.25" customHeight="1" x14ac:dyDescent="0.25">
      <c r="A541" s="206" t="s">
        <v>9</v>
      </c>
      <c r="B541" s="214" t="s">
        <v>1015</v>
      </c>
      <c r="C541" s="205">
        <f>C529</f>
        <v>11</v>
      </c>
      <c r="D541" s="206" t="s">
        <v>3</v>
      </c>
      <c r="E541" s="304">
        <v>14040</v>
      </c>
      <c r="F541" s="230">
        <f>E541*C541</f>
        <v>154440</v>
      </c>
      <c r="G541" s="214"/>
      <c r="H541" s="258"/>
      <c r="I541" s="259"/>
      <c r="J541" s="259"/>
      <c r="K541" s="214"/>
    </row>
    <row r="542" spans="1:13" ht="14.25" customHeight="1" x14ac:dyDescent="0.25">
      <c r="F542" s="230"/>
      <c r="G542" s="214"/>
      <c r="H542" s="258"/>
      <c r="I542" s="259"/>
      <c r="J542" s="259"/>
      <c r="K542" s="214"/>
    </row>
    <row r="543" spans="1:13" ht="14.25" customHeight="1" x14ac:dyDescent="0.25">
      <c r="A543" s="206" t="s">
        <v>10</v>
      </c>
      <c r="B543" s="214" t="s">
        <v>1016</v>
      </c>
      <c r="C543" s="205">
        <f>C531</f>
        <v>6</v>
      </c>
      <c r="D543" s="206" t="s">
        <v>3</v>
      </c>
      <c r="E543" s="304">
        <v>7020</v>
      </c>
      <c r="F543" s="230">
        <f>E543*C543</f>
        <v>42120</v>
      </c>
      <c r="G543" s="214"/>
      <c r="H543" s="258"/>
      <c r="I543" s="259"/>
      <c r="J543" s="259"/>
      <c r="K543" s="214"/>
    </row>
    <row r="544" spans="1:13" ht="10.9" customHeight="1" x14ac:dyDescent="0.25">
      <c r="F544" s="230"/>
      <c r="G544" s="214"/>
      <c r="H544" s="258"/>
      <c r="I544" s="259"/>
      <c r="J544" s="259"/>
      <c r="K544" s="214"/>
    </row>
    <row r="545" spans="1:8" ht="22.5" customHeight="1" x14ac:dyDescent="0.25">
      <c r="A545" s="206" t="s">
        <v>11</v>
      </c>
      <c r="B545" s="214" t="s">
        <v>1017</v>
      </c>
      <c r="C545" s="205">
        <f>C533</f>
        <v>0</v>
      </c>
      <c r="D545" s="206" t="s">
        <v>3</v>
      </c>
      <c r="E545" s="304">
        <v>9360</v>
      </c>
      <c r="F545" s="207">
        <f>E545*C545</f>
        <v>0</v>
      </c>
    </row>
    <row r="546" spans="1:8" x14ac:dyDescent="0.25">
      <c r="F546" s="230"/>
      <c r="H546" s="223"/>
    </row>
    <row r="547" spans="1:8" ht="22.5" customHeight="1" x14ac:dyDescent="0.25">
      <c r="A547" s="206" t="s">
        <v>7</v>
      </c>
      <c r="B547" s="214" t="s">
        <v>929</v>
      </c>
      <c r="C547" s="205">
        <f>C535</f>
        <v>14</v>
      </c>
      <c r="D547" s="206" t="s">
        <v>3</v>
      </c>
      <c r="E547" s="304">
        <v>4680</v>
      </c>
      <c r="F547" s="207">
        <f>E547*C547</f>
        <v>65520</v>
      </c>
    </row>
    <row r="548" spans="1:8" x14ac:dyDescent="0.25">
      <c r="B548" s="224"/>
      <c r="F548" s="230"/>
      <c r="H548" s="223"/>
    </row>
    <row r="549" spans="1:8" x14ac:dyDescent="0.25">
      <c r="E549" s="306"/>
    </row>
    <row r="550" spans="1:8" x14ac:dyDescent="0.25">
      <c r="E550" s="306"/>
    </row>
    <row r="551" spans="1:8" x14ac:dyDescent="0.25">
      <c r="E551" s="306"/>
    </row>
    <row r="552" spans="1:8" x14ac:dyDescent="0.25">
      <c r="E552" s="306"/>
    </row>
    <row r="553" spans="1:8" x14ac:dyDescent="0.25">
      <c r="E553" s="306"/>
    </row>
    <row r="554" spans="1:8" x14ac:dyDescent="0.25">
      <c r="E554" s="306"/>
    </row>
    <row r="555" spans="1:8" x14ac:dyDescent="0.25">
      <c r="E555" s="306"/>
    </row>
    <row r="556" spans="1:8" x14ac:dyDescent="0.25">
      <c r="E556" s="306"/>
    </row>
    <row r="557" spans="1:8" ht="22.5" customHeight="1" x14ac:dyDescent="0.25">
      <c r="E557" s="306"/>
    </row>
    <row r="558" spans="1:8" ht="22.5" customHeight="1" x14ac:dyDescent="0.25">
      <c r="E558" s="306"/>
    </row>
    <row r="559" spans="1:8" ht="22.5" customHeight="1" x14ac:dyDescent="0.25">
      <c r="E559" s="306"/>
    </row>
    <row r="560" spans="1:8" x14ac:dyDescent="0.25">
      <c r="E560" s="306"/>
    </row>
    <row r="561" spans="1:6" x14ac:dyDescent="0.25">
      <c r="B561" s="210" t="s">
        <v>200</v>
      </c>
      <c r="F561" s="230"/>
    </row>
    <row r="562" spans="1:6" x14ac:dyDescent="0.25">
      <c r="B562" s="220" t="s">
        <v>534</v>
      </c>
      <c r="C562" s="221"/>
      <c r="D562" s="209"/>
      <c r="E562" s="303" t="s">
        <v>15</v>
      </c>
      <c r="F562" s="235">
        <f>SUM(F523:F561)</f>
        <v>7516080</v>
      </c>
    </row>
    <row r="563" spans="1:6" x14ac:dyDescent="0.25">
      <c r="A563" s="209" t="s">
        <v>796</v>
      </c>
      <c r="B563" s="209"/>
      <c r="C563" s="221" t="s">
        <v>773</v>
      </c>
      <c r="D563" s="209" t="s">
        <v>765</v>
      </c>
      <c r="E563" s="303" t="s">
        <v>914</v>
      </c>
      <c r="F563" s="273" t="s">
        <v>768</v>
      </c>
    </row>
    <row r="564" spans="1:6" x14ac:dyDescent="0.25">
      <c r="B564" s="204" t="s">
        <v>604</v>
      </c>
      <c r="F564" s="230"/>
    </row>
    <row r="565" spans="1:6" x14ac:dyDescent="0.25">
      <c r="F565" s="230"/>
    </row>
    <row r="566" spans="1:6" x14ac:dyDescent="0.25">
      <c r="B566" s="210" t="s">
        <v>210</v>
      </c>
      <c r="F566" s="230"/>
    </row>
    <row r="567" spans="1:6" ht="21" customHeight="1" x14ac:dyDescent="0.25">
      <c r="B567" s="210"/>
      <c r="F567" s="230"/>
    </row>
    <row r="568" spans="1:6" x14ac:dyDescent="0.25">
      <c r="B568" s="211" t="s">
        <v>84</v>
      </c>
      <c r="C568" s="221"/>
      <c r="D568" s="209"/>
      <c r="E568" s="303"/>
      <c r="F568" s="286"/>
    </row>
    <row r="569" spans="1:6" x14ac:dyDescent="0.25">
      <c r="B569" s="226"/>
      <c r="C569" s="221"/>
      <c r="D569" s="209"/>
      <c r="E569" s="303"/>
      <c r="F569" s="286"/>
    </row>
    <row r="570" spans="1:6" ht="30" x14ac:dyDescent="0.25">
      <c r="B570" s="224" t="s">
        <v>594</v>
      </c>
      <c r="C570" s="221"/>
      <c r="D570" s="209"/>
      <c r="E570" s="303"/>
      <c r="F570" s="286"/>
    </row>
    <row r="571" spans="1:6" x14ac:dyDescent="0.25">
      <c r="B571" s="224"/>
      <c r="C571" s="221"/>
      <c r="D571" s="209"/>
      <c r="E571" s="303"/>
      <c r="F571" s="286"/>
    </row>
    <row r="572" spans="1:6" x14ac:dyDescent="0.25">
      <c r="A572" s="206" t="s">
        <v>2</v>
      </c>
      <c r="B572" s="214" t="s">
        <v>595</v>
      </c>
      <c r="C572" s="205">
        <v>404</v>
      </c>
      <c r="D572" s="206" t="s">
        <v>511</v>
      </c>
      <c r="E572" s="304">
        <f>E483</f>
        <v>10300</v>
      </c>
      <c r="F572" s="289">
        <f>C572*E572</f>
        <v>4161200</v>
      </c>
    </row>
    <row r="573" spans="1:6" x14ac:dyDescent="0.25">
      <c r="B573" s="210"/>
      <c r="F573" s="291"/>
    </row>
    <row r="574" spans="1:6" x14ac:dyDescent="0.25">
      <c r="A574" s="206" t="s">
        <v>4</v>
      </c>
      <c r="B574" s="214" t="s">
        <v>596</v>
      </c>
      <c r="C574" s="205">
        <v>220</v>
      </c>
      <c r="D574" s="206" t="s">
        <v>511</v>
      </c>
      <c r="E574" s="304">
        <v>9500</v>
      </c>
      <c r="F574" s="289">
        <f>C574*E574</f>
        <v>2090000</v>
      </c>
    </row>
    <row r="575" spans="1:6" x14ac:dyDescent="0.25">
      <c r="C575" s="256"/>
      <c r="F575" s="257"/>
    </row>
    <row r="576" spans="1:6" x14ac:dyDescent="0.25">
      <c r="B576" s="211" t="s">
        <v>98</v>
      </c>
      <c r="F576" s="230"/>
    </row>
    <row r="577" spans="1:6" x14ac:dyDescent="0.25">
      <c r="F577" s="230"/>
    </row>
    <row r="578" spans="1:6" x14ac:dyDescent="0.25">
      <c r="B578" s="219" t="s">
        <v>666</v>
      </c>
      <c r="F578" s="230"/>
    </row>
    <row r="579" spans="1:6" x14ac:dyDescent="0.25">
      <c r="F579" s="230"/>
    </row>
    <row r="580" spans="1:6" x14ac:dyDescent="0.25">
      <c r="A580" s="206" t="s">
        <v>5</v>
      </c>
      <c r="B580" s="214" t="s">
        <v>597</v>
      </c>
      <c r="C580" s="205">
        <v>2</v>
      </c>
      <c r="D580" s="206" t="s">
        <v>513</v>
      </c>
      <c r="E580" s="304">
        <f>E493</f>
        <v>95000</v>
      </c>
      <c r="F580" s="230">
        <f>C580*E580</f>
        <v>190000</v>
      </c>
    </row>
    <row r="581" spans="1:6" x14ac:dyDescent="0.25">
      <c r="C581" s="205" t="s">
        <v>20</v>
      </c>
      <c r="F581" s="230"/>
    </row>
    <row r="582" spans="1:6" x14ac:dyDescent="0.25">
      <c r="B582" s="211" t="s">
        <v>102</v>
      </c>
      <c r="F582" s="230"/>
    </row>
    <row r="583" spans="1:6" x14ac:dyDescent="0.25">
      <c r="B583" s="219"/>
      <c r="F583" s="230"/>
    </row>
    <row r="584" spans="1:6" x14ac:dyDescent="0.25">
      <c r="B584" s="219" t="s">
        <v>598</v>
      </c>
      <c r="F584" s="230"/>
    </row>
    <row r="585" spans="1:6" x14ac:dyDescent="0.25">
      <c r="F585" s="230"/>
    </row>
    <row r="586" spans="1:6" x14ac:dyDescent="0.25">
      <c r="A586" s="206" t="s">
        <v>6</v>
      </c>
      <c r="B586" s="214" t="s">
        <v>571</v>
      </c>
      <c r="C586" s="205">
        <v>195</v>
      </c>
      <c r="D586" s="206" t="s">
        <v>75</v>
      </c>
      <c r="E586" s="304">
        <f>E499</f>
        <v>1450</v>
      </c>
      <c r="F586" s="230">
        <f>C586*E586</f>
        <v>282750</v>
      </c>
    </row>
    <row r="587" spans="1:6" x14ac:dyDescent="0.25">
      <c r="F587" s="230"/>
    </row>
    <row r="588" spans="1:6" x14ac:dyDescent="0.25">
      <c r="A588" s="206" t="s">
        <v>7</v>
      </c>
      <c r="B588" s="214" t="s">
        <v>599</v>
      </c>
      <c r="C588" s="205">
        <v>142</v>
      </c>
      <c r="D588" s="206" t="s">
        <v>75</v>
      </c>
      <c r="E588" s="304">
        <f>E586</f>
        <v>1450</v>
      </c>
      <c r="F588" s="230">
        <f>C588*E588</f>
        <v>205900</v>
      </c>
    </row>
    <row r="589" spans="1:6" x14ac:dyDescent="0.25">
      <c r="F589" s="230"/>
    </row>
    <row r="590" spans="1:6" x14ac:dyDescent="0.25">
      <c r="B590" s="211" t="s">
        <v>67</v>
      </c>
      <c r="F590" s="230"/>
    </row>
    <row r="591" spans="1:6" x14ac:dyDescent="0.25">
      <c r="F591" s="230"/>
    </row>
    <row r="592" spans="1:6" x14ac:dyDescent="0.25">
      <c r="B592" s="219" t="s">
        <v>120</v>
      </c>
      <c r="F592" s="230"/>
    </row>
    <row r="593" spans="1:6" x14ac:dyDescent="0.25">
      <c r="F593" s="230"/>
    </row>
    <row r="594" spans="1:6" x14ac:dyDescent="0.25">
      <c r="A594" s="206" t="s">
        <v>8</v>
      </c>
      <c r="B594" s="214" t="s">
        <v>600</v>
      </c>
      <c r="C594" s="205">
        <v>31</v>
      </c>
      <c r="D594" s="206" t="s">
        <v>511</v>
      </c>
      <c r="E594" s="304">
        <f>E507</f>
        <v>8500</v>
      </c>
      <c r="F594" s="230">
        <f>C594*E594</f>
        <v>263500</v>
      </c>
    </row>
    <row r="595" spans="1:6" x14ac:dyDescent="0.25">
      <c r="B595" s="219"/>
      <c r="F595" s="227"/>
    </row>
    <row r="596" spans="1:6" x14ac:dyDescent="0.25">
      <c r="F596" s="227"/>
    </row>
    <row r="597" spans="1:6" x14ac:dyDescent="0.25">
      <c r="F597" s="227"/>
    </row>
    <row r="598" spans="1:6" x14ac:dyDescent="0.25">
      <c r="F598" s="227"/>
    </row>
    <row r="599" spans="1:6" x14ac:dyDescent="0.25">
      <c r="B599" s="219"/>
      <c r="F599" s="230"/>
    </row>
    <row r="600" spans="1:6" x14ac:dyDescent="0.25">
      <c r="B600" s="219"/>
      <c r="F600" s="230"/>
    </row>
    <row r="601" spans="1:6" x14ac:dyDescent="0.25">
      <c r="B601" s="224"/>
      <c r="F601" s="230"/>
    </row>
    <row r="602" spans="1:6" x14ac:dyDescent="0.25">
      <c r="B602" s="224"/>
      <c r="F602" s="257"/>
    </row>
    <row r="603" spans="1:6" x14ac:dyDescent="0.25">
      <c r="B603" s="224"/>
      <c r="F603" s="257"/>
    </row>
    <row r="604" spans="1:6" x14ac:dyDescent="0.25">
      <c r="B604" s="224"/>
      <c r="F604" s="257"/>
    </row>
    <row r="605" spans="1:6" x14ac:dyDescent="0.25">
      <c r="B605" s="224"/>
      <c r="F605" s="257"/>
    </row>
    <row r="606" spans="1:6" x14ac:dyDescent="0.25">
      <c r="B606" s="210" t="s">
        <v>210</v>
      </c>
      <c r="C606" s="221"/>
      <c r="D606" s="209"/>
      <c r="E606" s="303"/>
      <c r="F606" s="235"/>
    </row>
    <row r="607" spans="1:6" x14ac:dyDescent="0.25">
      <c r="B607" s="220" t="s">
        <v>534</v>
      </c>
      <c r="C607" s="221"/>
      <c r="D607" s="209"/>
      <c r="E607" s="303" t="s">
        <v>15</v>
      </c>
      <c r="F607" s="235">
        <f>SUM(F568:F606)</f>
        <v>7193350</v>
      </c>
    </row>
    <row r="608" spans="1:6" x14ac:dyDescent="0.25">
      <c r="A608" s="209" t="s">
        <v>796</v>
      </c>
      <c r="B608" s="209"/>
      <c r="C608" s="221" t="s">
        <v>773</v>
      </c>
      <c r="D608" s="209" t="s">
        <v>765</v>
      </c>
      <c r="E608" s="303" t="s">
        <v>914</v>
      </c>
      <c r="F608" s="273" t="s">
        <v>768</v>
      </c>
    </row>
    <row r="609" spans="1:6" x14ac:dyDescent="0.25">
      <c r="B609" s="210" t="s">
        <v>605</v>
      </c>
      <c r="F609" s="230"/>
    </row>
    <row r="610" spans="1:6" x14ac:dyDescent="0.25">
      <c r="B610" s="220"/>
      <c r="F610" s="230"/>
    </row>
    <row r="611" spans="1:6" x14ac:dyDescent="0.25">
      <c r="B611" s="210" t="s">
        <v>213</v>
      </c>
      <c r="F611" s="230"/>
    </row>
    <row r="612" spans="1:6" x14ac:dyDescent="0.25">
      <c r="F612" s="230"/>
    </row>
    <row r="613" spans="1:6" x14ac:dyDescent="0.25">
      <c r="B613" s="210" t="s">
        <v>606</v>
      </c>
      <c r="F613" s="230"/>
    </row>
    <row r="614" spans="1:6" x14ac:dyDescent="0.25">
      <c r="F614" s="230"/>
    </row>
    <row r="615" spans="1:6" ht="63" customHeight="1" x14ac:dyDescent="0.25">
      <c r="B615" s="224" t="s">
        <v>683</v>
      </c>
      <c r="F615" s="230"/>
    </row>
    <row r="616" spans="1:6" x14ac:dyDescent="0.25">
      <c r="F616" s="289"/>
    </row>
    <row r="617" spans="1:6" ht="22.5" customHeight="1" x14ac:dyDescent="0.25">
      <c r="A617" s="206" t="s">
        <v>2</v>
      </c>
      <c r="B617" s="214" t="s">
        <v>998</v>
      </c>
      <c r="C617" s="205">
        <v>7</v>
      </c>
      <c r="D617" s="206" t="s">
        <v>3</v>
      </c>
      <c r="E617" s="306">
        <v>291600</v>
      </c>
      <c r="F617" s="207">
        <f>E617*C617</f>
        <v>2041200</v>
      </c>
    </row>
    <row r="618" spans="1:6" x14ac:dyDescent="0.25">
      <c r="B618" s="210"/>
    </row>
    <row r="619" spans="1:6" x14ac:dyDescent="0.25">
      <c r="A619" s="206" t="s">
        <v>4</v>
      </c>
      <c r="B619" s="214" t="s">
        <v>1018</v>
      </c>
      <c r="C619" s="205">
        <v>6</v>
      </c>
      <c r="D619" s="206" t="s">
        <v>3</v>
      </c>
      <c r="E619" s="306">
        <v>218700</v>
      </c>
      <c r="F619" s="207">
        <f>E619*C619</f>
        <v>1312200</v>
      </c>
    </row>
    <row r="620" spans="1:6" x14ac:dyDescent="0.25">
      <c r="B620" s="210"/>
      <c r="E620" s="306"/>
      <c r="F620" s="230"/>
    </row>
    <row r="621" spans="1:6" x14ac:dyDescent="0.25">
      <c r="A621" s="206" t="s">
        <v>5</v>
      </c>
      <c r="B621" s="214" t="s">
        <v>894</v>
      </c>
      <c r="C621" s="205">
        <v>14</v>
      </c>
      <c r="D621" s="206" t="s">
        <v>3</v>
      </c>
      <c r="E621" s="306">
        <v>170100</v>
      </c>
      <c r="F621" s="207">
        <f>E621*C621</f>
        <v>2381400</v>
      </c>
    </row>
    <row r="622" spans="1:6" x14ac:dyDescent="0.25">
      <c r="B622" s="219"/>
      <c r="E622" s="306"/>
      <c r="F622" s="230"/>
    </row>
    <row r="623" spans="1:6" x14ac:dyDescent="0.25">
      <c r="A623" s="206" t="s">
        <v>6</v>
      </c>
      <c r="B623" s="214" t="s">
        <v>1019</v>
      </c>
      <c r="C623" s="205">
        <v>2</v>
      </c>
      <c r="D623" s="206" t="s">
        <v>3</v>
      </c>
      <c r="E623" s="306">
        <v>318938</v>
      </c>
      <c r="F623" s="207">
        <f>E623*C623</f>
        <v>637876</v>
      </c>
    </row>
    <row r="624" spans="1:6" x14ac:dyDescent="0.25">
      <c r="B624" s="219"/>
      <c r="E624" s="306"/>
      <c r="F624" s="230"/>
    </row>
    <row r="625" spans="1:6" x14ac:dyDescent="0.25">
      <c r="A625" s="206" t="s">
        <v>7</v>
      </c>
      <c r="B625" s="214" t="s">
        <v>1020</v>
      </c>
      <c r="C625" s="205">
        <v>12</v>
      </c>
      <c r="D625" s="206" t="s">
        <v>3</v>
      </c>
      <c r="E625" s="306">
        <v>141750</v>
      </c>
      <c r="F625" s="207">
        <f>E625*C625</f>
        <v>1701000</v>
      </c>
    </row>
    <row r="626" spans="1:6" x14ac:dyDescent="0.25">
      <c r="E626" s="306"/>
    </row>
    <row r="627" spans="1:6" x14ac:dyDescent="0.25">
      <c r="E627" s="306"/>
    </row>
    <row r="628" spans="1:6" x14ac:dyDescent="0.25">
      <c r="E628" s="306"/>
    </row>
    <row r="629" spans="1:6" x14ac:dyDescent="0.25">
      <c r="E629" s="306"/>
    </row>
    <row r="630" spans="1:6" x14ac:dyDescent="0.25">
      <c r="E630" s="306"/>
    </row>
    <row r="631" spans="1:6" x14ac:dyDescent="0.25">
      <c r="E631" s="306"/>
    </row>
    <row r="632" spans="1:6" x14ac:dyDescent="0.25">
      <c r="E632" s="306"/>
    </row>
    <row r="633" spans="1:6" x14ac:dyDescent="0.25">
      <c r="E633" s="306"/>
    </row>
    <row r="634" spans="1:6" x14ac:dyDescent="0.25">
      <c r="E634" s="306"/>
    </row>
    <row r="635" spans="1:6" x14ac:dyDescent="0.25">
      <c r="E635" s="306"/>
    </row>
    <row r="636" spans="1:6" x14ac:dyDescent="0.25">
      <c r="E636" s="306"/>
    </row>
    <row r="637" spans="1:6" x14ac:dyDescent="0.25">
      <c r="E637" s="306"/>
    </row>
    <row r="638" spans="1:6" x14ac:dyDescent="0.25">
      <c r="E638" s="306"/>
    </row>
    <row r="639" spans="1:6" x14ac:dyDescent="0.25">
      <c r="E639" s="306"/>
    </row>
    <row r="640" spans="1:6" x14ac:dyDescent="0.25">
      <c r="E640" s="306"/>
    </row>
    <row r="641" spans="1:19" x14ac:dyDescent="0.25">
      <c r="E641" s="306"/>
    </row>
    <row r="642" spans="1:19" x14ac:dyDescent="0.25">
      <c r="E642" s="306"/>
    </row>
    <row r="643" spans="1:19" x14ac:dyDescent="0.25">
      <c r="E643" s="306"/>
    </row>
    <row r="644" spans="1:19" x14ac:dyDescent="0.25">
      <c r="E644" s="306"/>
    </row>
    <row r="645" spans="1:19" x14ac:dyDescent="0.25">
      <c r="E645" s="306"/>
    </row>
    <row r="646" spans="1:19" x14ac:dyDescent="0.25">
      <c r="E646" s="306"/>
    </row>
    <row r="647" spans="1:19" x14ac:dyDescent="0.25">
      <c r="B647" s="219"/>
      <c r="F647" s="230"/>
    </row>
    <row r="648" spans="1:19" x14ac:dyDescent="0.25">
      <c r="B648" s="219"/>
      <c r="F648" s="230"/>
    </row>
    <row r="649" spans="1:19" x14ac:dyDescent="0.25">
      <c r="B649" s="210" t="s">
        <v>607</v>
      </c>
      <c r="C649" s="221"/>
      <c r="D649" s="209"/>
      <c r="E649" s="303"/>
      <c r="F649" s="235"/>
    </row>
    <row r="650" spans="1:19" x14ac:dyDescent="0.25">
      <c r="B650" s="220" t="s">
        <v>534</v>
      </c>
      <c r="C650" s="221"/>
      <c r="D650" s="209"/>
      <c r="E650" s="303" t="s">
        <v>15</v>
      </c>
      <c r="F650" s="286">
        <f>SUM(F612:F649)</f>
        <v>8073676</v>
      </c>
    </row>
    <row r="651" spans="1:19" x14ac:dyDescent="0.25">
      <c r="A651" s="209" t="s">
        <v>796</v>
      </c>
      <c r="B651" s="209"/>
      <c r="C651" s="221" t="s">
        <v>773</v>
      </c>
      <c r="D651" s="209" t="s">
        <v>765</v>
      </c>
      <c r="E651" s="303" t="s">
        <v>914</v>
      </c>
      <c r="F651" s="273" t="s">
        <v>768</v>
      </c>
    </row>
    <row r="652" spans="1:19" s="497" customFormat="1" ht="16.5" customHeight="1" x14ac:dyDescent="0.3">
      <c r="A652" s="373"/>
      <c r="B652" s="374" t="s">
        <v>608</v>
      </c>
      <c r="C652" s="373"/>
      <c r="D652" s="373"/>
      <c r="E652" s="640"/>
      <c r="F652" s="376"/>
      <c r="G652" s="377"/>
      <c r="H652" s="377"/>
      <c r="I652" s="377"/>
      <c r="J652" s="377"/>
      <c r="K652" s="377"/>
      <c r="L652" s="377"/>
      <c r="M652" s="377"/>
      <c r="N652" s="377"/>
      <c r="O652" s="377"/>
      <c r="P652" s="377"/>
      <c r="Q652" s="377"/>
      <c r="R652" s="377"/>
      <c r="S652" s="377"/>
    </row>
    <row r="653" spans="1:19" s="497" customFormat="1" ht="12" customHeight="1" x14ac:dyDescent="0.3">
      <c r="A653" s="373"/>
      <c r="B653" s="374"/>
      <c r="C653" s="373"/>
      <c r="D653" s="373"/>
      <c r="E653" s="640"/>
      <c r="F653" s="376"/>
      <c r="G653" s="377"/>
      <c r="H653" s="377"/>
      <c r="I653" s="377"/>
      <c r="J653" s="377"/>
      <c r="K653" s="377"/>
      <c r="L653" s="377"/>
      <c r="M653" s="377"/>
      <c r="N653" s="377"/>
      <c r="O653" s="377"/>
      <c r="P653" s="377"/>
      <c r="Q653" s="377"/>
      <c r="R653" s="377"/>
      <c r="S653" s="377"/>
    </row>
    <row r="654" spans="1:19" s="497" customFormat="1" ht="16.5" customHeight="1" x14ac:dyDescent="0.3">
      <c r="A654" s="373"/>
      <c r="B654" s="374" t="s">
        <v>781</v>
      </c>
      <c r="C654" s="373"/>
      <c r="D654" s="373"/>
      <c r="E654" s="640"/>
      <c r="F654" s="376"/>
      <c r="G654" s="377"/>
      <c r="H654" s="377"/>
      <c r="I654" s="377"/>
      <c r="J654" s="377"/>
      <c r="K654" s="377"/>
      <c r="L654" s="377"/>
      <c r="M654" s="377"/>
      <c r="N654" s="377"/>
      <c r="O654" s="377"/>
      <c r="P654" s="377"/>
      <c r="Q654" s="377"/>
      <c r="R654" s="377"/>
      <c r="S654" s="377"/>
    </row>
    <row r="655" spans="1:19" s="497" customFormat="1" ht="12" customHeight="1" x14ac:dyDescent="0.3">
      <c r="A655" s="373"/>
      <c r="B655" s="374"/>
      <c r="C655" s="373"/>
      <c r="D655" s="373"/>
      <c r="E655" s="640"/>
      <c r="F655" s="376"/>
      <c r="G655" s="377"/>
      <c r="H655" s="377"/>
      <c r="I655" s="377"/>
      <c r="J655" s="377"/>
      <c r="K655" s="377"/>
      <c r="L655" s="377"/>
      <c r="M655" s="377"/>
      <c r="N655" s="377"/>
      <c r="O655" s="377"/>
      <c r="P655" s="377"/>
      <c r="Q655" s="377"/>
      <c r="R655" s="377"/>
      <c r="S655" s="377"/>
    </row>
    <row r="656" spans="1:19" s="497" customFormat="1" ht="16.5" customHeight="1" x14ac:dyDescent="0.3">
      <c r="A656" s="373"/>
      <c r="B656" s="378" t="s">
        <v>226</v>
      </c>
      <c r="C656" s="373"/>
      <c r="D656" s="373"/>
      <c r="E656" s="640"/>
      <c r="F656" s="376"/>
      <c r="G656" s="377"/>
      <c r="H656" s="377"/>
      <c r="I656" s="377"/>
      <c r="J656" s="377"/>
      <c r="K656" s="377"/>
      <c r="L656" s="377"/>
      <c r="M656" s="377"/>
      <c r="N656" s="377"/>
      <c r="O656" s="377"/>
      <c r="P656" s="377"/>
      <c r="Q656" s="377"/>
      <c r="R656" s="377"/>
      <c r="S656" s="377"/>
    </row>
    <row r="657" spans="1:19" s="497" customFormat="1" ht="12" customHeight="1" x14ac:dyDescent="0.3">
      <c r="A657" s="373"/>
      <c r="B657" s="379"/>
      <c r="C657" s="373"/>
      <c r="D657" s="373"/>
      <c r="E657" s="640"/>
      <c r="F657" s="376"/>
      <c r="G657" s="377"/>
      <c r="H657" s="377"/>
      <c r="I657" s="377"/>
      <c r="J657" s="377"/>
      <c r="K657" s="377"/>
      <c r="L657" s="377"/>
      <c r="M657" s="377"/>
      <c r="N657" s="377"/>
      <c r="O657" s="377"/>
      <c r="P657" s="377"/>
      <c r="Q657" s="377"/>
      <c r="R657" s="377"/>
      <c r="S657" s="377"/>
    </row>
    <row r="658" spans="1:19" s="497" customFormat="1" ht="30" x14ac:dyDescent="0.3">
      <c r="A658" s="516"/>
      <c r="B658" s="517" t="s">
        <v>782</v>
      </c>
      <c r="C658" s="516"/>
      <c r="D658" s="516"/>
      <c r="E658" s="649"/>
      <c r="F658" s="518"/>
      <c r="G658" s="518"/>
      <c r="H658" s="518"/>
      <c r="I658" s="518"/>
      <c r="J658" s="518"/>
      <c r="K658" s="518"/>
      <c r="L658" s="518"/>
      <c r="M658" s="518"/>
      <c r="N658" s="518"/>
      <c r="O658" s="518"/>
      <c r="P658" s="518"/>
      <c r="Q658" s="518"/>
      <c r="R658" s="518"/>
      <c r="S658" s="518"/>
    </row>
    <row r="659" spans="1:19" s="497" customFormat="1" ht="30" customHeight="1" x14ac:dyDescent="0.3">
      <c r="A659" s="516" t="s">
        <v>2</v>
      </c>
      <c r="B659" s="520" t="s">
        <v>1039</v>
      </c>
      <c r="C659" s="516"/>
      <c r="D659" s="516" t="s">
        <v>3</v>
      </c>
      <c r="E659" s="650">
        <f>360000*4.6</f>
        <v>1655999.9999999998</v>
      </c>
      <c r="F659" s="522">
        <f>E659*C659</f>
        <v>0</v>
      </c>
      <c r="G659" s="518"/>
      <c r="H659" s="518"/>
      <c r="I659" s="518"/>
      <c r="J659" s="518"/>
      <c r="K659" s="518"/>
      <c r="L659" s="518"/>
      <c r="M659" s="518"/>
      <c r="N659" s="518"/>
      <c r="O659" s="518"/>
      <c r="P659" s="518"/>
      <c r="Q659" s="518"/>
      <c r="R659" s="518"/>
      <c r="S659" s="518"/>
    </row>
    <row r="660" spans="1:19" s="497" customFormat="1" ht="30" x14ac:dyDescent="0.3">
      <c r="A660" s="516" t="s">
        <v>4</v>
      </c>
      <c r="B660" s="520" t="s">
        <v>1040</v>
      </c>
      <c r="C660" s="516"/>
      <c r="D660" s="516" t="s">
        <v>3</v>
      </c>
      <c r="E660" s="650">
        <f>2.96*360000</f>
        <v>1065600</v>
      </c>
      <c r="F660" s="522">
        <f>E660*C660</f>
        <v>0</v>
      </c>
      <c r="G660" s="518"/>
      <c r="H660" s="518"/>
      <c r="I660" s="518"/>
      <c r="J660" s="518"/>
      <c r="K660" s="518"/>
      <c r="L660" s="518"/>
      <c r="M660" s="518"/>
      <c r="N660" s="518"/>
      <c r="O660" s="518"/>
      <c r="P660" s="518"/>
      <c r="Q660" s="518"/>
      <c r="R660" s="518"/>
      <c r="S660" s="518"/>
    </row>
    <row r="661" spans="1:19" s="497" customFormat="1" ht="21" customHeight="1" x14ac:dyDescent="0.3">
      <c r="A661" s="516" t="s">
        <v>5</v>
      </c>
      <c r="B661" s="520" t="s">
        <v>1041</v>
      </c>
      <c r="C661" s="516"/>
      <c r="D661" s="516" t="s">
        <v>3</v>
      </c>
      <c r="E661" s="650">
        <f>1.61*380000</f>
        <v>611800</v>
      </c>
      <c r="F661" s="522">
        <f>E661*C661</f>
        <v>0</v>
      </c>
      <c r="G661" s="518"/>
      <c r="H661" s="518"/>
      <c r="I661" s="518"/>
      <c r="J661" s="518"/>
      <c r="K661" s="518"/>
      <c r="L661" s="518"/>
      <c r="M661" s="518"/>
      <c r="N661" s="518"/>
      <c r="O661" s="518"/>
      <c r="P661" s="518"/>
      <c r="Q661" s="518"/>
      <c r="R661" s="518"/>
      <c r="S661" s="518"/>
    </row>
    <row r="662" spans="1:19" s="497" customFormat="1" ht="21" customHeight="1" x14ac:dyDescent="0.3">
      <c r="A662" s="516" t="s">
        <v>6</v>
      </c>
      <c r="B662" s="520" t="s">
        <v>1042</v>
      </c>
      <c r="C662" s="516"/>
      <c r="D662" s="516" t="s">
        <v>3</v>
      </c>
      <c r="E662" s="650">
        <f>1.53*380000</f>
        <v>581400</v>
      </c>
      <c r="F662" s="522">
        <f>E662*C662</f>
        <v>0</v>
      </c>
      <c r="G662" s="518"/>
      <c r="H662" s="518"/>
      <c r="I662" s="518"/>
      <c r="J662" s="518"/>
      <c r="K662" s="518"/>
      <c r="L662" s="518"/>
      <c r="M662" s="518"/>
      <c r="N662" s="518"/>
      <c r="O662" s="518"/>
      <c r="P662" s="518"/>
      <c r="Q662" s="518"/>
      <c r="R662" s="518"/>
      <c r="S662" s="518"/>
    </row>
    <row r="663" spans="1:19" s="497" customFormat="1" ht="21" customHeight="1" x14ac:dyDescent="0.3">
      <c r="A663" s="516"/>
      <c r="B663" s="520"/>
      <c r="C663" s="516"/>
      <c r="D663" s="516"/>
      <c r="E663" s="651"/>
      <c r="F663" s="522"/>
      <c r="G663" s="518"/>
      <c r="H663" s="518"/>
      <c r="I663" s="518"/>
      <c r="J663" s="518"/>
      <c r="K663" s="518"/>
      <c r="L663" s="518"/>
      <c r="M663" s="518"/>
      <c r="N663" s="518"/>
      <c r="O663" s="518"/>
      <c r="P663" s="518"/>
      <c r="Q663" s="518"/>
      <c r="R663" s="518"/>
      <c r="S663" s="518"/>
    </row>
    <row r="664" spans="1:19" s="497" customFormat="1" ht="17.25" customHeight="1" x14ac:dyDescent="0.35">
      <c r="A664" s="516"/>
      <c r="B664" s="523" t="s">
        <v>783</v>
      </c>
      <c r="C664" s="516"/>
      <c r="D664" s="516"/>
      <c r="E664" s="651"/>
      <c r="F664" s="522"/>
      <c r="G664" s="518"/>
      <c r="H664" s="518"/>
      <c r="I664" s="518"/>
      <c r="J664" s="518"/>
      <c r="K664" s="518"/>
      <c r="L664" s="518"/>
      <c r="M664" s="518"/>
      <c r="N664" s="518"/>
      <c r="O664" s="518"/>
      <c r="P664" s="518"/>
      <c r="Q664" s="518"/>
      <c r="R664" s="518"/>
      <c r="S664" s="518"/>
    </row>
    <row r="665" spans="1:19" s="497" customFormat="1" ht="30" x14ac:dyDescent="0.3">
      <c r="A665" s="516"/>
      <c r="B665" s="524" t="s">
        <v>784</v>
      </c>
      <c r="C665" s="516"/>
      <c r="D665" s="516"/>
      <c r="E665" s="651"/>
      <c r="F665" s="522"/>
      <c r="G665" s="518"/>
      <c r="H665" s="518"/>
      <c r="I665" s="518"/>
      <c r="J665" s="518"/>
      <c r="K665" s="518"/>
      <c r="L665" s="518"/>
      <c r="M665" s="518"/>
      <c r="N665" s="518"/>
      <c r="O665" s="518"/>
      <c r="P665" s="518"/>
      <c r="Q665" s="518"/>
      <c r="R665" s="518"/>
      <c r="S665" s="518"/>
    </row>
    <row r="666" spans="1:19" s="497" customFormat="1" x14ac:dyDescent="0.3">
      <c r="A666" s="525"/>
      <c r="B666" s="524"/>
      <c r="C666" s="525"/>
      <c r="D666" s="525"/>
      <c r="E666" s="643"/>
      <c r="F666" s="527"/>
      <c r="G666" s="528"/>
      <c r="H666" s="528"/>
      <c r="I666" s="528"/>
      <c r="J666" s="528"/>
      <c r="K666" s="528"/>
      <c r="L666" s="528"/>
      <c r="M666" s="528"/>
      <c r="N666" s="528"/>
      <c r="O666" s="528"/>
      <c r="P666" s="528"/>
      <c r="Q666" s="528"/>
      <c r="R666" s="528"/>
      <c r="S666" s="528"/>
    </row>
    <row r="667" spans="1:19" s="497" customFormat="1" ht="60" x14ac:dyDescent="0.3">
      <c r="A667" s="525" t="s">
        <v>8</v>
      </c>
      <c r="B667" s="524" t="s">
        <v>1043</v>
      </c>
      <c r="C667" s="525">
        <v>2</v>
      </c>
      <c r="D667" s="525" t="s">
        <v>3</v>
      </c>
      <c r="E667" s="643">
        <v>3500000</v>
      </c>
      <c r="F667" s="527">
        <f>E667*C667</f>
        <v>7000000</v>
      </c>
      <c r="G667" s="528"/>
      <c r="H667" s="528"/>
      <c r="I667" s="528"/>
      <c r="J667" s="528"/>
      <c r="K667" s="528"/>
      <c r="L667" s="528"/>
      <c r="M667" s="528"/>
      <c r="N667" s="528"/>
      <c r="O667" s="528"/>
      <c r="P667" s="528"/>
      <c r="Q667" s="528"/>
      <c r="R667" s="528"/>
      <c r="S667" s="528"/>
    </row>
    <row r="668" spans="1:19" s="497" customFormat="1" x14ac:dyDescent="0.3">
      <c r="A668" s="525"/>
      <c r="B668" s="524"/>
      <c r="C668" s="525"/>
      <c r="D668" s="525"/>
      <c r="E668" s="643"/>
      <c r="F668" s="527"/>
      <c r="G668" s="528"/>
      <c r="H668" s="528"/>
      <c r="I668" s="528"/>
      <c r="J668" s="528"/>
      <c r="K668" s="528"/>
      <c r="L668" s="528"/>
      <c r="M668" s="528"/>
      <c r="N668" s="528"/>
      <c r="O668" s="528"/>
      <c r="P668" s="528"/>
      <c r="Q668" s="528"/>
      <c r="R668" s="528"/>
      <c r="S668" s="528"/>
    </row>
    <row r="669" spans="1:19" s="497" customFormat="1" ht="17.25" customHeight="1" x14ac:dyDescent="0.35">
      <c r="A669" s="516"/>
      <c r="B669" s="523" t="s">
        <v>785</v>
      </c>
      <c r="C669" s="516"/>
      <c r="D669" s="516"/>
      <c r="E669" s="651"/>
      <c r="F669" s="522"/>
      <c r="G669" s="518"/>
      <c r="H669" s="518"/>
      <c r="I669" s="518"/>
      <c r="J669" s="518"/>
      <c r="K669" s="518"/>
      <c r="L669" s="518"/>
      <c r="M669" s="518"/>
      <c r="N669" s="518"/>
      <c r="O669" s="518"/>
      <c r="P669" s="518"/>
      <c r="Q669" s="518"/>
      <c r="R669" s="518"/>
      <c r="S669" s="518"/>
    </row>
    <row r="670" spans="1:19" s="497" customFormat="1" ht="33" customHeight="1" x14ac:dyDescent="0.3">
      <c r="A670" s="516"/>
      <c r="B670" s="529" t="s">
        <v>786</v>
      </c>
      <c r="C670" s="516"/>
      <c r="D670" s="516"/>
      <c r="E670" s="651"/>
      <c r="F670" s="522"/>
      <c r="G670" s="518"/>
      <c r="H670" s="518"/>
      <c r="I670" s="518"/>
      <c r="J670" s="518"/>
      <c r="K670" s="518"/>
      <c r="L670" s="518"/>
      <c r="M670" s="518"/>
      <c r="N670" s="518"/>
      <c r="O670" s="518"/>
      <c r="P670" s="518"/>
      <c r="Q670" s="518"/>
      <c r="R670" s="518"/>
      <c r="S670" s="518"/>
    </row>
    <row r="671" spans="1:19" s="497" customFormat="1" x14ac:dyDescent="0.3">
      <c r="A671" s="516" t="s">
        <v>9</v>
      </c>
      <c r="B671" s="529" t="s">
        <v>787</v>
      </c>
      <c r="C671" s="530">
        <v>30</v>
      </c>
      <c r="D671" s="516" t="s">
        <v>22</v>
      </c>
      <c r="E671" s="651">
        <v>58000</v>
      </c>
      <c r="F671" s="522">
        <f>E671*C671</f>
        <v>1740000</v>
      </c>
      <c r="G671" s="518"/>
      <c r="H671" s="518"/>
      <c r="I671" s="518"/>
      <c r="J671" s="518"/>
      <c r="K671" s="518"/>
      <c r="L671" s="518"/>
      <c r="M671" s="518"/>
      <c r="N671" s="518"/>
      <c r="O671" s="518"/>
      <c r="P671" s="518"/>
      <c r="Q671" s="518"/>
      <c r="R671" s="518"/>
      <c r="S671" s="518"/>
    </row>
    <row r="672" spans="1:19" s="497" customFormat="1" ht="16.5" customHeight="1" x14ac:dyDescent="0.3">
      <c r="A672" s="516" t="s">
        <v>10</v>
      </c>
      <c r="B672" s="518" t="s">
        <v>1044</v>
      </c>
      <c r="C672" s="516">
        <v>12</v>
      </c>
      <c r="D672" s="516" t="s">
        <v>22</v>
      </c>
      <c r="E672" s="651">
        <v>39000</v>
      </c>
      <c r="F672" s="522">
        <f>E672*C672</f>
        <v>468000</v>
      </c>
      <c r="G672" s="518"/>
      <c r="H672" s="518"/>
      <c r="I672" s="518"/>
      <c r="J672" s="518"/>
      <c r="K672" s="518"/>
      <c r="L672" s="518"/>
      <c r="M672" s="518"/>
      <c r="N672" s="518"/>
      <c r="O672" s="518"/>
      <c r="P672" s="518"/>
      <c r="Q672" s="518"/>
      <c r="R672" s="518"/>
      <c r="S672" s="518"/>
    </row>
    <row r="673" spans="1:19" s="497" customFormat="1" ht="15" customHeight="1" x14ac:dyDescent="0.3">
      <c r="A673" s="516"/>
      <c r="B673" s="531"/>
      <c r="C673" s="516"/>
      <c r="D673" s="516"/>
      <c r="E673" s="651"/>
      <c r="F673" s="522"/>
      <c r="G673" s="518"/>
      <c r="H673" s="518"/>
      <c r="I673" s="518"/>
      <c r="J673" s="518"/>
      <c r="K673" s="518"/>
      <c r="L673" s="518"/>
      <c r="M673" s="518"/>
      <c r="N673" s="518"/>
      <c r="O673" s="518"/>
      <c r="P673" s="518"/>
      <c r="Q673" s="518"/>
      <c r="R673" s="518"/>
      <c r="S673" s="518"/>
    </row>
    <row r="674" spans="1:19" s="497" customFormat="1" ht="15" customHeight="1" x14ac:dyDescent="0.3">
      <c r="A674" s="516"/>
      <c r="B674" s="532" t="s">
        <v>795</v>
      </c>
      <c r="C674" s="516"/>
      <c r="D674" s="516"/>
      <c r="E674" s="651"/>
      <c r="F674" s="522"/>
      <c r="G674" s="518"/>
      <c r="H674" s="518"/>
      <c r="I674" s="518"/>
      <c r="J674" s="518"/>
      <c r="K674" s="518"/>
      <c r="L674" s="518"/>
      <c r="M674" s="518"/>
      <c r="N674" s="518"/>
      <c r="O674" s="518"/>
      <c r="P674" s="518"/>
      <c r="Q674" s="518"/>
      <c r="R674" s="518"/>
      <c r="S674" s="518"/>
    </row>
    <row r="675" spans="1:19" s="497" customFormat="1" ht="15" customHeight="1" x14ac:dyDescent="0.3">
      <c r="A675" s="516" t="s">
        <v>11</v>
      </c>
      <c r="B675" s="518" t="s">
        <v>794</v>
      </c>
      <c r="C675" s="516">
        <v>0</v>
      </c>
      <c r="D675" s="516" t="s">
        <v>35</v>
      </c>
      <c r="E675" s="651">
        <v>65000</v>
      </c>
      <c r="F675" s="522">
        <f>E675*C675</f>
        <v>0</v>
      </c>
      <c r="G675" s="518"/>
      <c r="H675" s="518"/>
      <c r="I675" s="518"/>
      <c r="J675" s="518"/>
      <c r="K675" s="518"/>
      <c r="L675" s="518"/>
      <c r="M675" s="518"/>
      <c r="N675" s="518"/>
      <c r="O675" s="518"/>
      <c r="P675" s="518"/>
      <c r="Q675" s="518"/>
      <c r="R675" s="518"/>
      <c r="S675" s="518"/>
    </row>
    <row r="676" spans="1:19" s="497" customFormat="1" ht="15" customHeight="1" x14ac:dyDescent="0.3">
      <c r="A676" s="516" t="s">
        <v>12</v>
      </c>
      <c r="B676" s="518" t="s">
        <v>931</v>
      </c>
      <c r="C676" s="516"/>
      <c r="D676" s="516" t="s">
        <v>35</v>
      </c>
      <c r="E676" s="651">
        <v>12000</v>
      </c>
      <c r="F676" s="522">
        <f>E676*C676</f>
        <v>0</v>
      </c>
      <c r="G676" s="518"/>
      <c r="H676" s="518"/>
      <c r="I676" s="518"/>
      <c r="J676" s="518"/>
      <c r="K676" s="518"/>
      <c r="L676" s="518"/>
      <c r="M676" s="518"/>
      <c r="N676" s="518"/>
      <c r="O676" s="518"/>
      <c r="P676" s="518"/>
      <c r="Q676" s="518"/>
      <c r="R676" s="518"/>
      <c r="S676" s="518"/>
    </row>
    <row r="677" spans="1:19" s="497" customFormat="1" ht="15" customHeight="1" x14ac:dyDescent="0.3">
      <c r="A677" s="516"/>
      <c r="B677" s="518"/>
      <c r="C677" s="516"/>
      <c r="D677" s="516"/>
      <c r="E677" s="651"/>
      <c r="F677" s="522"/>
      <c r="G677" s="518"/>
      <c r="H677" s="518"/>
      <c r="I677" s="518"/>
      <c r="J677" s="518"/>
      <c r="K677" s="518"/>
      <c r="L677" s="518"/>
      <c r="M677" s="518"/>
      <c r="N677" s="518"/>
      <c r="O677" s="518"/>
      <c r="P677" s="518"/>
      <c r="Q677" s="518"/>
      <c r="R677" s="518"/>
      <c r="S677" s="518"/>
    </row>
    <row r="678" spans="1:19" s="497" customFormat="1" ht="16.5" customHeight="1" x14ac:dyDescent="0.3">
      <c r="A678" s="373"/>
      <c r="B678" s="381" t="s">
        <v>788</v>
      </c>
      <c r="C678" s="377"/>
      <c r="D678" s="377"/>
      <c r="E678" s="644"/>
      <c r="F678" s="533"/>
      <c r="G678" s="377"/>
      <c r="H678" s="377"/>
      <c r="I678" s="377"/>
      <c r="J678" s="377"/>
      <c r="K678" s="377"/>
      <c r="L678" s="377"/>
      <c r="M678" s="377"/>
      <c r="N678" s="377"/>
      <c r="O678" s="377"/>
      <c r="P678" s="377"/>
      <c r="Q678" s="377"/>
      <c r="R678" s="377"/>
      <c r="S678" s="377"/>
    </row>
    <row r="679" spans="1:19" s="497" customFormat="1" ht="30" x14ac:dyDescent="0.3">
      <c r="A679" s="516"/>
      <c r="B679" s="529" t="s">
        <v>789</v>
      </c>
      <c r="C679" s="516"/>
      <c r="D679" s="516"/>
      <c r="E679" s="651"/>
      <c r="F679" s="533"/>
      <c r="G679" s="518"/>
      <c r="H679" s="518"/>
      <c r="I679" s="518"/>
      <c r="J679" s="518"/>
      <c r="K679" s="518"/>
      <c r="L679" s="518"/>
      <c r="M679" s="518"/>
      <c r="N679" s="518"/>
      <c r="O679" s="518"/>
      <c r="P679" s="518"/>
      <c r="Q679" s="518"/>
      <c r="R679" s="518"/>
      <c r="S679" s="518"/>
    </row>
    <row r="680" spans="1:19" s="497" customFormat="1" ht="16.5" customHeight="1" x14ac:dyDescent="0.3">
      <c r="A680" s="516"/>
      <c r="B680" s="529"/>
      <c r="C680" s="516"/>
      <c r="D680" s="516"/>
      <c r="E680" s="651"/>
      <c r="F680" s="533"/>
      <c r="G680" s="518"/>
      <c r="H680" s="518"/>
      <c r="I680" s="518"/>
      <c r="J680" s="518"/>
      <c r="K680" s="518"/>
      <c r="L680" s="518"/>
      <c r="M680" s="518"/>
      <c r="N680" s="518"/>
      <c r="O680" s="518"/>
      <c r="P680" s="518"/>
      <c r="Q680" s="518"/>
      <c r="R680" s="518"/>
      <c r="S680" s="518"/>
    </row>
    <row r="681" spans="1:19" s="497" customFormat="1" ht="16.5" customHeight="1" x14ac:dyDescent="0.3">
      <c r="A681" s="516" t="s">
        <v>13</v>
      </c>
      <c r="B681" s="379" t="s">
        <v>790</v>
      </c>
      <c r="C681" s="516"/>
      <c r="D681" s="373" t="s">
        <v>35</v>
      </c>
      <c r="E681" s="651">
        <v>6500</v>
      </c>
      <c r="F681" s="533">
        <f>E681*C681</f>
        <v>0</v>
      </c>
      <c r="G681" s="518"/>
      <c r="H681" s="518"/>
      <c r="I681" s="518"/>
      <c r="J681" s="518"/>
      <c r="K681" s="518"/>
      <c r="L681" s="518"/>
      <c r="M681" s="518"/>
      <c r="N681" s="518"/>
      <c r="O681" s="518"/>
      <c r="P681" s="518"/>
      <c r="Q681" s="518"/>
      <c r="R681" s="518"/>
      <c r="S681" s="518"/>
    </row>
    <row r="682" spans="1:19" s="497" customFormat="1" ht="16.5" customHeight="1" x14ac:dyDescent="0.3">
      <c r="A682" s="516"/>
      <c r="B682" s="379"/>
      <c r="C682" s="516"/>
      <c r="D682" s="373"/>
      <c r="E682" s="651"/>
      <c r="F682" s="533"/>
      <c r="G682" s="518"/>
      <c r="H682" s="518"/>
      <c r="I682" s="518"/>
      <c r="J682" s="518"/>
      <c r="K682" s="518"/>
      <c r="L682" s="518"/>
      <c r="M682" s="518"/>
      <c r="N682" s="518"/>
      <c r="O682" s="518"/>
      <c r="P682" s="518"/>
      <c r="Q682" s="518"/>
      <c r="R682" s="518"/>
      <c r="S682" s="518"/>
    </row>
    <row r="683" spans="1:19" s="497" customFormat="1" ht="16.5" customHeight="1" x14ac:dyDescent="0.3">
      <c r="A683" s="516"/>
      <c r="B683" s="379"/>
      <c r="C683" s="516"/>
      <c r="D683" s="373"/>
      <c r="E683" s="651"/>
      <c r="F683" s="533"/>
      <c r="G683" s="518"/>
      <c r="H683" s="518"/>
      <c r="I683" s="518"/>
      <c r="J683" s="518"/>
      <c r="K683" s="518"/>
      <c r="L683" s="518"/>
      <c r="M683" s="518"/>
      <c r="N683" s="518"/>
      <c r="O683" s="518"/>
      <c r="P683" s="518"/>
      <c r="Q683" s="518"/>
      <c r="R683" s="518"/>
      <c r="S683" s="518"/>
    </row>
    <row r="684" spans="1:19" s="497" customFormat="1" ht="16.5" customHeight="1" x14ac:dyDescent="0.3">
      <c r="A684" s="516"/>
      <c r="B684" s="374" t="s">
        <v>781</v>
      </c>
      <c r="C684" s="516"/>
      <c r="D684" s="373"/>
      <c r="E684" s="651"/>
      <c r="F684" s="533"/>
      <c r="G684" s="518"/>
      <c r="H684" s="518"/>
      <c r="I684" s="518"/>
      <c r="J684" s="518"/>
      <c r="K684" s="518"/>
      <c r="L684" s="518"/>
      <c r="M684" s="518"/>
      <c r="N684" s="518"/>
      <c r="O684" s="518"/>
      <c r="P684" s="518"/>
      <c r="Q684" s="518"/>
      <c r="R684" s="518"/>
      <c r="S684" s="518"/>
    </row>
    <row r="685" spans="1:19" s="497" customFormat="1" ht="18" customHeight="1" x14ac:dyDescent="0.35">
      <c r="A685" s="373"/>
      <c r="B685" s="382" t="s">
        <v>791</v>
      </c>
      <c r="C685" s="380"/>
      <c r="D685" s="380"/>
      <c r="E685" s="383" t="s">
        <v>15</v>
      </c>
      <c r="F685" s="553">
        <f>SUM(F653:F681)</f>
        <v>9208000</v>
      </c>
      <c r="G685" s="377"/>
      <c r="H685" s="377"/>
      <c r="I685" s="377"/>
      <c r="J685" s="377"/>
      <c r="K685" s="377"/>
      <c r="L685" s="377"/>
      <c r="M685" s="377"/>
      <c r="N685" s="377"/>
      <c r="O685" s="377"/>
      <c r="P685" s="377"/>
      <c r="Q685" s="377"/>
      <c r="R685" s="377"/>
      <c r="S685" s="377"/>
    </row>
    <row r="686" spans="1:19" x14ac:dyDescent="0.25">
      <c r="A686" s="209" t="s">
        <v>796</v>
      </c>
      <c r="B686" s="209"/>
      <c r="C686" s="221" t="s">
        <v>773</v>
      </c>
      <c r="D686" s="209" t="s">
        <v>765</v>
      </c>
      <c r="E686" s="303" t="s">
        <v>914</v>
      </c>
      <c r="F686" s="273" t="s">
        <v>768</v>
      </c>
    </row>
    <row r="687" spans="1:19" x14ac:dyDescent="0.25">
      <c r="B687" s="210" t="s">
        <v>609</v>
      </c>
    </row>
    <row r="688" spans="1:19" ht="9" customHeight="1" x14ac:dyDescent="0.25">
      <c r="B688" s="220"/>
    </row>
    <row r="689" spans="1:6" x14ac:dyDescent="0.25">
      <c r="B689" s="210" t="s">
        <v>236</v>
      </c>
    </row>
    <row r="690" spans="1:6" x14ac:dyDescent="0.25">
      <c r="B690" s="219" t="s">
        <v>610</v>
      </c>
    </row>
    <row r="691" spans="1:6" ht="12.6" customHeight="1" x14ac:dyDescent="0.25"/>
    <row r="692" spans="1:6" x14ac:dyDescent="0.25">
      <c r="B692" s="211" t="s">
        <v>283</v>
      </c>
    </row>
    <row r="693" spans="1:6" ht="30" x14ac:dyDescent="0.25">
      <c r="B693" s="224" t="s">
        <v>611</v>
      </c>
    </row>
    <row r="694" spans="1:6" ht="11.45" customHeight="1" x14ac:dyDescent="0.25"/>
    <row r="695" spans="1:6" x14ac:dyDescent="0.25">
      <c r="A695" s="206" t="s">
        <v>2</v>
      </c>
      <c r="B695" s="214" t="s">
        <v>612</v>
      </c>
      <c r="C695" s="205">
        <v>1808</v>
      </c>
      <c r="D695" s="206" t="s">
        <v>35</v>
      </c>
      <c r="E695" s="304">
        <f>E419</f>
        <v>3500</v>
      </c>
      <c r="F695" s="207">
        <f>E695*C695</f>
        <v>6328000</v>
      </c>
    </row>
    <row r="696" spans="1:6" ht="30" x14ac:dyDescent="0.25">
      <c r="A696" s="206" t="s">
        <v>4</v>
      </c>
      <c r="B696" s="218" t="s">
        <v>613</v>
      </c>
      <c r="D696" s="206" t="s">
        <v>22</v>
      </c>
      <c r="E696" s="304">
        <f>E695*0.3</f>
        <v>1050</v>
      </c>
      <c r="F696" s="207">
        <f>E696*C696</f>
        <v>0</v>
      </c>
    </row>
    <row r="697" spans="1:6" x14ac:dyDescent="0.25">
      <c r="B697" s="210" t="s">
        <v>614</v>
      </c>
    </row>
    <row r="698" spans="1:6" x14ac:dyDescent="0.25">
      <c r="B698" s="219" t="s">
        <v>615</v>
      </c>
      <c r="C698" s="256"/>
    </row>
    <row r="699" spans="1:6" ht="30" x14ac:dyDescent="0.25">
      <c r="B699" s="246" t="s">
        <v>616</v>
      </c>
    </row>
    <row r="700" spans="1:6" x14ac:dyDescent="0.25">
      <c r="A700" s="206" t="s">
        <v>5</v>
      </c>
      <c r="B700" s="214" t="s">
        <v>617</v>
      </c>
      <c r="C700" s="205">
        <f>C695-C712</f>
        <v>1390</v>
      </c>
      <c r="D700" s="206" t="s">
        <v>35</v>
      </c>
      <c r="E700" s="304">
        <f>E301</f>
        <v>1400</v>
      </c>
      <c r="F700" s="207">
        <f>E700*C700</f>
        <v>1946000</v>
      </c>
    </row>
    <row r="701" spans="1:6" ht="25.5" customHeight="1" x14ac:dyDescent="0.25">
      <c r="A701" s="206" t="s">
        <v>6</v>
      </c>
      <c r="B701" s="218" t="s">
        <v>618</v>
      </c>
      <c r="C701" s="205">
        <v>300</v>
      </c>
      <c r="D701" s="206" t="s">
        <v>22</v>
      </c>
      <c r="E701" s="652">
        <f>E700*0.3</f>
        <v>420</v>
      </c>
      <c r="F701" s="207">
        <f>E701*C701</f>
        <v>126000</v>
      </c>
    </row>
    <row r="702" spans="1:6" x14ac:dyDescent="0.25">
      <c r="B702" s="210" t="s">
        <v>152</v>
      </c>
    </row>
    <row r="703" spans="1:6" ht="30" x14ac:dyDescent="0.25">
      <c r="B703" s="224" t="s">
        <v>619</v>
      </c>
    </row>
    <row r="704" spans="1:6" x14ac:dyDescent="0.25">
      <c r="A704" s="206" t="s">
        <v>7</v>
      </c>
      <c r="B704" s="214" t="s">
        <v>612</v>
      </c>
      <c r="C704" s="205">
        <f>C700</f>
        <v>1390</v>
      </c>
      <c r="D704" s="206" t="s">
        <v>35</v>
      </c>
      <c r="E704" s="304">
        <f>E311</f>
        <v>2200</v>
      </c>
      <c r="F704" s="207">
        <f>E704*C704</f>
        <v>3058000</v>
      </c>
    </row>
    <row r="705" spans="1:6" x14ac:dyDescent="0.25">
      <c r="A705" s="206" t="s">
        <v>8</v>
      </c>
      <c r="B705" s="214" t="s">
        <v>620</v>
      </c>
      <c r="C705" s="205">
        <f>C701</f>
        <v>300</v>
      </c>
      <c r="D705" s="206" t="s">
        <v>22</v>
      </c>
      <c r="E705" s="652">
        <f>E704*0.3</f>
        <v>660</v>
      </c>
      <c r="F705" s="207">
        <f>E705*C705</f>
        <v>198000</v>
      </c>
    </row>
    <row r="706" spans="1:6" ht="33" x14ac:dyDescent="0.25">
      <c r="B706" s="234" t="s">
        <v>621</v>
      </c>
    </row>
    <row r="707" spans="1:6" ht="60" x14ac:dyDescent="0.25">
      <c r="B707" s="218" t="s">
        <v>622</v>
      </c>
    </row>
    <row r="708" spans="1:6" x14ac:dyDescent="0.25">
      <c r="A708" s="206" t="s">
        <v>9</v>
      </c>
      <c r="B708" s="214" t="s">
        <v>623</v>
      </c>
      <c r="C708" s="205">
        <v>112</v>
      </c>
      <c r="D708" s="206" t="s">
        <v>35</v>
      </c>
      <c r="E708" s="304">
        <v>7500</v>
      </c>
      <c r="F708" s="207">
        <f>E709*C708</f>
        <v>840000</v>
      </c>
    </row>
    <row r="709" spans="1:6" x14ac:dyDescent="0.25">
      <c r="A709" s="206" t="s">
        <v>10</v>
      </c>
      <c r="B709" s="214" t="s">
        <v>624</v>
      </c>
      <c r="C709" s="205">
        <v>306</v>
      </c>
      <c r="D709" s="206" t="s">
        <v>35</v>
      </c>
      <c r="E709" s="304">
        <f>E708</f>
        <v>7500</v>
      </c>
      <c r="F709" s="207">
        <f>E709*C709</f>
        <v>2295000</v>
      </c>
    </row>
    <row r="710" spans="1:6" ht="33" x14ac:dyDescent="0.25">
      <c r="B710" s="234" t="s">
        <v>625</v>
      </c>
    </row>
    <row r="711" spans="1:6" x14ac:dyDescent="0.25">
      <c r="B711" s="219" t="s">
        <v>626</v>
      </c>
    </row>
    <row r="712" spans="1:6" x14ac:dyDescent="0.25">
      <c r="A712" s="206" t="s">
        <v>11</v>
      </c>
      <c r="B712" s="214" t="s">
        <v>627</v>
      </c>
      <c r="C712" s="205">
        <f>C708+C709</f>
        <v>418</v>
      </c>
      <c r="D712" s="206" t="s">
        <v>35</v>
      </c>
      <c r="E712" s="304">
        <v>3200</v>
      </c>
      <c r="F712" s="207">
        <f>E712*C712</f>
        <v>1337600</v>
      </c>
    </row>
    <row r="713" spans="1:6" x14ac:dyDescent="0.25">
      <c r="B713" s="210" t="s">
        <v>628</v>
      </c>
      <c r="F713" s="230"/>
    </row>
    <row r="714" spans="1:6" x14ac:dyDescent="0.25">
      <c r="B714" s="220" t="s">
        <v>629</v>
      </c>
      <c r="F714" s="230"/>
    </row>
    <row r="715" spans="1:6" ht="30" x14ac:dyDescent="0.25">
      <c r="B715" s="224" t="s">
        <v>630</v>
      </c>
      <c r="F715" s="230"/>
    </row>
    <row r="716" spans="1:6" ht="18" customHeight="1" x14ac:dyDescent="0.25">
      <c r="A716" s="206" t="s">
        <v>12</v>
      </c>
      <c r="B716" s="214" t="s">
        <v>612</v>
      </c>
      <c r="C716" s="205">
        <f>C483+C485</f>
        <v>543</v>
      </c>
      <c r="D716" s="206" t="s">
        <v>35</v>
      </c>
      <c r="E716" s="304">
        <f>E695</f>
        <v>3500</v>
      </c>
      <c r="F716" s="207">
        <f>E716*C716</f>
        <v>1900500</v>
      </c>
    </row>
    <row r="717" spans="1:6" x14ac:dyDescent="0.25">
      <c r="A717" s="206" t="s">
        <v>13</v>
      </c>
      <c r="B717" s="233" t="s">
        <v>24</v>
      </c>
      <c r="C717" s="262"/>
      <c r="D717" s="206" t="s">
        <v>35</v>
      </c>
      <c r="E717" s="304">
        <f>E716</f>
        <v>3500</v>
      </c>
      <c r="F717" s="207">
        <f>E717*C717</f>
        <v>0</v>
      </c>
    </row>
    <row r="718" spans="1:6" ht="30" x14ac:dyDescent="0.25">
      <c r="A718" s="206" t="s">
        <v>14</v>
      </c>
      <c r="B718" s="246" t="s">
        <v>631</v>
      </c>
      <c r="C718" s="205">
        <v>215</v>
      </c>
      <c r="D718" s="206" t="s">
        <v>22</v>
      </c>
      <c r="E718" s="304">
        <f>E716*0.3</f>
        <v>1050</v>
      </c>
      <c r="F718" s="207">
        <f>E718*C718</f>
        <v>225750</v>
      </c>
    </row>
    <row r="719" spans="1:6" x14ac:dyDescent="0.25">
      <c r="B719" s="233"/>
    </row>
    <row r="720" spans="1:6" x14ac:dyDescent="0.25">
      <c r="B720" s="233"/>
    </row>
    <row r="721" spans="1:6" x14ac:dyDescent="0.25">
      <c r="B721" s="220" t="s">
        <v>520</v>
      </c>
      <c r="C721" s="221"/>
      <c r="D721" s="209"/>
      <c r="E721" s="303" t="s">
        <v>15</v>
      </c>
      <c r="F721" s="222">
        <f>SUM(F690:F719)</f>
        <v>18254850</v>
      </c>
    </row>
    <row r="722" spans="1:6" x14ac:dyDescent="0.25">
      <c r="A722" s="209" t="s">
        <v>796</v>
      </c>
      <c r="B722" s="209"/>
      <c r="C722" s="221" t="s">
        <v>773</v>
      </c>
      <c r="D722" s="209" t="s">
        <v>765</v>
      </c>
      <c r="E722" s="303" t="s">
        <v>914</v>
      </c>
      <c r="F722" s="273" t="s">
        <v>768</v>
      </c>
    </row>
    <row r="723" spans="1:6" ht="19.5" customHeight="1" x14ac:dyDescent="0.25">
      <c r="B723" s="210" t="s">
        <v>632</v>
      </c>
    </row>
    <row r="724" spans="1:6" ht="12.75" customHeight="1" x14ac:dyDescent="0.25">
      <c r="B724" s="233"/>
    </row>
    <row r="725" spans="1:6" ht="33" x14ac:dyDescent="0.25">
      <c r="B725" s="234" t="s">
        <v>621</v>
      </c>
    </row>
    <row r="726" spans="1:6" ht="45" x14ac:dyDescent="0.25">
      <c r="B726" s="218" t="s">
        <v>488</v>
      </c>
    </row>
    <row r="727" spans="1:6" x14ac:dyDescent="0.25">
      <c r="A727" s="206" t="s">
        <v>2</v>
      </c>
      <c r="B727" s="214" t="s">
        <v>633</v>
      </c>
      <c r="D727" s="206" t="s">
        <v>35</v>
      </c>
      <c r="E727" s="304">
        <v>8200</v>
      </c>
      <c r="F727" s="207">
        <f>E727*C727</f>
        <v>0</v>
      </c>
    </row>
    <row r="728" spans="1:6" ht="33" x14ac:dyDescent="0.25">
      <c r="B728" s="264" t="s">
        <v>634</v>
      </c>
    </row>
    <row r="729" spans="1:6" x14ac:dyDescent="0.25">
      <c r="B729" s="214" t="s">
        <v>626</v>
      </c>
    </row>
    <row r="730" spans="1:6" x14ac:dyDescent="0.25">
      <c r="A730" s="206" t="s">
        <v>4</v>
      </c>
      <c r="B730" s="214" t="s">
        <v>627</v>
      </c>
      <c r="D730" s="206" t="s">
        <v>35</v>
      </c>
      <c r="E730" s="304">
        <v>3200</v>
      </c>
      <c r="F730" s="207">
        <f>E730*C730</f>
        <v>0</v>
      </c>
    </row>
    <row r="731" spans="1:6" s="269" customFormat="1" x14ac:dyDescent="0.25">
      <c r="A731" s="265"/>
      <c r="B731" s="266" t="s">
        <v>615</v>
      </c>
      <c r="C731" s="267"/>
      <c r="D731" s="265"/>
      <c r="E731" s="304"/>
      <c r="F731" s="268"/>
    </row>
    <row r="732" spans="1:6" s="269" customFormat="1" ht="30" x14ac:dyDescent="0.25">
      <c r="A732" s="265"/>
      <c r="B732" s="270" t="s">
        <v>616</v>
      </c>
      <c r="C732" s="267"/>
      <c r="D732" s="265"/>
      <c r="E732" s="304"/>
      <c r="F732" s="268"/>
    </row>
    <row r="733" spans="1:6" s="269" customFormat="1" x14ac:dyDescent="0.25">
      <c r="A733" s="265" t="s">
        <v>5</v>
      </c>
      <c r="B733" s="269" t="s">
        <v>617</v>
      </c>
      <c r="C733" s="262">
        <f>C716</f>
        <v>543</v>
      </c>
      <c r="D733" s="265" t="s">
        <v>35</v>
      </c>
      <c r="E733" s="304">
        <f>E445</f>
        <v>1400</v>
      </c>
      <c r="F733" s="268">
        <f>E733*C733</f>
        <v>760200</v>
      </c>
    </row>
    <row r="734" spans="1:6" s="269" customFormat="1" ht="24" customHeight="1" x14ac:dyDescent="0.25">
      <c r="A734" s="265" t="s">
        <v>6</v>
      </c>
      <c r="B734" s="271" t="s">
        <v>618</v>
      </c>
      <c r="C734" s="262">
        <f>C718</f>
        <v>215</v>
      </c>
      <c r="D734" s="265" t="s">
        <v>22</v>
      </c>
      <c r="E734" s="558">
        <f>E733*0.3</f>
        <v>420</v>
      </c>
      <c r="F734" s="268">
        <f>E734*C734</f>
        <v>90300</v>
      </c>
    </row>
    <row r="735" spans="1:6" s="269" customFormat="1" x14ac:dyDescent="0.25">
      <c r="A735" s="265" t="s">
        <v>7</v>
      </c>
      <c r="B735" s="271" t="s">
        <v>636</v>
      </c>
      <c r="C735" s="262"/>
      <c r="D735" s="265" t="s">
        <v>35</v>
      </c>
      <c r="E735" s="304">
        <f>E733</f>
        <v>1400</v>
      </c>
      <c r="F735" s="268">
        <f>E735*C735</f>
        <v>0</v>
      </c>
    </row>
    <row r="736" spans="1:6" x14ac:dyDescent="0.25">
      <c r="A736" s="206" t="s">
        <v>8</v>
      </c>
      <c r="B736" s="233" t="s">
        <v>495</v>
      </c>
      <c r="D736" s="206" t="s">
        <v>22</v>
      </c>
      <c r="E736" s="304">
        <f>E734</f>
        <v>420</v>
      </c>
      <c r="F736" s="207">
        <f>E736*C736</f>
        <v>0</v>
      </c>
    </row>
    <row r="737" spans="1:6" s="269" customFormat="1" x14ac:dyDescent="0.25">
      <c r="A737" s="265"/>
      <c r="B737" s="271"/>
      <c r="C737" s="262"/>
      <c r="D737" s="265"/>
      <c r="E737" s="304"/>
      <c r="F737" s="268"/>
    </row>
    <row r="738" spans="1:6" ht="27" customHeight="1" x14ac:dyDescent="0.25">
      <c r="B738" s="210" t="s">
        <v>152</v>
      </c>
    </row>
    <row r="739" spans="1:6" ht="30" x14ac:dyDescent="0.25">
      <c r="B739" s="226" t="s">
        <v>635</v>
      </c>
    </row>
    <row r="740" spans="1:6" x14ac:dyDescent="0.25">
      <c r="A740" s="206" t="s">
        <v>9</v>
      </c>
      <c r="B740" s="233" t="s">
        <v>612</v>
      </c>
      <c r="C740" s="205">
        <f>C733</f>
        <v>543</v>
      </c>
      <c r="D740" s="206" t="s">
        <v>35</v>
      </c>
      <c r="E740" s="304">
        <f>E452</f>
        <v>2200</v>
      </c>
      <c r="F740" s="207">
        <f>E740*C740</f>
        <v>1194600</v>
      </c>
    </row>
    <row r="741" spans="1:6" s="269" customFormat="1" ht="24" customHeight="1" x14ac:dyDescent="0.25">
      <c r="A741" s="265" t="s">
        <v>10</v>
      </c>
      <c r="B741" s="271" t="s">
        <v>618</v>
      </c>
      <c r="C741" s="262">
        <f>C734</f>
        <v>215</v>
      </c>
      <c r="D741" s="265" t="s">
        <v>22</v>
      </c>
      <c r="E741" s="558">
        <f>E740*0.3</f>
        <v>660</v>
      </c>
      <c r="F741" s="268">
        <f>E741*C741</f>
        <v>141900</v>
      </c>
    </row>
    <row r="742" spans="1:6" ht="18.95" customHeight="1" x14ac:dyDescent="0.25">
      <c r="A742" s="206" t="s">
        <v>11</v>
      </c>
      <c r="B742" s="218" t="s">
        <v>636</v>
      </c>
      <c r="D742" s="206" t="s">
        <v>35</v>
      </c>
      <c r="F742" s="207">
        <f>E742*C742</f>
        <v>0</v>
      </c>
    </row>
    <row r="743" spans="1:6" x14ac:dyDescent="0.25">
      <c r="A743" s="206" t="s">
        <v>12</v>
      </c>
      <c r="B743" s="218" t="s">
        <v>685</v>
      </c>
      <c r="D743" s="206" t="s">
        <v>22</v>
      </c>
      <c r="E743" s="304">
        <f>E740*0.3</f>
        <v>660</v>
      </c>
      <c r="F743" s="207">
        <f>E743*C743</f>
        <v>0</v>
      </c>
    </row>
    <row r="744" spans="1:6" x14ac:dyDescent="0.25">
      <c r="A744" s="206" t="s">
        <v>13</v>
      </c>
      <c r="B744" s="214" t="s">
        <v>686</v>
      </c>
      <c r="D744" s="206" t="s">
        <v>22</v>
      </c>
      <c r="F744" s="207">
        <f>E744*C744</f>
        <v>0</v>
      </c>
    </row>
    <row r="745" spans="1:6" ht="15.75" customHeight="1" x14ac:dyDescent="0.25"/>
    <row r="746" spans="1:6" ht="13.5" customHeight="1" x14ac:dyDescent="0.25">
      <c r="B746" s="220" t="s">
        <v>525</v>
      </c>
      <c r="C746" s="221"/>
      <c r="D746" s="209"/>
      <c r="E746" s="303" t="s">
        <v>15</v>
      </c>
      <c r="F746" s="285">
        <f>SUM(F727:F745)</f>
        <v>2187000</v>
      </c>
    </row>
    <row r="747" spans="1:6" x14ac:dyDescent="0.25">
      <c r="B747" s="220"/>
      <c r="C747" s="221"/>
      <c r="D747" s="209"/>
      <c r="E747" s="303"/>
      <c r="F747" s="285"/>
    </row>
    <row r="748" spans="1:6" x14ac:dyDescent="0.25">
      <c r="B748" s="210" t="s">
        <v>531</v>
      </c>
      <c r="C748" s="221"/>
      <c r="D748" s="209"/>
      <c r="E748" s="303"/>
      <c r="F748" s="285"/>
    </row>
    <row r="749" spans="1:6" x14ac:dyDescent="0.25">
      <c r="B749" s="210"/>
      <c r="C749" s="221"/>
      <c r="D749" s="209"/>
      <c r="E749" s="303"/>
      <c r="F749" s="285"/>
    </row>
    <row r="750" spans="1:6" x14ac:dyDescent="0.25">
      <c r="B750" s="231" t="s">
        <v>464</v>
      </c>
      <c r="C750" s="221"/>
      <c r="D750" s="209"/>
      <c r="E750" s="304">
        <f>F721</f>
        <v>18254850</v>
      </c>
      <c r="F750" s="285"/>
    </row>
    <row r="751" spans="1:6" x14ac:dyDescent="0.25">
      <c r="B751" s="231"/>
      <c r="C751" s="221"/>
      <c r="D751" s="209"/>
      <c r="F751" s="285"/>
    </row>
    <row r="752" spans="1:6" ht="18.75" customHeight="1" x14ac:dyDescent="0.25">
      <c r="B752" s="231" t="s">
        <v>637</v>
      </c>
      <c r="C752" s="221"/>
      <c r="D752" s="209"/>
      <c r="E752" s="304">
        <f>F746</f>
        <v>2187000</v>
      </c>
      <c r="F752" s="285"/>
    </row>
    <row r="753" spans="1:6" x14ac:dyDescent="0.25">
      <c r="B753" s="220"/>
      <c r="C753" s="221"/>
      <c r="D753" s="209"/>
      <c r="F753" s="285"/>
    </row>
    <row r="754" spans="1:6" ht="12" customHeight="1" x14ac:dyDescent="0.25">
      <c r="B754" s="220"/>
      <c r="C754" s="221"/>
      <c r="D754" s="209"/>
      <c r="E754" s="303"/>
      <c r="F754" s="285"/>
    </row>
    <row r="755" spans="1:6" ht="12" customHeight="1" x14ac:dyDescent="0.25">
      <c r="B755" s="220"/>
      <c r="C755" s="221"/>
      <c r="D755" s="209"/>
      <c r="E755" s="303"/>
      <c r="F755" s="285"/>
    </row>
    <row r="756" spans="1:6" ht="12" customHeight="1" x14ac:dyDescent="0.25">
      <c r="B756" s="210" t="s">
        <v>236</v>
      </c>
      <c r="C756" s="221"/>
      <c r="D756" s="209"/>
      <c r="E756" s="303"/>
      <c r="F756" s="285"/>
    </row>
    <row r="757" spans="1:6" ht="12" customHeight="1" x14ac:dyDescent="0.25">
      <c r="B757" s="220" t="s">
        <v>638</v>
      </c>
      <c r="C757" s="221"/>
      <c r="D757" s="209"/>
      <c r="E757" s="303" t="s">
        <v>15</v>
      </c>
      <c r="F757" s="285">
        <f>SUM(E748:E753)</f>
        <v>20441850</v>
      </c>
    </row>
    <row r="758" spans="1:6" x14ac:dyDescent="0.25">
      <c r="A758" s="209" t="s">
        <v>796</v>
      </c>
      <c r="B758" s="209"/>
      <c r="C758" s="221" t="s">
        <v>773</v>
      </c>
      <c r="D758" s="209" t="s">
        <v>765</v>
      </c>
      <c r="E758" s="303" t="s">
        <v>914</v>
      </c>
      <c r="F758" s="273" t="s">
        <v>768</v>
      </c>
    </row>
    <row r="759" spans="1:6" x14ac:dyDescent="0.25">
      <c r="B759" s="210" t="s">
        <v>639</v>
      </c>
    </row>
    <row r="760" spans="1:6" ht="12.75" customHeight="1" x14ac:dyDescent="0.25">
      <c r="B760" s="210" t="s">
        <v>265</v>
      </c>
    </row>
    <row r="761" spans="1:6" x14ac:dyDescent="0.25">
      <c r="B761" s="219" t="s">
        <v>610</v>
      </c>
    </row>
    <row r="762" spans="1:6" ht="16.149999999999999" customHeight="1" x14ac:dyDescent="0.25">
      <c r="B762" s="211" t="s">
        <v>640</v>
      </c>
    </row>
    <row r="763" spans="1:6" ht="60" x14ac:dyDescent="0.25">
      <c r="B763" s="226" t="s">
        <v>698</v>
      </c>
    </row>
    <row r="764" spans="1:6" x14ac:dyDescent="0.25">
      <c r="A764" s="206" t="s">
        <v>2</v>
      </c>
      <c r="B764" s="214" t="s">
        <v>1045</v>
      </c>
      <c r="C764" s="205">
        <v>66</v>
      </c>
      <c r="D764" s="206" t="s">
        <v>35</v>
      </c>
      <c r="E764" s="304">
        <v>8500</v>
      </c>
      <c r="F764" s="207">
        <f>E764*C764</f>
        <v>561000</v>
      </c>
    </row>
    <row r="765" spans="1:6" ht="60" x14ac:dyDescent="0.25">
      <c r="B765" s="224" t="s">
        <v>641</v>
      </c>
      <c r="F765" s="289"/>
    </row>
    <row r="766" spans="1:6" ht="30" x14ac:dyDescent="0.25">
      <c r="A766" s="206" t="s">
        <v>4</v>
      </c>
      <c r="B766" s="218" t="s">
        <v>1046</v>
      </c>
      <c r="C766" s="205">
        <v>130</v>
      </c>
      <c r="D766" s="206" t="s">
        <v>35</v>
      </c>
      <c r="E766" s="304">
        <f>E768</f>
        <v>12350</v>
      </c>
      <c r="F766" s="207">
        <f t="shared" ref="F766:F774" si="1">E766*C766</f>
        <v>1605500</v>
      </c>
    </row>
    <row r="767" spans="1:6" x14ac:dyDescent="0.25">
      <c r="A767" s="206" t="s">
        <v>5</v>
      </c>
      <c r="B767" s="214" t="s">
        <v>642</v>
      </c>
      <c r="C767" s="205">
        <f>C766*1.1</f>
        <v>143</v>
      </c>
      <c r="D767" s="206" t="s">
        <v>22</v>
      </c>
      <c r="E767" s="304">
        <f>E766*0.15</f>
        <v>1852.5</v>
      </c>
      <c r="F767" s="207">
        <f t="shared" si="1"/>
        <v>264907.5</v>
      </c>
    </row>
    <row r="768" spans="1:6" ht="30" x14ac:dyDescent="0.25">
      <c r="A768" s="206" t="s">
        <v>6</v>
      </c>
      <c r="B768" s="218" t="s">
        <v>1136</v>
      </c>
      <c r="C768" s="205">
        <v>36</v>
      </c>
      <c r="D768" s="206" t="s">
        <v>35</v>
      </c>
      <c r="E768" s="304">
        <v>12350</v>
      </c>
      <c r="F768" s="207">
        <f>E768*C768</f>
        <v>444600</v>
      </c>
    </row>
    <row r="769" spans="1:6" x14ac:dyDescent="0.25">
      <c r="A769" s="206" t="s">
        <v>7</v>
      </c>
      <c r="B769" s="214" t="s">
        <v>642</v>
      </c>
      <c r="C769" s="205">
        <f>C768*1.1</f>
        <v>39.6</v>
      </c>
      <c r="D769" s="206" t="s">
        <v>22</v>
      </c>
      <c r="E769" s="304">
        <f>E768*0.15</f>
        <v>1852.5</v>
      </c>
      <c r="F769" s="207">
        <f>E769*C769</f>
        <v>73359</v>
      </c>
    </row>
    <row r="770" spans="1:6" ht="30" x14ac:dyDescent="0.25">
      <c r="A770" s="240" t="s">
        <v>8</v>
      </c>
      <c r="B770" s="218" t="s">
        <v>1047</v>
      </c>
      <c r="C770" s="239">
        <v>210</v>
      </c>
      <c r="D770" s="240" t="s">
        <v>35</v>
      </c>
      <c r="E770" s="305">
        <f>E768</f>
        <v>12350</v>
      </c>
      <c r="F770" s="241">
        <f t="shared" si="1"/>
        <v>2593500</v>
      </c>
    </row>
    <row r="771" spans="1:6" ht="24" customHeight="1" x14ac:dyDescent="0.25">
      <c r="A771" s="206" t="s">
        <v>9</v>
      </c>
      <c r="B771" s="246" t="s">
        <v>642</v>
      </c>
      <c r="C771" s="205">
        <f>C770*1.1</f>
        <v>231.00000000000003</v>
      </c>
      <c r="D771" s="206" t="s">
        <v>22</v>
      </c>
      <c r="E771" s="304">
        <f>E770*0.15</f>
        <v>1852.5</v>
      </c>
      <c r="F771" s="207">
        <f t="shared" si="1"/>
        <v>427927.50000000006</v>
      </c>
    </row>
    <row r="772" spans="1:6" ht="9" customHeight="1" x14ac:dyDescent="0.25">
      <c r="B772" s="246"/>
    </row>
    <row r="773" spans="1:6" ht="30" x14ac:dyDescent="0.25">
      <c r="A773" s="206" t="s">
        <v>10</v>
      </c>
      <c r="B773" s="218" t="s">
        <v>1137</v>
      </c>
      <c r="C773" s="205">
        <v>62</v>
      </c>
      <c r="D773" s="206" t="s">
        <v>35</v>
      </c>
      <c r="E773" s="304">
        <f>E768</f>
        <v>12350</v>
      </c>
      <c r="F773" s="207">
        <f t="shared" si="1"/>
        <v>765700</v>
      </c>
    </row>
    <row r="774" spans="1:6" s="236" customFormat="1" ht="27" customHeight="1" x14ac:dyDescent="0.25">
      <c r="A774" s="206" t="s">
        <v>11</v>
      </c>
      <c r="B774" s="214" t="s">
        <v>642</v>
      </c>
      <c r="C774" s="205">
        <f>C773*1.1</f>
        <v>68.2</v>
      </c>
      <c r="D774" s="206" t="s">
        <v>22</v>
      </c>
      <c r="E774" s="304">
        <f>E773*0.15</f>
        <v>1852.5</v>
      </c>
      <c r="F774" s="207">
        <f t="shared" si="1"/>
        <v>126340.5</v>
      </c>
    </row>
    <row r="775" spans="1:6" s="260" customFormat="1" ht="35.450000000000003" customHeight="1" x14ac:dyDescent="0.25">
      <c r="A775" s="206"/>
      <c r="B775" s="234" t="s">
        <v>644</v>
      </c>
      <c r="C775" s="205"/>
      <c r="D775" s="206"/>
      <c r="E775" s="304"/>
      <c r="F775" s="288"/>
    </row>
    <row r="776" spans="1:6" ht="24" customHeight="1" x14ac:dyDescent="0.25">
      <c r="B776" s="219" t="s">
        <v>645</v>
      </c>
      <c r="F776" s="288"/>
    </row>
    <row r="777" spans="1:6" ht="18.95" customHeight="1" x14ac:dyDescent="0.25">
      <c r="A777" s="206" t="s">
        <v>12</v>
      </c>
      <c r="B777" s="214" t="s">
        <v>646</v>
      </c>
      <c r="C777" s="205">
        <f>C773+C770+C768+C766+C764</f>
        <v>504</v>
      </c>
      <c r="D777" s="206" t="s">
        <v>35</v>
      </c>
      <c r="E777" s="304">
        <v>4200</v>
      </c>
      <c r="F777" s="207">
        <f>E777*C777</f>
        <v>2116800</v>
      </c>
    </row>
    <row r="778" spans="1:6" x14ac:dyDescent="0.25">
      <c r="A778" s="206" t="s">
        <v>13</v>
      </c>
      <c r="B778" s="214" t="s">
        <v>627</v>
      </c>
      <c r="C778" s="205">
        <f>C771+C769+C767+C774</f>
        <v>481.8</v>
      </c>
      <c r="D778" s="206" t="s">
        <v>22</v>
      </c>
      <c r="E778" s="304">
        <f>E777*0.15</f>
        <v>630</v>
      </c>
      <c r="F778" s="207">
        <f>E778*C778</f>
        <v>303534</v>
      </c>
    </row>
    <row r="779" spans="1:6" ht="4.9000000000000004" customHeight="1" x14ac:dyDescent="0.25"/>
    <row r="780" spans="1:6" ht="15.75" customHeight="1" x14ac:dyDescent="0.25">
      <c r="B780" s="242" t="s">
        <v>628</v>
      </c>
      <c r="F780" s="227"/>
    </row>
    <row r="781" spans="1:6" ht="13.5" customHeight="1" x14ac:dyDescent="0.25">
      <c r="B781" s="224" t="s">
        <v>647</v>
      </c>
      <c r="F781" s="288"/>
    </row>
    <row r="782" spans="1:6" ht="13.5" customHeight="1" x14ac:dyDescent="0.25">
      <c r="B782" s="224"/>
      <c r="F782" s="288"/>
    </row>
    <row r="783" spans="1:6" ht="16.5" customHeight="1" x14ac:dyDescent="0.25">
      <c r="B783" s="210" t="s">
        <v>1021</v>
      </c>
      <c r="F783" s="227"/>
    </row>
    <row r="784" spans="1:6" ht="30" x14ac:dyDescent="0.25">
      <c r="A784" s="206" t="s">
        <v>14</v>
      </c>
      <c r="B784" s="218" t="s">
        <v>1022</v>
      </c>
      <c r="C784" s="205">
        <v>32</v>
      </c>
      <c r="D784" s="206" t="s">
        <v>35</v>
      </c>
      <c r="E784" s="304">
        <v>23000</v>
      </c>
      <c r="F784" s="207">
        <f>E784*C784</f>
        <v>736000</v>
      </c>
    </row>
    <row r="785" spans="1:6" x14ac:dyDescent="0.25">
      <c r="A785" s="206" t="s">
        <v>15</v>
      </c>
      <c r="B785" s="214" t="s">
        <v>642</v>
      </c>
      <c r="C785" s="205">
        <f>C784*1.1</f>
        <v>35.200000000000003</v>
      </c>
      <c r="D785" s="206" t="s">
        <v>22</v>
      </c>
      <c r="E785" s="304">
        <f>E784*0.15</f>
        <v>3450</v>
      </c>
      <c r="F785" s="207">
        <f>E785*C785</f>
        <v>121440.00000000001</v>
      </c>
    </row>
    <row r="786" spans="1:6" ht="33" x14ac:dyDescent="0.25">
      <c r="B786" s="234" t="s">
        <v>648</v>
      </c>
      <c r="F786" s="227"/>
    </row>
    <row r="787" spans="1:6" x14ac:dyDescent="0.25">
      <c r="B787" s="224" t="s">
        <v>645</v>
      </c>
      <c r="F787" s="227"/>
    </row>
    <row r="788" spans="1:6" ht="18.75" customHeight="1" x14ac:dyDescent="0.25">
      <c r="A788" s="206" t="s">
        <v>16</v>
      </c>
      <c r="B788" s="214" t="s">
        <v>649</v>
      </c>
      <c r="C788" s="205">
        <f>C784</f>
        <v>32</v>
      </c>
      <c r="D788" s="206" t="s">
        <v>35</v>
      </c>
      <c r="E788" s="304">
        <v>4200</v>
      </c>
      <c r="F788" s="207">
        <f>E788*C788</f>
        <v>134400</v>
      </c>
    </row>
    <row r="789" spans="1:6" x14ac:dyDescent="0.25">
      <c r="A789" s="206" t="s">
        <v>17</v>
      </c>
      <c r="B789" s="214" t="s">
        <v>627</v>
      </c>
      <c r="C789" s="205">
        <f>C785</f>
        <v>35.200000000000003</v>
      </c>
      <c r="D789" s="206" t="s">
        <v>22</v>
      </c>
      <c r="E789" s="304">
        <f>E788*0.15</f>
        <v>630</v>
      </c>
      <c r="F789" s="207">
        <f>E789*C789</f>
        <v>22176</v>
      </c>
    </row>
    <row r="790" spans="1:6" ht="13.5" customHeight="1" x14ac:dyDescent="0.25">
      <c r="B790" s="224"/>
      <c r="F790" s="288"/>
    </row>
    <row r="794" spans="1:6" x14ac:dyDescent="0.25">
      <c r="B794" s="210" t="s">
        <v>265</v>
      </c>
    </row>
    <row r="795" spans="1:6" ht="12.75" customHeight="1" x14ac:dyDescent="0.25">
      <c r="B795" s="220" t="s">
        <v>534</v>
      </c>
      <c r="C795" s="221"/>
      <c r="D795" s="209"/>
      <c r="E795" s="303" t="s">
        <v>15</v>
      </c>
      <c r="F795" s="285">
        <f>SUM(F763:F794)</f>
        <v>10297184.5</v>
      </c>
    </row>
    <row r="796" spans="1:6" x14ac:dyDescent="0.25">
      <c r="A796" s="209" t="s">
        <v>796</v>
      </c>
      <c r="B796" s="209"/>
      <c r="C796" s="221" t="s">
        <v>773</v>
      </c>
      <c r="D796" s="209" t="s">
        <v>765</v>
      </c>
      <c r="E796" s="303" t="s">
        <v>914</v>
      </c>
      <c r="F796" s="273" t="s">
        <v>768</v>
      </c>
    </row>
    <row r="797" spans="1:6" ht="12" customHeight="1" x14ac:dyDescent="0.25">
      <c r="B797" s="210" t="s">
        <v>650</v>
      </c>
    </row>
    <row r="798" spans="1:6" ht="12" customHeight="1" x14ac:dyDescent="0.25">
      <c r="B798" s="210"/>
    </row>
    <row r="799" spans="1:6" ht="12" customHeight="1" x14ac:dyDescent="0.25">
      <c r="B799" s="210" t="s">
        <v>281</v>
      </c>
    </row>
    <row r="800" spans="1:6" ht="12" customHeight="1" x14ac:dyDescent="0.25">
      <c r="B800" s="210"/>
    </row>
    <row r="801" spans="1:6" ht="12" customHeight="1" x14ac:dyDescent="0.25">
      <c r="B801" s="210" t="s">
        <v>282</v>
      </c>
    </row>
    <row r="802" spans="1:6" ht="12" customHeight="1" x14ac:dyDescent="0.25">
      <c r="B802" s="210"/>
    </row>
    <row r="803" spans="1:6" ht="12" customHeight="1" x14ac:dyDescent="0.25">
      <c r="B803" s="220" t="s">
        <v>629</v>
      </c>
      <c r="F803" s="289"/>
    </row>
    <row r="804" spans="1:6" x14ac:dyDescent="0.25">
      <c r="B804" s="224" t="s">
        <v>651</v>
      </c>
      <c r="F804" s="289"/>
    </row>
    <row r="805" spans="1:6" x14ac:dyDescent="0.25">
      <c r="A805" s="206" t="s">
        <v>2</v>
      </c>
      <c r="B805" s="214" t="s">
        <v>1048</v>
      </c>
      <c r="D805" s="206" t="s">
        <v>35</v>
      </c>
      <c r="E805" s="304">
        <f>E716</f>
        <v>3500</v>
      </c>
      <c r="F805" s="207">
        <f>E805*C805</f>
        <v>0</v>
      </c>
    </row>
    <row r="806" spans="1:6" ht="12" customHeight="1" x14ac:dyDescent="0.25">
      <c r="B806" s="220" t="s">
        <v>614</v>
      </c>
      <c r="F806" s="289"/>
    </row>
    <row r="807" spans="1:6" x14ac:dyDescent="0.25">
      <c r="B807" s="220" t="s">
        <v>687</v>
      </c>
      <c r="F807" s="289"/>
    </row>
    <row r="808" spans="1:6" x14ac:dyDescent="0.25">
      <c r="A808" s="206" t="s">
        <v>4</v>
      </c>
      <c r="B808" s="214" t="s">
        <v>688</v>
      </c>
      <c r="C808" s="205">
        <v>540</v>
      </c>
      <c r="D808" s="206" t="s">
        <v>35</v>
      </c>
      <c r="E808" s="304">
        <v>13200</v>
      </c>
      <c r="F808" s="207">
        <f>E808*C808</f>
        <v>7128000</v>
      </c>
    </row>
    <row r="810" spans="1:6" x14ac:dyDescent="0.25">
      <c r="B810" s="220" t="s">
        <v>653</v>
      </c>
      <c r="F810" s="289"/>
    </row>
    <row r="811" spans="1:6" ht="19.5" customHeight="1" x14ac:dyDescent="0.25">
      <c r="B811" s="272" t="s">
        <v>654</v>
      </c>
    </row>
    <row r="812" spans="1:6" ht="16.5" customHeight="1" x14ac:dyDescent="0.25">
      <c r="A812" s="206" t="s">
        <v>5</v>
      </c>
      <c r="B812" s="214" t="s">
        <v>287</v>
      </c>
      <c r="C812" s="205">
        <v>2557</v>
      </c>
      <c r="D812" s="206" t="s">
        <v>22</v>
      </c>
      <c r="E812" s="304">
        <v>550</v>
      </c>
      <c r="F812" s="207">
        <f>E812*C812</f>
        <v>1406350</v>
      </c>
    </row>
    <row r="813" spans="1:6" ht="15.75" customHeight="1" x14ac:dyDescent="0.25">
      <c r="B813" s="220" t="s">
        <v>152</v>
      </c>
      <c r="F813" s="289"/>
    </row>
    <row r="814" spans="1:6" ht="30" x14ac:dyDescent="0.25">
      <c r="B814" s="218" t="s">
        <v>655</v>
      </c>
      <c r="F814" s="289"/>
    </row>
    <row r="815" spans="1:6" ht="17.25" customHeight="1" x14ac:dyDescent="0.25">
      <c r="A815" s="206" t="s">
        <v>6</v>
      </c>
      <c r="B815" s="214" t="s">
        <v>656</v>
      </c>
      <c r="C815" s="205">
        <f>C808</f>
        <v>540</v>
      </c>
      <c r="D815" s="206" t="s">
        <v>35</v>
      </c>
      <c r="E815" s="304">
        <f>E704</f>
        <v>2200</v>
      </c>
      <c r="F815" s="207">
        <f>E815*C815</f>
        <v>1188000</v>
      </c>
    </row>
    <row r="816" spans="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spans="1:7" ht="17.25" customHeight="1" x14ac:dyDescent="0.25"/>
    <row r="834" spans="1:7" ht="17.25" customHeight="1" x14ac:dyDescent="0.25"/>
    <row r="835" spans="1:7" x14ac:dyDescent="0.25">
      <c r="B835" s="215"/>
      <c r="F835" s="289"/>
    </row>
    <row r="836" spans="1:7" x14ac:dyDescent="0.25">
      <c r="B836" s="215"/>
      <c r="F836" s="289"/>
    </row>
    <row r="837" spans="1:7" x14ac:dyDescent="0.25">
      <c r="B837" s="215"/>
      <c r="F837" s="289"/>
    </row>
    <row r="838" spans="1:7" x14ac:dyDescent="0.25">
      <c r="B838" s="215"/>
      <c r="F838" s="289"/>
    </row>
    <row r="839" spans="1:7" x14ac:dyDescent="0.25">
      <c r="B839" s="215"/>
      <c r="F839" s="289"/>
    </row>
    <row r="840" spans="1:7" x14ac:dyDescent="0.25">
      <c r="B840" s="210" t="s">
        <v>281</v>
      </c>
      <c r="C840" s="221"/>
      <c r="D840" s="209"/>
      <c r="E840" s="303"/>
      <c r="F840" s="222"/>
    </row>
    <row r="841" spans="1:7" x14ac:dyDescent="0.25">
      <c r="B841" s="220" t="s">
        <v>534</v>
      </c>
      <c r="C841" s="221"/>
      <c r="D841" s="209"/>
      <c r="E841" s="303" t="s">
        <v>15</v>
      </c>
      <c r="F841" s="285">
        <f>SUM(F803:F840)</f>
        <v>9722350</v>
      </c>
    </row>
    <row r="842" spans="1:7" x14ac:dyDescent="0.25">
      <c r="A842" s="209" t="s">
        <v>796</v>
      </c>
      <c r="B842" s="209"/>
      <c r="C842" s="221" t="s">
        <v>773</v>
      </c>
      <c r="D842" s="209" t="s">
        <v>765</v>
      </c>
      <c r="E842" s="303" t="s">
        <v>914</v>
      </c>
      <c r="F842" s="273" t="s">
        <v>768</v>
      </c>
    </row>
    <row r="843" spans="1:7" s="497" customFormat="1" ht="18.75" x14ac:dyDescent="0.3">
      <c r="A843" s="197"/>
      <c r="B843" s="292" t="s">
        <v>792</v>
      </c>
      <c r="C843" s="293"/>
      <c r="D843" s="294"/>
      <c r="E843" s="295"/>
      <c r="F843" s="296"/>
    </row>
    <row r="844" spans="1:7" s="497" customFormat="1" ht="15" customHeight="1" x14ac:dyDescent="0.3">
      <c r="A844" s="197"/>
      <c r="B844" s="292" t="s">
        <v>657</v>
      </c>
      <c r="C844" s="293"/>
      <c r="D844" s="294"/>
      <c r="E844" s="295"/>
      <c r="F844" s="296"/>
    </row>
    <row r="845" spans="1:7" s="497" customFormat="1" ht="15" customHeight="1" x14ac:dyDescent="0.3">
      <c r="A845" s="197"/>
      <c r="B845" s="292"/>
      <c r="C845" s="293"/>
      <c r="D845" s="294"/>
      <c r="E845" s="295"/>
      <c r="F845" s="296"/>
    </row>
    <row r="846" spans="1:7" s="497" customFormat="1" ht="15" customHeight="1" x14ac:dyDescent="0.3">
      <c r="A846" s="197"/>
      <c r="B846" s="292"/>
      <c r="C846" s="293"/>
      <c r="D846" s="294"/>
      <c r="E846" s="295"/>
      <c r="F846" s="296"/>
    </row>
    <row r="847" spans="1:7" s="214" customFormat="1" ht="30" x14ac:dyDescent="0.3">
      <c r="A847" s="206"/>
      <c r="B847" s="358" t="s">
        <v>985</v>
      </c>
      <c r="C847" s="331"/>
      <c r="D847" s="206"/>
      <c r="E847" s="333"/>
      <c r="F847" s="360">
        <v>5500000</v>
      </c>
      <c r="G847" s="214">
        <f>F847/2</f>
        <v>2750000</v>
      </c>
    </row>
    <row r="848" spans="1:7" s="214" customFormat="1" x14ac:dyDescent="0.25">
      <c r="A848" s="206"/>
      <c r="B848" s="220"/>
      <c r="C848" s="331"/>
      <c r="D848" s="206"/>
      <c r="E848" s="333"/>
      <c r="F848" s="332"/>
    </row>
    <row r="849" spans="1:6" s="214" customFormat="1" x14ac:dyDescent="0.25">
      <c r="A849" s="206"/>
      <c r="B849" s="220"/>
      <c r="C849" s="331"/>
      <c r="D849" s="206"/>
      <c r="E849" s="333"/>
      <c r="F849" s="332"/>
    </row>
    <row r="850" spans="1:6" s="214" customFormat="1" x14ac:dyDescent="0.25">
      <c r="A850" s="206"/>
      <c r="B850" s="220"/>
      <c r="C850" s="331"/>
      <c r="D850" s="206"/>
      <c r="E850" s="333"/>
      <c r="F850" s="332"/>
    </row>
    <row r="851" spans="1:6" s="214" customFormat="1" x14ac:dyDescent="0.25">
      <c r="A851" s="206"/>
      <c r="B851" s="220"/>
      <c r="C851" s="331"/>
      <c r="D851" s="206"/>
      <c r="E851" s="333"/>
      <c r="F851" s="332"/>
    </row>
    <row r="852" spans="1:6" s="214" customFormat="1" x14ac:dyDescent="0.25">
      <c r="A852" s="206"/>
      <c r="B852" s="220"/>
      <c r="C852" s="331"/>
      <c r="D852" s="206"/>
      <c r="E852" s="333"/>
      <c r="F852" s="332"/>
    </row>
    <row r="853" spans="1:6" s="214" customFormat="1" x14ac:dyDescent="0.25">
      <c r="A853" s="206"/>
      <c r="B853" s="220"/>
      <c r="C853" s="331"/>
      <c r="D853" s="206"/>
      <c r="E853" s="333"/>
      <c r="F853" s="332"/>
    </row>
    <row r="854" spans="1:6" s="214" customFormat="1" x14ac:dyDescent="0.25">
      <c r="A854" s="206"/>
      <c r="B854" s="220"/>
      <c r="C854" s="331"/>
      <c r="D854" s="206"/>
      <c r="E854" s="333"/>
      <c r="F854" s="332"/>
    </row>
    <row r="855" spans="1:6" s="214" customFormat="1" x14ac:dyDescent="0.25">
      <c r="A855" s="206"/>
      <c r="B855" s="220"/>
      <c r="C855" s="331"/>
      <c r="D855" s="206"/>
      <c r="E855" s="333"/>
      <c r="F855" s="332"/>
    </row>
    <row r="856" spans="1:6" s="214" customFormat="1" x14ac:dyDescent="0.25">
      <c r="A856" s="206"/>
      <c r="B856" s="220"/>
      <c r="C856" s="331"/>
      <c r="D856" s="206"/>
      <c r="E856" s="333"/>
      <c r="F856" s="332"/>
    </row>
    <row r="857" spans="1:6" s="214" customFormat="1" x14ac:dyDescent="0.25">
      <c r="A857" s="206"/>
      <c r="B857" s="220"/>
      <c r="C857" s="331"/>
      <c r="D857" s="206"/>
      <c r="E857" s="333"/>
      <c r="F857" s="332"/>
    </row>
    <row r="858" spans="1:6" s="214" customFormat="1" x14ac:dyDescent="0.25">
      <c r="A858" s="206"/>
      <c r="B858" s="220"/>
      <c r="C858" s="331"/>
      <c r="D858" s="206"/>
      <c r="E858" s="333"/>
      <c r="F858" s="332"/>
    </row>
    <row r="859" spans="1:6" s="214" customFormat="1" x14ac:dyDescent="0.25">
      <c r="A859" s="206"/>
      <c r="B859" s="220"/>
      <c r="C859" s="331"/>
      <c r="D859" s="206"/>
      <c r="E859" s="333"/>
      <c r="F859" s="332"/>
    </row>
    <row r="860" spans="1:6" s="214" customFormat="1" x14ac:dyDescent="0.25">
      <c r="A860" s="206"/>
      <c r="B860" s="220"/>
      <c r="C860" s="331"/>
      <c r="D860" s="206"/>
      <c r="E860" s="333"/>
      <c r="F860" s="332"/>
    </row>
    <row r="861" spans="1:6" s="214" customFormat="1" x14ac:dyDescent="0.25">
      <c r="A861" s="206"/>
      <c r="B861" s="220"/>
      <c r="C861" s="331"/>
      <c r="D861" s="206"/>
      <c r="E861" s="333"/>
      <c r="F861" s="332"/>
    </row>
    <row r="862" spans="1:6" s="214" customFormat="1" x14ac:dyDescent="0.25">
      <c r="A862" s="206"/>
      <c r="B862" s="220"/>
      <c r="C862" s="331"/>
      <c r="D862" s="206"/>
      <c r="E862" s="333"/>
      <c r="F862" s="332"/>
    </row>
    <row r="863" spans="1:6" s="214" customFormat="1" x14ac:dyDescent="0.25">
      <c r="A863" s="206"/>
      <c r="B863" s="220"/>
      <c r="C863" s="331"/>
      <c r="D863" s="206"/>
      <c r="E863" s="333"/>
      <c r="F863" s="332"/>
    </row>
    <row r="864" spans="1:6" s="214" customFormat="1" ht="19.149999999999999" customHeight="1" x14ac:dyDescent="0.25">
      <c r="A864" s="206"/>
      <c r="B864" s="231"/>
      <c r="C864" s="311"/>
      <c r="D864" s="209"/>
      <c r="E864" s="333"/>
      <c r="F864" s="313"/>
    </row>
    <row r="865" spans="1:6" s="214" customFormat="1" ht="19.149999999999999" customHeight="1" x14ac:dyDescent="0.25">
      <c r="A865" s="206"/>
      <c r="B865" s="231"/>
      <c r="C865" s="311"/>
      <c r="D865" s="209"/>
      <c r="E865" s="333"/>
      <c r="F865" s="313"/>
    </row>
    <row r="866" spans="1:6" s="214" customFormat="1" ht="19.149999999999999" customHeight="1" x14ac:dyDescent="0.25">
      <c r="A866" s="206"/>
      <c r="B866" s="231"/>
      <c r="C866" s="311"/>
      <c r="D866" s="209"/>
      <c r="E866" s="333"/>
      <c r="F866" s="313"/>
    </row>
    <row r="867" spans="1:6" s="214" customFormat="1" ht="19.149999999999999" customHeight="1" x14ac:dyDescent="0.25">
      <c r="A867" s="206"/>
      <c r="B867" s="231"/>
      <c r="C867" s="311"/>
      <c r="D867" s="209"/>
      <c r="E867" s="333"/>
      <c r="F867" s="313"/>
    </row>
    <row r="868" spans="1:6" s="214" customFormat="1" ht="19.149999999999999" customHeight="1" x14ac:dyDescent="0.25">
      <c r="A868" s="206"/>
      <c r="B868" s="231"/>
      <c r="C868" s="311"/>
      <c r="D868" s="209"/>
      <c r="E868" s="333"/>
      <c r="F868" s="313"/>
    </row>
    <row r="869" spans="1:6" s="214" customFormat="1" ht="19.149999999999999" customHeight="1" x14ac:dyDescent="0.25">
      <c r="A869" s="206"/>
      <c r="B869" s="231"/>
      <c r="C869" s="311"/>
      <c r="D869" s="209"/>
      <c r="E869" s="333"/>
      <c r="F869" s="313"/>
    </row>
    <row r="870" spans="1:6" s="214" customFormat="1" ht="19.149999999999999" customHeight="1" x14ac:dyDescent="0.25">
      <c r="A870" s="206"/>
      <c r="B870" s="231"/>
      <c r="C870" s="311"/>
      <c r="D870" s="209"/>
      <c r="E870" s="333"/>
      <c r="F870" s="313"/>
    </row>
    <row r="871" spans="1:6" s="214" customFormat="1" ht="19.149999999999999" customHeight="1" x14ac:dyDescent="0.25">
      <c r="A871" s="206"/>
      <c r="B871" s="231"/>
      <c r="C871" s="311"/>
      <c r="D871" s="209"/>
      <c r="E871" s="333"/>
      <c r="F871" s="313"/>
    </row>
    <row r="872" spans="1:6" s="214" customFormat="1" ht="17.25" customHeight="1" x14ac:dyDescent="0.25">
      <c r="A872" s="206"/>
      <c r="B872" s="231"/>
      <c r="C872" s="311"/>
      <c r="D872" s="209"/>
      <c r="E872" s="333"/>
      <c r="F872" s="313"/>
    </row>
    <row r="873" spans="1:6" s="214" customFormat="1" ht="17.25" customHeight="1" x14ac:dyDescent="0.25">
      <c r="A873" s="206"/>
      <c r="B873" s="231"/>
      <c r="C873" s="311"/>
      <c r="D873" s="209"/>
      <c r="E873" s="333"/>
      <c r="F873" s="313"/>
    </row>
    <row r="874" spans="1:6" s="214" customFormat="1" ht="17.25" customHeight="1" x14ac:dyDescent="0.25">
      <c r="A874" s="206"/>
      <c r="B874" s="231"/>
      <c r="C874" s="311"/>
      <c r="D874" s="209"/>
      <c r="E874" s="333"/>
      <c r="F874" s="313"/>
    </row>
    <row r="875" spans="1:6" s="214" customFormat="1" ht="17.25" customHeight="1" x14ac:dyDescent="0.25">
      <c r="A875" s="206"/>
      <c r="B875" s="210" t="s">
        <v>658</v>
      </c>
      <c r="C875" s="311"/>
      <c r="D875" s="209"/>
      <c r="E875" s="333"/>
      <c r="F875" s="313"/>
    </row>
    <row r="876" spans="1:6" s="214" customFormat="1" ht="17.25" customHeight="1" x14ac:dyDescent="0.25">
      <c r="A876" s="206"/>
      <c r="B876" s="220" t="s">
        <v>638</v>
      </c>
      <c r="C876" s="311"/>
      <c r="D876" s="209"/>
      <c r="E876" s="312" t="s">
        <v>15</v>
      </c>
      <c r="F876" s="313">
        <f>F847</f>
        <v>5500000</v>
      </c>
    </row>
    <row r="877" spans="1:6" s="497" customFormat="1" ht="18.75" x14ac:dyDescent="0.3">
      <c r="A877" s="197"/>
      <c r="B877" s="292" t="s">
        <v>793</v>
      </c>
      <c r="C877" s="202"/>
      <c r="D877" s="197"/>
      <c r="E877" s="299"/>
      <c r="F877" s="201"/>
    </row>
    <row r="878" spans="1:6" s="497" customFormat="1" ht="16.5" customHeight="1" x14ac:dyDescent="0.3">
      <c r="A878" s="197"/>
      <c r="B878" s="202"/>
      <c r="C878" s="202"/>
      <c r="D878" s="197"/>
      <c r="E878" s="299"/>
      <c r="F878" s="201"/>
    </row>
    <row r="879" spans="1:6" s="497" customFormat="1" ht="17.25" customHeight="1" x14ac:dyDescent="0.3">
      <c r="A879" s="197"/>
      <c r="B879" s="300" t="s">
        <v>659</v>
      </c>
      <c r="C879" s="202"/>
      <c r="D879" s="197"/>
      <c r="E879" s="299"/>
      <c r="F879" s="201"/>
    </row>
    <row r="880" spans="1:6" s="497" customFormat="1" ht="17.25" customHeight="1" x14ac:dyDescent="0.3">
      <c r="A880" s="197"/>
      <c r="B880" s="300"/>
      <c r="C880" s="202"/>
      <c r="D880" s="197"/>
      <c r="E880" s="299"/>
      <c r="F880" s="201"/>
    </row>
    <row r="881" spans="1:6" s="534" customFormat="1" ht="17.25" x14ac:dyDescent="0.35">
      <c r="A881" s="354" t="s">
        <v>796</v>
      </c>
      <c r="B881" s="354" t="s">
        <v>764</v>
      </c>
      <c r="C881" s="354" t="s">
        <v>765</v>
      </c>
      <c r="D881" s="354" t="s">
        <v>773</v>
      </c>
      <c r="E881" s="653" t="s">
        <v>767</v>
      </c>
      <c r="F881" s="354" t="s">
        <v>768</v>
      </c>
    </row>
    <row r="882" spans="1:6" s="534" customFormat="1" ht="17.25" x14ac:dyDescent="0.35">
      <c r="A882" s="354"/>
      <c r="B882" s="354"/>
      <c r="C882" s="354"/>
      <c r="D882" s="354"/>
      <c r="E882" s="653"/>
      <c r="F882" s="354"/>
    </row>
    <row r="883" spans="1:6" s="534" customFormat="1" ht="30" x14ac:dyDescent="0.3">
      <c r="A883" s="357">
        <v>1</v>
      </c>
      <c r="B883" s="358" t="s">
        <v>877</v>
      </c>
      <c r="C883" s="359" t="s">
        <v>36</v>
      </c>
      <c r="E883" s="654"/>
      <c r="F883" s="360">
        <v>6083700</v>
      </c>
    </row>
    <row r="884" spans="1:6" s="534" customFormat="1" x14ac:dyDescent="0.3">
      <c r="A884" s="357"/>
      <c r="B884" s="358"/>
      <c r="C884" s="359"/>
      <c r="E884" s="654"/>
      <c r="F884" s="360"/>
    </row>
    <row r="885" spans="1:6" s="534" customFormat="1" x14ac:dyDescent="0.3">
      <c r="A885" s="357"/>
      <c r="B885" s="358"/>
      <c r="C885" s="359"/>
      <c r="E885" s="654"/>
      <c r="F885" s="360"/>
    </row>
    <row r="886" spans="1:6" s="534" customFormat="1" x14ac:dyDescent="0.3">
      <c r="A886" s="357"/>
      <c r="B886" s="358"/>
      <c r="C886" s="359"/>
      <c r="E886" s="654"/>
      <c r="F886" s="360"/>
    </row>
    <row r="887" spans="1:6" s="534" customFormat="1" x14ac:dyDescent="0.3">
      <c r="A887" s="357"/>
      <c r="B887" s="358"/>
      <c r="C887" s="359"/>
      <c r="E887" s="654"/>
      <c r="F887" s="360"/>
    </row>
    <row r="888" spans="1:6" s="534" customFormat="1" x14ac:dyDescent="0.3">
      <c r="A888" s="357"/>
      <c r="B888" s="358"/>
      <c r="C888" s="359"/>
      <c r="E888" s="654"/>
      <c r="F888" s="360"/>
    </row>
    <row r="889" spans="1:6" s="534" customFormat="1" x14ac:dyDescent="0.3">
      <c r="A889" s="357"/>
      <c r="B889" s="358"/>
      <c r="C889" s="359"/>
      <c r="E889" s="654"/>
      <c r="F889" s="360"/>
    </row>
    <row r="890" spans="1:6" s="534" customFormat="1" x14ac:dyDescent="0.3">
      <c r="A890" s="357"/>
      <c r="B890" s="358"/>
      <c r="C890" s="359"/>
      <c r="E890" s="654"/>
      <c r="F890" s="360"/>
    </row>
    <row r="891" spans="1:6" s="534" customFormat="1" x14ac:dyDescent="0.3">
      <c r="A891" s="357"/>
      <c r="B891" s="358"/>
      <c r="C891" s="359"/>
      <c r="E891" s="654"/>
      <c r="F891" s="360"/>
    </row>
    <row r="892" spans="1:6" s="534" customFormat="1" x14ac:dyDescent="0.3">
      <c r="A892" s="357"/>
      <c r="B892" s="358"/>
      <c r="C892" s="359"/>
      <c r="E892" s="654"/>
      <c r="F892" s="360"/>
    </row>
    <row r="893" spans="1:6" s="534" customFormat="1" x14ac:dyDescent="0.3">
      <c r="A893" s="357"/>
      <c r="B893" s="358"/>
      <c r="C893" s="359"/>
      <c r="E893" s="654"/>
      <c r="F893" s="360"/>
    </row>
    <row r="894" spans="1:6" s="534" customFormat="1" x14ac:dyDescent="0.3">
      <c r="A894" s="357"/>
      <c r="B894" s="358"/>
      <c r="C894" s="359"/>
      <c r="E894" s="654"/>
      <c r="F894" s="360"/>
    </row>
    <row r="895" spans="1:6" s="534" customFormat="1" x14ac:dyDescent="0.3">
      <c r="A895" s="357"/>
      <c r="B895" s="358"/>
      <c r="C895" s="359"/>
      <c r="E895" s="654"/>
      <c r="F895" s="360"/>
    </row>
    <row r="896" spans="1:6" s="534" customFormat="1" x14ac:dyDescent="0.3">
      <c r="A896" s="357"/>
      <c r="B896" s="358"/>
      <c r="C896" s="359"/>
      <c r="E896" s="654"/>
      <c r="F896" s="360"/>
    </row>
    <row r="897" spans="1:6" s="534" customFormat="1" x14ac:dyDescent="0.3">
      <c r="A897" s="357"/>
      <c r="B897" s="358"/>
      <c r="C897" s="359"/>
      <c r="E897" s="654"/>
      <c r="F897" s="360"/>
    </row>
    <row r="898" spans="1:6" s="534" customFormat="1" x14ac:dyDescent="0.3">
      <c r="A898" s="357"/>
      <c r="B898" s="358"/>
      <c r="C898" s="359"/>
      <c r="E898" s="654"/>
      <c r="F898" s="360"/>
    </row>
    <row r="899" spans="1:6" s="534" customFormat="1" x14ac:dyDescent="0.3">
      <c r="A899" s="357"/>
      <c r="B899" s="358"/>
      <c r="C899" s="359"/>
      <c r="E899" s="654"/>
      <c r="F899" s="360"/>
    </row>
    <row r="900" spans="1:6" s="534" customFormat="1" x14ac:dyDescent="0.3">
      <c r="A900" s="357"/>
      <c r="B900" s="358"/>
      <c r="C900" s="359"/>
      <c r="E900" s="654"/>
      <c r="F900" s="360"/>
    </row>
    <row r="901" spans="1:6" s="534" customFormat="1" x14ac:dyDescent="0.3">
      <c r="A901" s="357"/>
      <c r="B901" s="358"/>
      <c r="C901" s="359"/>
      <c r="E901" s="654"/>
      <c r="F901" s="360"/>
    </row>
    <row r="902" spans="1:6" s="534" customFormat="1" x14ac:dyDescent="0.3">
      <c r="A902" s="357"/>
      <c r="B902" s="358"/>
      <c r="C902" s="359"/>
      <c r="E902" s="654"/>
      <c r="F902" s="360"/>
    </row>
    <row r="903" spans="1:6" s="534" customFormat="1" x14ac:dyDescent="0.3">
      <c r="A903" s="357"/>
      <c r="B903" s="358"/>
      <c r="C903" s="359"/>
      <c r="E903" s="654"/>
      <c r="F903" s="360"/>
    </row>
    <row r="904" spans="1:6" s="497" customFormat="1" ht="18.75" x14ac:dyDescent="0.3">
      <c r="A904" s="197"/>
      <c r="B904" s="300" t="s">
        <v>659</v>
      </c>
      <c r="C904" s="202"/>
      <c r="D904" s="197"/>
      <c r="E904" s="299"/>
      <c r="F904" s="201"/>
    </row>
    <row r="905" spans="1:6" s="497" customFormat="1" ht="18" x14ac:dyDescent="0.35">
      <c r="A905" s="297"/>
      <c r="B905" s="293" t="s">
        <v>638</v>
      </c>
      <c r="C905" s="298"/>
      <c r="D905" s="297"/>
      <c r="E905" s="308" t="s">
        <v>15</v>
      </c>
      <c r="F905" s="301">
        <f>SUM(F883:F904)</f>
        <v>6083700</v>
      </c>
    </row>
    <row r="906" spans="1:6" x14ac:dyDescent="0.25">
      <c r="B906" s="211"/>
    </row>
    <row r="907" spans="1:6" x14ac:dyDescent="0.25">
      <c r="B907" s="211"/>
    </row>
    <row r="908" spans="1:6" ht="19.5" customHeight="1" x14ac:dyDescent="0.25">
      <c r="B908" s="211" t="s">
        <v>450</v>
      </c>
    </row>
    <row r="909" spans="1:6" x14ac:dyDescent="0.25">
      <c r="F909" s="273"/>
    </row>
    <row r="910" spans="1:6" ht="15.75" customHeight="1" x14ac:dyDescent="0.25">
      <c r="B910" s="218" t="s">
        <v>533</v>
      </c>
      <c r="E910" s="304">
        <f>F111</f>
        <v>24082550</v>
      </c>
      <c r="F910" s="274"/>
    </row>
    <row r="911" spans="1:6" x14ac:dyDescent="0.25">
      <c r="F911" s="274"/>
    </row>
    <row r="912" spans="1:6" x14ac:dyDescent="0.25">
      <c r="B912" s="214" t="s">
        <v>108</v>
      </c>
      <c r="E912" s="304">
        <f>F156</f>
        <v>15183900</v>
      </c>
      <c r="F912" s="274"/>
    </row>
    <row r="913" spans="2:6" x14ac:dyDescent="0.25">
      <c r="F913" s="274"/>
    </row>
    <row r="914" spans="2:6" x14ac:dyDescent="0.25">
      <c r="B914" s="214" t="s">
        <v>453</v>
      </c>
      <c r="E914" s="304">
        <f>F202</f>
        <v>16793150</v>
      </c>
      <c r="F914" s="274"/>
    </row>
    <row r="915" spans="2:6" x14ac:dyDescent="0.25">
      <c r="C915" s="275"/>
      <c r="D915" s="276"/>
      <c r="F915" s="274"/>
    </row>
    <row r="916" spans="2:6" x14ac:dyDescent="0.25">
      <c r="B916" s="214" t="s">
        <v>125</v>
      </c>
      <c r="E916" s="304">
        <f>F338</f>
        <v>3929180</v>
      </c>
      <c r="F916" s="274"/>
    </row>
    <row r="917" spans="2:6" ht="18" customHeight="1" x14ac:dyDescent="0.25">
      <c r="C917" s="275"/>
      <c r="D917" s="276"/>
      <c r="F917" s="274"/>
    </row>
    <row r="918" spans="2:6" x14ac:dyDescent="0.25">
      <c r="B918" s="214" t="s">
        <v>163</v>
      </c>
      <c r="E918" s="304">
        <f>F473</f>
        <v>17347440</v>
      </c>
      <c r="F918" s="274"/>
    </row>
    <row r="919" spans="2:6" x14ac:dyDescent="0.25">
      <c r="C919" s="275"/>
      <c r="D919" s="276"/>
      <c r="F919" s="274"/>
    </row>
    <row r="920" spans="2:6" x14ac:dyDescent="0.25">
      <c r="B920" s="214" t="s">
        <v>195</v>
      </c>
      <c r="E920" s="304">
        <f>F517</f>
        <v>7019550</v>
      </c>
      <c r="F920" s="274"/>
    </row>
    <row r="921" spans="2:6" x14ac:dyDescent="0.25">
      <c r="F921" s="274"/>
    </row>
    <row r="922" spans="2:6" x14ac:dyDescent="0.25">
      <c r="B922" s="214" t="s">
        <v>602</v>
      </c>
      <c r="E922" s="304">
        <f>F562</f>
        <v>7516080</v>
      </c>
      <c r="F922" s="274"/>
    </row>
    <row r="923" spans="2:6" x14ac:dyDescent="0.25">
      <c r="F923" s="274"/>
    </row>
    <row r="924" spans="2:6" x14ac:dyDescent="0.25">
      <c r="B924" s="214" t="s">
        <v>210</v>
      </c>
      <c r="E924" s="304">
        <f>F607</f>
        <v>7193350</v>
      </c>
      <c r="F924" s="274"/>
    </row>
    <row r="925" spans="2:6" x14ac:dyDescent="0.25">
      <c r="F925" s="274"/>
    </row>
    <row r="926" spans="2:6" x14ac:dyDescent="0.25">
      <c r="B926" s="214" t="s">
        <v>607</v>
      </c>
      <c r="E926" s="304">
        <f>F650</f>
        <v>8073676</v>
      </c>
      <c r="F926" s="274"/>
    </row>
    <row r="927" spans="2:6" x14ac:dyDescent="0.25">
      <c r="C927" s="275"/>
      <c r="D927" s="276"/>
      <c r="F927" s="274"/>
    </row>
    <row r="928" spans="2:6" x14ac:dyDescent="0.25">
      <c r="B928" s="214" t="s">
        <v>905</v>
      </c>
      <c r="E928" s="304">
        <f>F685</f>
        <v>9208000</v>
      </c>
      <c r="F928" s="274"/>
    </row>
    <row r="929" spans="2:6" x14ac:dyDescent="0.25">
      <c r="F929" s="274"/>
    </row>
    <row r="930" spans="2:6" x14ac:dyDescent="0.25">
      <c r="B930" s="214" t="s">
        <v>236</v>
      </c>
      <c r="E930" s="304">
        <f>F721</f>
        <v>18254850</v>
      </c>
      <c r="F930" s="274"/>
    </row>
    <row r="931" spans="2:6" x14ac:dyDescent="0.25">
      <c r="F931" s="274"/>
    </row>
    <row r="932" spans="2:6" x14ac:dyDescent="0.25">
      <c r="B932" s="214" t="s">
        <v>689</v>
      </c>
      <c r="E932" s="304">
        <f>F795</f>
        <v>10297184.5</v>
      </c>
      <c r="F932" s="274"/>
    </row>
    <row r="933" spans="2:6" x14ac:dyDescent="0.25">
      <c r="F933" s="274"/>
    </row>
    <row r="934" spans="2:6" x14ac:dyDescent="0.25">
      <c r="B934" s="214" t="s">
        <v>690</v>
      </c>
      <c r="E934" s="304">
        <f>F841</f>
        <v>9722350</v>
      </c>
      <c r="F934" s="274"/>
    </row>
    <row r="935" spans="2:6" x14ac:dyDescent="0.25">
      <c r="F935" s="274"/>
    </row>
    <row r="936" spans="2:6" x14ac:dyDescent="0.25">
      <c r="B936" s="214" t="s">
        <v>658</v>
      </c>
      <c r="E936" s="304">
        <f>F876</f>
        <v>5500000</v>
      </c>
      <c r="F936" s="274"/>
    </row>
    <row r="937" spans="2:6" x14ac:dyDescent="0.25">
      <c r="C937" s="275"/>
      <c r="D937" s="276"/>
      <c r="F937" s="274"/>
    </row>
    <row r="938" spans="2:6" x14ac:dyDescent="0.25">
      <c r="B938" s="214" t="s">
        <v>659</v>
      </c>
      <c r="C938" s="277"/>
      <c r="E938" s="304">
        <f>F905</f>
        <v>6083700</v>
      </c>
      <c r="F938" s="274"/>
    </row>
    <row r="939" spans="2:6" x14ac:dyDescent="0.25">
      <c r="C939" s="277"/>
      <c r="F939" s="274"/>
    </row>
    <row r="940" spans="2:6" x14ac:dyDescent="0.25">
      <c r="B940" s="278" t="s">
        <v>1049</v>
      </c>
      <c r="C940" s="279"/>
      <c r="D940" s="280"/>
      <c r="E940" s="309"/>
      <c r="F940" s="274"/>
    </row>
    <row r="941" spans="2:6" ht="17.25" customHeight="1" x14ac:dyDescent="0.25">
      <c r="B941" s="220" t="s">
        <v>660</v>
      </c>
      <c r="D941" s="276" t="s">
        <v>20</v>
      </c>
      <c r="E941" s="310"/>
      <c r="F941" s="222">
        <f>SUM(E910:E940)</f>
        <v>166204960.5</v>
      </c>
    </row>
    <row r="942" spans="2:6" ht="19.5" customHeight="1" x14ac:dyDescent="0.25">
      <c r="B942" s="220" t="s">
        <v>692</v>
      </c>
      <c r="F942" s="281">
        <f>F941*5%</f>
        <v>8310248.0250000004</v>
      </c>
    </row>
    <row r="943" spans="2:6" ht="19.5" customHeight="1" x14ac:dyDescent="0.25">
      <c r="B943" s="220" t="s">
        <v>474</v>
      </c>
      <c r="F943" s="222">
        <f>SUM(F941:F942)</f>
        <v>174515208.52500001</v>
      </c>
    </row>
    <row r="944" spans="2:6" ht="19.5" customHeight="1" x14ac:dyDescent="0.25">
      <c r="B944" s="220" t="s">
        <v>693</v>
      </c>
      <c r="F944" s="222">
        <f>F943*5%</f>
        <v>8725760.4262500014</v>
      </c>
    </row>
    <row r="945" spans="2:7" ht="19.5" customHeight="1" x14ac:dyDescent="0.25">
      <c r="B945" s="220"/>
      <c r="F945" s="282">
        <f>SUM(F943:F944)</f>
        <v>183240968.95125002</v>
      </c>
    </row>
    <row r="946" spans="2:7" x14ac:dyDescent="0.25">
      <c r="B946" s="220" t="s">
        <v>477</v>
      </c>
      <c r="F946" s="281">
        <f>F945*7.5%</f>
        <v>13743072.671343751</v>
      </c>
    </row>
    <row r="947" spans="2:7" ht="17.25" customHeight="1" thickBot="1" x14ac:dyDescent="0.3">
      <c r="B947" s="210" t="s">
        <v>694</v>
      </c>
      <c r="E947" s="303" t="s">
        <v>15</v>
      </c>
      <c r="F947" s="283">
        <f>SUM(F945:F946)</f>
        <v>196984041.62259376</v>
      </c>
    </row>
    <row r="948" spans="2:7" ht="17.25" customHeight="1" thickTop="1" x14ac:dyDescent="0.25">
      <c r="B948" s="220" t="s">
        <v>695</v>
      </c>
    </row>
    <row r="949" spans="2:7" ht="17.25" customHeight="1" x14ac:dyDescent="0.25">
      <c r="B949" s="220"/>
    </row>
    <row r="950" spans="2:7" ht="17.25" customHeight="1" x14ac:dyDescent="0.25"/>
    <row r="951" spans="2:7" ht="20.45" customHeight="1" x14ac:dyDescent="0.25"/>
    <row r="952" spans="2:7" ht="17.25" customHeight="1" x14ac:dyDescent="0.25">
      <c r="B952" s="220"/>
      <c r="E952" s="303"/>
    </row>
    <row r="953" spans="2:7" ht="17.25" customHeight="1" x14ac:dyDescent="0.25">
      <c r="B953" s="206"/>
      <c r="C953" s="220" t="s">
        <v>471</v>
      </c>
      <c r="D953" s="221">
        <v>579</v>
      </c>
      <c r="E953" s="209" t="s">
        <v>472</v>
      </c>
      <c r="F953" s="304"/>
      <c r="G953" s="207"/>
    </row>
    <row r="954" spans="2:7" ht="17.25" customHeight="1" x14ac:dyDescent="0.25">
      <c r="B954" s="206"/>
      <c r="C954" s="220" t="s">
        <v>661</v>
      </c>
      <c r="D954" s="205"/>
      <c r="E954" s="206"/>
      <c r="F954" s="303">
        <f>F947/D953</f>
        <v>340214.2342359132</v>
      </c>
      <c r="G954" s="207"/>
    </row>
    <row r="955" spans="2:7" ht="17.25" customHeight="1" x14ac:dyDescent="0.25"/>
    <row r="956" spans="2:7" ht="17.25" customHeight="1" x14ac:dyDescent="0.25"/>
    <row r="957" spans="2:7" ht="17.25" customHeight="1" x14ac:dyDescent="0.25"/>
    <row r="971" spans="1:6" s="223" customFormat="1" x14ac:dyDescent="0.25">
      <c r="A971" s="206"/>
      <c r="B971" s="214"/>
      <c r="C971" s="205"/>
      <c r="D971" s="206"/>
      <c r="E971" s="304"/>
      <c r="F971" s="207"/>
    </row>
    <row r="972" spans="1:6" s="223" customFormat="1" x14ac:dyDescent="0.25">
      <c r="A972" s="206"/>
      <c r="B972" s="214"/>
      <c r="C972" s="205"/>
      <c r="D972" s="206"/>
      <c r="E972" s="304"/>
      <c r="F972" s="207"/>
    </row>
    <row r="973" spans="1:6" s="223" customFormat="1" x14ac:dyDescent="0.25">
      <c r="A973" s="206"/>
      <c r="B973" s="214"/>
      <c r="C973" s="205"/>
      <c r="D973" s="206"/>
      <c r="E973" s="304"/>
      <c r="F973" s="207"/>
    </row>
    <row r="974" spans="1:6" s="223" customFormat="1" x14ac:dyDescent="0.25">
      <c r="A974" s="206"/>
      <c r="B974" s="214"/>
      <c r="C974" s="205"/>
      <c r="D974" s="206"/>
      <c r="E974" s="304"/>
      <c r="F974" s="207"/>
    </row>
    <row r="975" spans="1:6" s="223" customFormat="1" x14ac:dyDescent="0.25">
      <c r="A975" s="206"/>
      <c r="B975" s="214"/>
      <c r="C975" s="205"/>
      <c r="D975" s="206"/>
      <c r="E975" s="304"/>
      <c r="F975" s="207"/>
    </row>
    <row r="976" spans="1:6" s="223" customFormat="1" x14ac:dyDescent="0.25">
      <c r="A976" s="206"/>
      <c r="B976" s="214"/>
      <c r="C976" s="205"/>
      <c r="D976" s="206"/>
      <c r="E976" s="304"/>
      <c r="F976" s="207"/>
    </row>
    <row r="1000" spans="1:6" s="223" customFormat="1" x14ac:dyDescent="0.25">
      <c r="A1000" s="206"/>
      <c r="B1000" s="214"/>
      <c r="C1000" s="205"/>
      <c r="D1000" s="206"/>
      <c r="E1000" s="304"/>
      <c r="F1000" s="207"/>
    </row>
    <row r="1001" spans="1:6" ht="21" customHeight="1" x14ac:dyDescent="0.25"/>
    <row r="1038" spans="1:6" s="223" customFormat="1" x14ac:dyDescent="0.25">
      <c r="A1038" s="206"/>
      <c r="B1038" s="214"/>
      <c r="C1038" s="205"/>
      <c r="D1038" s="206"/>
      <c r="E1038" s="304"/>
      <c r="F1038" s="207"/>
    </row>
    <row r="1039" spans="1:6" s="223" customFormat="1" x14ac:dyDescent="0.25">
      <c r="A1039" s="206"/>
      <c r="B1039" s="214"/>
      <c r="C1039" s="205"/>
      <c r="D1039" s="206"/>
      <c r="E1039" s="304"/>
      <c r="F1039" s="207"/>
    </row>
    <row r="1070" spans="1:6" s="223" customFormat="1" x14ac:dyDescent="0.25">
      <c r="A1070" s="206"/>
      <c r="B1070" s="214"/>
      <c r="C1070" s="205"/>
      <c r="D1070" s="206"/>
      <c r="E1070" s="304"/>
      <c r="F1070" s="207"/>
    </row>
    <row r="1071" spans="1:6" s="223" customFormat="1" x14ac:dyDescent="0.25">
      <c r="A1071" s="206"/>
      <c r="B1071" s="214"/>
      <c r="C1071" s="205"/>
      <c r="D1071" s="206"/>
      <c r="E1071" s="304"/>
      <c r="F1071" s="207"/>
    </row>
  </sheetData>
  <printOptions gridLines="1"/>
  <pageMargins left="0.74803149606299213" right="0.74803149606299213" top="0.98425196850393704" bottom="0.98425196850393704" header="0.51181102362204722" footer="0.51181102362204722"/>
  <pageSetup paperSize="9" scale="63" orientation="portrait" r:id="rId1"/>
  <headerFooter alignWithMargins="0">
    <oddFooter>&amp;R&amp;"Comic Sans MS,Bold Italic"Page /&amp;P</oddFooter>
  </headerFooter>
  <rowBreaks count="22" manualBreakCount="22">
    <brk id="31" max="5" man="1"/>
    <brk id="72" max="5" man="1"/>
    <brk id="111" max="5" man="1"/>
    <brk id="156" max="5" man="1"/>
    <brk id="202" max="5" man="1"/>
    <brk id="248" max="5" man="1"/>
    <brk id="293" max="5" man="1"/>
    <brk id="338" max="5" man="1"/>
    <brk id="384" max="5" man="1"/>
    <brk id="429" max="5" man="1"/>
    <brk id="473" max="5" man="1"/>
    <brk id="517" max="5" man="1"/>
    <brk id="562" max="5" man="1"/>
    <brk id="607" max="5" man="1"/>
    <brk id="650" max="5" man="1"/>
    <brk id="685" max="5" man="1"/>
    <brk id="721" max="5" man="1"/>
    <brk id="757" max="5" man="1"/>
    <brk id="795" max="5" man="1"/>
    <brk id="841" max="5" man="1"/>
    <brk id="876" max="5" man="1"/>
    <brk id="905"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B876-7295-42B7-B0BB-2B6699356A4C}">
  <dimension ref="A1:J29"/>
  <sheetViews>
    <sheetView view="pageBreakPreview" topLeftCell="A7" zoomScaleNormal="96" zoomScaleSheetLayoutView="100" workbookViewId="0">
      <selection activeCell="A5" sqref="A5:J10"/>
    </sheetView>
  </sheetViews>
  <sheetFormatPr defaultColWidth="11.42578125" defaultRowHeight="26.25" x14ac:dyDescent="0.4"/>
  <cols>
    <col min="1" max="1" width="8.5703125" style="392" customWidth="1"/>
    <col min="2" max="2" width="14.42578125" style="392" customWidth="1"/>
    <col min="3" max="7" width="11.42578125" style="392"/>
    <col min="8" max="8" width="14.85546875" style="392" customWidth="1"/>
    <col min="9" max="16384" width="11.42578125" style="392"/>
  </cols>
  <sheetData>
    <row r="1" spans="1:10" ht="31.5" x14ac:dyDescent="0.4">
      <c r="A1" s="681"/>
      <c r="B1" s="681"/>
      <c r="C1" s="681"/>
      <c r="D1" s="681"/>
      <c r="E1" s="681"/>
      <c r="F1" s="681"/>
      <c r="G1" s="681"/>
      <c r="H1" s="681"/>
      <c r="I1" s="681"/>
      <c r="J1" s="681"/>
    </row>
    <row r="2" spans="1:10" ht="17.25" customHeight="1" x14ac:dyDescent="0.5">
      <c r="A2" s="393"/>
      <c r="B2" s="393"/>
      <c r="C2" s="393"/>
      <c r="D2" s="393"/>
      <c r="E2" s="393"/>
      <c r="F2" s="393"/>
      <c r="G2" s="393"/>
      <c r="H2" s="393"/>
      <c r="I2" s="394"/>
      <c r="J2" s="394"/>
    </row>
    <row r="3" spans="1:10" ht="31.5" x14ac:dyDescent="0.4">
      <c r="A3" s="681"/>
      <c r="B3" s="681"/>
      <c r="C3" s="681"/>
      <c r="D3" s="681"/>
      <c r="E3" s="681"/>
      <c r="F3" s="681"/>
      <c r="G3" s="681"/>
      <c r="H3" s="681"/>
      <c r="I3" s="681"/>
      <c r="J3" s="681"/>
    </row>
    <row r="4" spans="1:10" ht="13.5" customHeight="1" x14ac:dyDescent="0.5">
      <c r="A4" s="393"/>
      <c r="B4" s="393"/>
      <c r="C4" s="393"/>
      <c r="D4" s="393"/>
      <c r="E4" s="393"/>
      <c r="F4" s="393"/>
      <c r="G4" s="393"/>
      <c r="H4" s="393"/>
      <c r="I4" s="394"/>
      <c r="J4" s="394"/>
    </row>
    <row r="5" spans="1:10" ht="21" customHeight="1" x14ac:dyDescent="0.4">
      <c r="A5" s="682" t="s">
        <v>986</v>
      </c>
      <c r="B5" s="682"/>
      <c r="C5" s="682"/>
      <c r="D5" s="682"/>
      <c r="E5" s="682"/>
      <c r="F5" s="682"/>
      <c r="G5" s="682"/>
      <c r="H5" s="682"/>
      <c r="I5" s="682"/>
      <c r="J5" s="682"/>
    </row>
    <row r="6" spans="1:10" ht="17.25" customHeight="1" x14ac:dyDescent="0.4">
      <c r="A6" s="682"/>
      <c r="B6" s="682"/>
      <c r="C6" s="682"/>
      <c r="D6" s="682"/>
      <c r="E6" s="682"/>
      <c r="F6" s="682"/>
      <c r="G6" s="682"/>
      <c r="H6" s="682"/>
      <c r="I6" s="682"/>
      <c r="J6" s="682"/>
    </row>
    <row r="7" spans="1:10" x14ac:dyDescent="0.4">
      <c r="A7" s="682"/>
      <c r="B7" s="682"/>
      <c r="C7" s="682"/>
      <c r="D7" s="682"/>
      <c r="E7" s="682"/>
      <c r="F7" s="682"/>
      <c r="G7" s="682"/>
      <c r="H7" s="682"/>
      <c r="I7" s="682"/>
      <c r="J7" s="682"/>
    </row>
    <row r="8" spans="1:10" ht="8.25" customHeight="1" x14ac:dyDescent="0.4">
      <c r="A8" s="682"/>
      <c r="B8" s="682"/>
      <c r="C8" s="682"/>
      <c r="D8" s="682"/>
      <c r="E8" s="682"/>
      <c r="F8" s="682"/>
      <c r="G8" s="682"/>
      <c r="H8" s="682"/>
      <c r="I8" s="682"/>
      <c r="J8" s="682"/>
    </row>
    <row r="9" spans="1:10" hidden="1" x14ac:dyDescent="0.4">
      <c r="A9" s="682"/>
      <c r="B9" s="682"/>
      <c r="C9" s="682"/>
      <c r="D9" s="682"/>
      <c r="E9" s="682"/>
      <c r="F9" s="682"/>
      <c r="G9" s="682"/>
      <c r="H9" s="682"/>
      <c r="I9" s="682"/>
      <c r="J9" s="682"/>
    </row>
    <row r="10" spans="1:10" ht="5.25" hidden="1" customHeight="1" x14ac:dyDescent="0.4">
      <c r="A10" s="682"/>
      <c r="B10" s="682"/>
      <c r="C10" s="682"/>
      <c r="D10" s="682"/>
      <c r="E10" s="682"/>
      <c r="F10" s="682"/>
      <c r="G10" s="682"/>
      <c r="H10" s="682"/>
      <c r="I10" s="682"/>
      <c r="J10" s="682"/>
    </row>
    <row r="12" spans="1:10" ht="17.25" customHeight="1" x14ac:dyDescent="0.4"/>
    <row r="22" spans="1:10" x14ac:dyDescent="0.4">
      <c r="F22" s="392" t="s">
        <v>20</v>
      </c>
    </row>
    <row r="24" spans="1:10" s="396" customFormat="1" ht="18.75" x14ac:dyDescent="0.3">
      <c r="A24" s="395"/>
      <c r="G24" s="395"/>
    </row>
    <row r="25" spans="1:10" s="398" customFormat="1" ht="16.5" x14ac:dyDescent="0.3">
      <c r="A25" s="397"/>
      <c r="G25" s="399"/>
    </row>
    <row r="26" spans="1:10" s="398" customFormat="1" ht="15.75" x14ac:dyDescent="0.25"/>
    <row r="27" spans="1:10" s="398" customFormat="1" ht="15.75" x14ac:dyDescent="0.25"/>
    <row r="28" spans="1:10" s="396" customFormat="1" ht="15.75" x14ac:dyDescent="0.25"/>
    <row r="29" spans="1:10" s="396" customFormat="1" ht="15.75" x14ac:dyDescent="0.25">
      <c r="A29" s="683"/>
      <c r="B29" s="683"/>
      <c r="C29" s="683"/>
      <c r="D29" s="683"/>
      <c r="E29" s="683"/>
      <c r="F29" s="683"/>
      <c r="G29" s="683"/>
      <c r="H29" s="683"/>
      <c r="I29" s="683"/>
      <c r="J29" s="683"/>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E12A-F26D-48AC-8A10-121D0B28CFCE}">
  <dimension ref="A1:S1063"/>
  <sheetViews>
    <sheetView view="pageBreakPreview" topLeftCell="A417" zoomScale="115" zoomScaleNormal="100" zoomScaleSheetLayoutView="115" workbookViewId="0">
      <selection activeCell="F875" sqref="F875"/>
    </sheetView>
  </sheetViews>
  <sheetFormatPr defaultColWidth="9.140625" defaultRowHeight="16.5" x14ac:dyDescent="0.25"/>
  <cols>
    <col min="1" max="1" width="4.85546875" style="206" bestFit="1" customWidth="1"/>
    <col min="2" max="2" width="46.7109375" style="214" customWidth="1"/>
    <col min="3" max="3" width="8.42578125" style="205" bestFit="1" customWidth="1"/>
    <col min="4" max="4" width="7.42578125" style="206" bestFit="1" customWidth="1"/>
    <col min="5" max="5" width="16" style="304" bestFit="1" customWidth="1"/>
    <col min="6" max="6" width="17.140625" style="207" bestFit="1" customWidth="1"/>
    <col min="7" max="7" width="18.140625" style="208" customWidth="1"/>
    <col min="8" max="9" width="9.140625" style="208"/>
    <col min="10" max="10" width="12.5703125" style="208" bestFit="1" customWidth="1"/>
    <col min="11" max="11" width="9.140625" style="208"/>
    <col min="12" max="12" width="12.42578125" style="208" bestFit="1" customWidth="1"/>
    <col min="13" max="16384" width="9.140625" style="208"/>
  </cols>
  <sheetData>
    <row r="1" spans="1:9" x14ac:dyDescent="0.25">
      <c r="A1" s="209" t="s">
        <v>796</v>
      </c>
      <c r="B1" s="220" t="s">
        <v>913</v>
      </c>
      <c r="C1" s="221" t="s">
        <v>773</v>
      </c>
      <c r="D1" s="209" t="s">
        <v>765</v>
      </c>
      <c r="E1" s="303" t="s">
        <v>914</v>
      </c>
      <c r="F1" s="222" t="s">
        <v>768</v>
      </c>
    </row>
    <row r="2" spans="1:9" x14ac:dyDescent="0.25">
      <c r="A2" s="203"/>
      <c r="B2" s="204" t="s">
        <v>508</v>
      </c>
    </row>
    <row r="3" spans="1:9" x14ac:dyDescent="0.25">
      <c r="B3" s="209"/>
    </row>
    <row r="4" spans="1:9" x14ac:dyDescent="0.25">
      <c r="B4" s="210" t="s">
        <v>509</v>
      </c>
    </row>
    <row r="5" spans="1:9" x14ac:dyDescent="0.25">
      <c r="B5" s="210"/>
    </row>
    <row r="6" spans="1:9" s="214" customFormat="1" x14ac:dyDescent="0.25">
      <c r="A6" s="206"/>
      <c r="B6" s="211" t="s">
        <v>44</v>
      </c>
      <c r="C6" s="205"/>
      <c r="D6" s="206"/>
      <c r="E6" s="304"/>
      <c r="F6" s="212"/>
    </row>
    <row r="7" spans="1:9" s="214" customFormat="1" ht="15" x14ac:dyDescent="0.25">
      <c r="A7" s="206"/>
      <c r="C7" s="205"/>
      <c r="D7" s="206"/>
      <c r="E7" s="304"/>
      <c r="F7" s="212"/>
    </row>
    <row r="8" spans="1:9" ht="17.25" customHeight="1" x14ac:dyDescent="0.25">
      <c r="B8" s="211" t="s">
        <v>510</v>
      </c>
      <c r="I8" s="208">
        <f>272*2</f>
        <v>544</v>
      </c>
    </row>
    <row r="9" spans="1:9" ht="40.5" customHeight="1" x14ac:dyDescent="0.25">
      <c r="A9" s="206" t="s">
        <v>2</v>
      </c>
      <c r="B9" s="215" t="s">
        <v>45</v>
      </c>
      <c r="C9" s="205">
        <v>1323</v>
      </c>
      <c r="D9" s="206" t="s">
        <v>511</v>
      </c>
      <c r="E9" s="304">
        <v>500</v>
      </c>
      <c r="F9" s="207">
        <f t="shared" ref="F9:F18" si="0">C9*E9</f>
        <v>661500</v>
      </c>
      <c r="I9" s="208">
        <f>144*2</f>
        <v>288</v>
      </c>
    </row>
    <row r="10" spans="1:9" ht="51.75" customHeight="1" x14ac:dyDescent="0.25">
      <c r="A10" s="206" t="s">
        <v>4</v>
      </c>
      <c r="B10" s="215" t="s">
        <v>512</v>
      </c>
      <c r="C10" s="205">
        <v>373</v>
      </c>
      <c r="D10" s="206" t="s">
        <v>513</v>
      </c>
      <c r="E10" s="304">
        <v>1900</v>
      </c>
      <c r="F10" s="207">
        <f t="shared" si="0"/>
        <v>708700</v>
      </c>
      <c r="I10" s="208">
        <f>SUM(I8:I9)</f>
        <v>832</v>
      </c>
    </row>
    <row r="11" spans="1:9" ht="45" customHeight="1" x14ac:dyDescent="0.25">
      <c r="A11" s="206" t="s">
        <v>5</v>
      </c>
      <c r="B11" s="215" t="s">
        <v>49</v>
      </c>
      <c r="C11" s="205">
        <v>478</v>
      </c>
      <c r="D11" s="206" t="s">
        <v>513</v>
      </c>
      <c r="E11" s="304">
        <f>E10</f>
        <v>1900</v>
      </c>
      <c r="F11" s="207">
        <f t="shared" si="0"/>
        <v>908200</v>
      </c>
      <c r="I11" s="208">
        <f>I10*1.5*0.69</f>
        <v>861.11999999999989</v>
      </c>
    </row>
    <row r="12" spans="1:9" ht="55.5" customHeight="1" x14ac:dyDescent="0.25">
      <c r="A12" s="206" t="s">
        <v>6</v>
      </c>
      <c r="B12" s="215" t="s">
        <v>514</v>
      </c>
      <c r="D12" s="206" t="s">
        <v>513</v>
      </c>
      <c r="E12" s="304">
        <f>E10</f>
        <v>1900</v>
      </c>
      <c r="F12" s="207">
        <f t="shared" si="0"/>
        <v>0</v>
      </c>
    </row>
    <row r="13" spans="1:9" ht="30.75" customHeight="1" x14ac:dyDescent="0.25">
      <c r="A13" s="206" t="s">
        <v>7</v>
      </c>
      <c r="B13" s="215" t="s">
        <v>19</v>
      </c>
      <c r="C13" s="205">
        <f>239+248</f>
        <v>487</v>
      </c>
      <c r="D13" s="206" t="s">
        <v>511</v>
      </c>
      <c r="E13" s="304">
        <f>'[31]AJIWE STRIP MALL '!E49</f>
        <v>250</v>
      </c>
      <c r="F13" s="207">
        <f t="shared" si="0"/>
        <v>121750</v>
      </c>
    </row>
    <row r="14" spans="1:9" ht="30.75" customHeight="1" x14ac:dyDescent="0.25">
      <c r="A14" s="206" t="s">
        <v>8</v>
      </c>
      <c r="B14" s="215" t="s">
        <v>515</v>
      </c>
      <c r="C14" s="205">
        <v>383</v>
      </c>
      <c r="D14" s="206" t="s">
        <v>513</v>
      </c>
      <c r="E14" s="304">
        <v>1400</v>
      </c>
      <c r="F14" s="207">
        <f t="shared" si="0"/>
        <v>536200</v>
      </c>
    </row>
    <row r="15" spans="1:9" ht="44.25" customHeight="1" x14ac:dyDescent="0.25">
      <c r="A15" s="206" t="s">
        <v>9</v>
      </c>
      <c r="B15" s="215" t="s">
        <v>516</v>
      </c>
      <c r="C15" s="205">
        <v>468</v>
      </c>
      <c r="D15" s="206" t="s">
        <v>513</v>
      </c>
      <c r="E15" s="304">
        <v>900</v>
      </c>
      <c r="F15" s="207">
        <f t="shared" si="0"/>
        <v>421200</v>
      </c>
    </row>
    <row r="16" spans="1:9" ht="44.25" customHeight="1" x14ac:dyDescent="0.25">
      <c r="A16" s="206" t="s">
        <v>10</v>
      </c>
      <c r="B16" s="218" t="s">
        <v>802</v>
      </c>
      <c r="C16" s="205">
        <f>100.4*8*0.3</f>
        <v>240.96</v>
      </c>
      <c r="D16" s="206" t="s">
        <v>513</v>
      </c>
      <c r="E16" s="304">
        <v>6500</v>
      </c>
      <c r="F16" s="207">
        <f>C16*E16</f>
        <v>1566240</v>
      </c>
    </row>
    <row r="17" spans="1:6" ht="36" customHeight="1" x14ac:dyDescent="0.25">
      <c r="A17" s="206" t="s">
        <v>11</v>
      </c>
      <c r="B17" s="215" t="s">
        <v>663</v>
      </c>
      <c r="C17" s="205">
        <f>100.4*8</f>
        <v>803.2</v>
      </c>
      <c r="D17" s="206" t="s">
        <v>511</v>
      </c>
      <c r="E17" s="304">
        <v>4500</v>
      </c>
      <c r="F17" s="207">
        <f t="shared" si="0"/>
        <v>3614400</v>
      </c>
    </row>
    <row r="18" spans="1:6" ht="36" customHeight="1" x14ac:dyDescent="0.25">
      <c r="A18" s="206" t="s">
        <v>12</v>
      </c>
      <c r="B18" s="215" t="s">
        <v>517</v>
      </c>
      <c r="D18" s="206" t="s">
        <v>511</v>
      </c>
      <c r="E18" s="304">
        <f>'[31]AJIWE STRIP MALL '!E54</f>
        <v>150</v>
      </c>
      <c r="F18" s="207">
        <f t="shared" si="0"/>
        <v>0</v>
      </c>
    </row>
    <row r="19" spans="1:6" x14ac:dyDescent="0.25">
      <c r="B19" s="211" t="s">
        <v>98</v>
      </c>
    </row>
    <row r="20" spans="1:6" ht="17.25" customHeight="1" x14ac:dyDescent="0.25">
      <c r="B20" s="219" t="s">
        <v>664</v>
      </c>
    </row>
    <row r="21" spans="1:6" ht="17.25" customHeight="1" x14ac:dyDescent="0.25">
      <c r="A21" s="206" t="s">
        <v>13</v>
      </c>
      <c r="B21" s="214" t="s">
        <v>803</v>
      </c>
      <c r="C21" s="205">
        <v>239</v>
      </c>
      <c r="D21" s="206" t="s">
        <v>511</v>
      </c>
      <c r="E21" s="304">
        <v>6500</v>
      </c>
      <c r="F21" s="207">
        <f>C21*E21</f>
        <v>1553500</v>
      </c>
    </row>
    <row r="22" spans="1:6" ht="17.25" customHeight="1" x14ac:dyDescent="0.25"/>
    <row r="23" spans="1:6" ht="17.25" customHeight="1" x14ac:dyDescent="0.25"/>
    <row r="24" spans="1:6" ht="17.25" customHeight="1" x14ac:dyDescent="0.25"/>
    <row r="25" spans="1:6" ht="17.25" customHeight="1" x14ac:dyDescent="0.25"/>
    <row r="26" spans="1:6" ht="17.25" customHeight="1" x14ac:dyDescent="0.25"/>
    <row r="27" spans="1:6" ht="17.25" customHeight="1" x14ac:dyDescent="0.25"/>
    <row r="28" spans="1:6" ht="17.25" customHeight="1" x14ac:dyDescent="0.25"/>
    <row r="29" spans="1:6" ht="17.25" customHeight="1" x14ac:dyDescent="0.25"/>
    <row r="30" spans="1:6" ht="17.25" customHeight="1" x14ac:dyDescent="0.25"/>
    <row r="31" spans="1:6" ht="17.25" customHeight="1" x14ac:dyDescent="0.25">
      <c r="B31" s="220" t="s">
        <v>520</v>
      </c>
      <c r="C31" s="221"/>
      <c r="D31" s="209"/>
      <c r="E31" s="303" t="s">
        <v>15</v>
      </c>
      <c r="F31" s="285">
        <f>SUM(F9:F21)</f>
        <v>10091690</v>
      </c>
    </row>
    <row r="32" spans="1:6" x14ac:dyDescent="0.25">
      <c r="A32" s="209" t="s">
        <v>796</v>
      </c>
      <c r="B32" s="209" t="s">
        <v>913</v>
      </c>
      <c r="C32" s="221" t="s">
        <v>773</v>
      </c>
      <c r="D32" s="209" t="s">
        <v>765</v>
      </c>
      <c r="E32" s="303" t="s">
        <v>914</v>
      </c>
      <c r="F32" s="273" t="s">
        <v>768</v>
      </c>
    </row>
    <row r="33" spans="1:6" s="223" customFormat="1" ht="17.25" customHeight="1" x14ac:dyDescent="0.25">
      <c r="A33" s="209"/>
      <c r="B33" s="210" t="s">
        <v>521</v>
      </c>
      <c r="C33" s="221"/>
      <c r="D33" s="209"/>
      <c r="E33" s="303"/>
      <c r="F33" s="222"/>
    </row>
    <row r="34" spans="1:6" ht="30.75" customHeight="1" x14ac:dyDescent="0.25">
      <c r="B34" s="219" t="s">
        <v>522</v>
      </c>
    </row>
    <row r="35" spans="1:6" ht="22.9" customHeight="1" x14ac:dyDescent="0.25">
      <c r="B35" s="219" t="s">
        <v>916</v>
      </c>
    </row>
    <row r="36" spans="1:6" ht="22.5" customHeight="1" x14ac:dyDescent="0.25">
      <c r="A36" s="206" t="s">
        <v>2</v>
      </c>
      <c r="B36" s="214" t="s">
        <v>910</v>
      </c>
      <c r="C36" s="205">
        <v>69</v>
      </c>
      <c r="D36" s="206" t="s">
        <v>513</v>
      </c>
      <c r="E36" s="304">
        <v>95000</v>
      </c>
      <c r="F36" s="207">
        <f>C36*E36</f>
        <v>6555000</v>
      </c>
    </row>
    <row r="37" spans="1:6" ht="21.75" customHeight="1" x14ac:dyDescent="0.25">
      <c r="A37" s="206" t="s">
        <v>4</v>
      </c>
      <c r="B37" s="214" t="s">
        <v>519</v>
      </c>
      <c r="C37" s="205">
        <v>140</v>
      </c>
      <c r="D37" s="206" t="s">
        <v>513</v>
      </c>
      <c r="E37" s="304">
        <f>E36</f>
        <v>95000</v>
      </c>
      <c r="F37" s="207">
        <f>C37*E37</f>
        <v>13300000</v>
      </c>
    </row>
    <row r="38" spans="1:6" s="214" customFormat="1" ht="15" x14ac:dyDescent="0.3">
      <c r="A38" s="535"/>
      <c r="B38" s="541"/>
      <c r="C38" s="537"/>
      <c r="D38" s="538"/>
      <c r="E38" s="648"/>
      <c r="F38" s="540"/>
    </row>
    <row r="39" spans="1:6" s="214" customFormat="1" ht="15" x14ac:dyDescent="0.3">
      <c r="A39" s="535"/>
      <c r="B39" s="536" t="s">
        <v>797</v>
      </c>
      <c r="C39" s="537"/>
      <c r="D39" s="538"/>
      <c r="E39" s="648"/>
      <c r="F39" s="540"/>
    </row>
    <row r="40" spans="1:6" s="214" customFormat="1" ht="30" x14ac:dyDescent="0.3">
      <c r="A40" s="535"/>
      <c r="B40" s="542" t="s">
        <v>915</v>
      </c>
      <c r="C40" s="537"/>
      <c r="D40" s="538"/>
      <c r="E40" s="648"/>
      <c r="F40" s="540"/>
    </row>
    <row r="41" spans="1:6" s="214" customFormat="1" ht="14.25" customHeight="1" x14ac:dyDescent="0.3">
      <c r="A41" s="535"/>
      <c r="B41" s="541"/>
      <c r="C41" s="537"/>
      <c r="D41" s="538"/>
      <c r="E41" s="648"/>
      <c r="F41" s="540"/>
    </row>
    <row r="42" spans="1:6" s="214" customFormat="1" ht="15" x14ac:dyDescent="0.3">
      <c r="A42" s="535" t="s">
        <v>5</v>
      </c>
      <c r="B42" s="543" t="s">
        <v>912</v>
      </c>
      <c r="C42" s="537">
        <v>108</v>
      </c>
      <c r="D42" s="538" t="s">
        <v>47</v>
      </c>
      <c r="E42" s="648">
        <v>95000</v>
      </c>
      <c r="F42" s="540">
        <f>E42*C42</f>
        <v>10260000</v>
      </c>
    </row>
    <row r="43" spans="1:6" s="214" customFormat="1" ht="15" x14ac:dyDescent="0.3">
      <c r="A43" s="535" t="s">
        <v>6</v>
      </c>
      <c r="B43" s="543" t="s">
        <v>917</v>
      </c>
      <c r="C43" s="537">
        <v>8</v>
      </c>
      <c r="D43" s="538" t="s">
        <v>47</v>
      </c>
      <c r="E43" s="648">
        <f>E42</f>
        <v>95000</v>
      </c>
      <c r="F43" s="540">
        <f>E43*C43</f>
        <v>760000</v>
      </c>
    </row>
    <row r="44" spans="1:6" s="214" customFormat="1" ht="10.15" customHeight="1" x14ac:dyDescent="0.35">
      <c r="A44" s="535"/>
      <c r="B44" s="544"/>
      <c r="C44" s="537"/>
      <c r="D44" s="538"/>
      <c r="E44" s="648"/>
      <c r="F44" s="540"/>
    </row>
    <row r="45" spans="1:6" s="214" customFormat="1" ht="15" x14ac:dyDescent="0.3">
      <c r="A45" s="535"/>
      <c r="B45" s="536" t="s">
        <v>798</v>
      </c>
      <c r="C45" s="537"/>
      <c r="D45" s="538"/>
      <c r="E45" s="648"/>
      <c r="F45" s="540"/>
    </row>
    <row r="46" spans="1:6" s="214" customFormat="1" ht="15" x14ac:dyDescent="0.3">
      <c r="A46" s="535"/>
      <c r="B46" s="536" t="s">
        <v>102</v>
      </c>
      <c r="C46" s="537"/>
      <c r="D46" s="538"/>
      <c r="E46" s="648"/>
      <c r="F46" s="540"/>
    </row>
    <row r="47" spans="1:6" s="214" customFormat="1" ht="15" x14ac:dyDescent="0.3">
      <c r="A47" s="535"/>
      <c r="B47" s="536" t="s">
        <v>799</v>
      </c>
      <c r="C47" s="537"/>
      <c r="D47" s="538"/>
      <c r="E47" s="648"/>
      <c r="F47" s="540"/>
    </row>
    <row r="48" spans="1:6" s="214" customFormat="1" ht="11.65" customHeight="1" x14ac:dyDescent="0.3">
      <c r="A48" s="535"/>
      <c r="B48" s="543"/>
      <c r="C48" s="537"/>
      <c r="D48" s="538"/>
      <c r="E48" s="648"/>
      <c r="F48" s="540"/>
    </row>
    <row r="49" spans="1:6" s="214" customFormat="1" ht="15" x14ac:dyDescent="0.3">
      <c r="A49" s="535" t="s">
        <v>7</v>
      </c>
      <c r="B49" s="543" t="s">
        <v>987</v>
      </c>
      <c r="C49" s="537">
        <v>3728</v>
      </c>
      <c r="D49" s="538" t="s">
        <v>75</v>
      </c>
      <c r="E49" s="648">
        <v>1450</v>
      </c>
      <c r="F49" s="540">
        <f>E49*C49</f>
        <v>5405600</v>
      </c>
    </row>
    <row r="50" spans="1:6" s="214" customFormat="1" ht="15" x14ac:dyDescent="0.3">
      <c r="A50" s="535" t="s">
        <v>8</v>
      </c>
      <c r="B50" s="543" t="s">
        <v>918</v>
      </c>
      <c r="C50" s="537"/>
      <c r="D50" s="538" t="s">
        <v>75</v>
      </c>
      <c r="E50" s="648">
        <f>E49</f>
        <v>1450</v>
      </c>
      <c r="F50" s="540">
        <f>E50*C50</f>
        <v>0</v>
      </c>
    </row>
    <row r="51" spans="1:6" s="214" customFormat="1" ht="15" x14ac:dyDescent="0.3">
      <c r="A51" s="535" t="s">
        <v>9</v>
      </c>
      <c r="B51" s="543" t="s">
        <v>903</v>
      </c>
      <c r="C51" s="537"/>
      <c r="D51" s="538" t="s">
        <v>75</v>
      </c>
      <c r="E51" s="648">
        <f>E49</f>
        <v>1450</v>
      </c>
      <c r="F51" s="540">
        <f>E51*C51</f>
        <v>0</v>
      </c>
    </row>
    <row r="52" spans="1:6" s="214" customFormat="1" ht="15" x14ac:dyDescent="0.3">
      <c r="A52" s="535" t="s">
        <v>10</v>
      </c>
      <c r="B52" s="543" t="s">
        <v>919</v>
      </c>
      <c r="C52" s="537">
        <v>1870</v>
      </c>
      <c r="D52" s="538" t="s">
        <v>75</v>
      </c>
      <c r="E52" s="648">
        <f>E51</f>
        <v>1450</v>
      </c>
      <c r="F52" s="540">
        <f>E52*C52</f>
        <v>2711500</v>
      </c>
    </row>
    <row r="53" spans="1:6" s="214" customFormat="1" ht="15" x14ac:dyDescent="0.3">
      <c r="A53" s="535" t="s">
        <v>11</v>
      </c>
      <c r="B53" s="543" t="s">
        <v>922</v>
      </c>
      <c r="C53" s="537">
        <v>462</v>
      </c>
      <c r="D53" s="538" t="s">
        <v>75</v>
      </c>
      <c r="E53" s="648">
        <f>E52</f>
        <v>1450</v>
      </c>
      <c r="F53" s="540">
        <f>E53*C53</f>
        <v>669900</v>
      </c>
    </row>
    <row r="54" spans="1:6" s="214" customFormat="1" ht="12.4" customHeight="1" x14ac:dyDescent="0.3">
      <c r="A54" s="535"/>
      <c r="B54" s="543"/>
      <c r="C54" s="537"/>
      <c r="D54" s="538"/>
      <c r="E54" s="648"/>
      <c r="F54" s="540"/>
    </row>
    <row r="55" spans="1:6" s="214" customFormat="1" ht="15" x14ac:dyDescent="0.3">
      <c r="A55" s="535"/>
      <c r="B55" s="536" t="s">
        <v>67</v>
      </c>
      <c r="C55" s="537"/>
      <c r="D55" s="538"/>
      <c r="E55" s="648"/>
      <c r="F55" s="540"/>
    </row>
    <row r="56" spans="1:6" s="214" customFormat="1" ht="15" x14ac:dyDescent="0.3">
      <c r="A56" s="535"/>
      <c r="B56" s="536" t="s">
        <v>800</v>
      </c>
      <c r="C56" s="537"/>
      <c r="D56" s="538"/>
      <c r="E56" s="648"/>
      <c r="F56" s="540"/>
    </row>
    <row r="57" spans="1:6" s="214" customFormat="1" ht="13.9" customHeight="1" x14ac:dyDescent="0.3">
      <c r="A57" s="535"/>
      <c r="B57" s="543"/>
      <c r="C57" s="537"/>
      <c r="D57" s="538"/>
      <c r="E57" s="648"/>
      <c r="F57" s="540"/>
    </row>
    <row r="58" spans="1:6" s="214" customFormat="1" ht="15" x14ac:dyDescent="0.3">
      <c r="A58" s="535" t="s">
        <v>12</v>
      </c>
      <c r="B58" s="543" t="s">
        <v>920</v>
      </c>
      <c r="C58" s="537">
        <v>246</v>
      </c>
      <c r="D58" s="538" t="s">
        <v>35</v>
      </c>
      <c r="E58" s="648">
        <v>8500</v>
      </c>
      <c r="F58" s="540">
        <f>E58*C58</f>
        <v>2091000</v>
      </c>
    </row>
    <row r="59" spans="1:6" s="214" customFormat="1" ht="15" x14ac:dyDescent="0.3">
      <c r="A59" s="535" t="s">
        <v>13</v>
      </c>
      <c r="B59" s="543" t="s">
        <v>921</v>
      </c>
      <c r="C59" s="537">
        <v>144</v>
      </c>
      <c r="D59" s="538" t="s">
        <v>35</v>
      </c>
      <c r="E59" s="648">
        <f>E58</f>
        <v>8500</v>
      </c>
      <c r="F59" s="540">
        <f>E59*C59</f>
        <v>1224000</v>
      </c>
    </row>
    <row r="60" spans="1:6" s="214" customFormat="1" ht="15" x14ac:dyDescent="0.3">
      <c r="A60" s="535"/>
      <c r="B60" s="543"/>
      <c r="C60" s="537"/>
      <c r="D60" s="538"/>
      <c r="E60" s="648"/>
      <c r="F60" s="540"/>
    </row>
    <row r="61" spans="1:6" ht="49.5" customHeight="1" x14ac:dyDescent="0.25">
      <c r="B61" s="224" t="s">
        <v>524</v>
      </c>
    </row>
    <row r="62" spans="1:6" ht="20.25" customHeight="1" x14ac:dyDescent="0.25">
      <c r="A62" s="206" t="s">
        <v>14</v>
      </c>
      <c r="B62" s="218" t="s">
        <v>39</v>
      </c>
      <c r="C62" s="205">
        <v>900</v>
      </c>
      <c r="D62" s="206" t="s">
        <v>511</v>
      </c>
      <c r="E62" s="304">
        <v>2000</v>
      </c>
      <c r="F62" s="207">
        <f>C62*E62</f>
        <v>1800000</v>
      </c>
    </row>
    <row r="63" spans="1:6" x14ac:dyDescent="0.25">
      <c r="B63" s="218"/>
    </row>
    <row r="64" spans="1:6" ht="21" customHeight="1" x14ac:dyDescent="0.25">
      <c r="B64" s="211" t="s">
        <v>67</v>
      </c>
    </row>
    <row r="65" spans="1:6" ht="24.75" customHeight="1" x14ac:dyDescent="0.25">
      <c r="B65" s="219" t="s">
        <v>120</v>
      </c>
    </row>
    <row r="66" spans="1:6" ht="21.75" customHeight="1" x14ac:dyDescent="0.25">
      <c r="A66" s="206" t="s">
        <v>15</v>
      </c>
      <c r="B66" s="214" t="s">
        <v>911</v>
      </c>
      <c r="C66" s="205">
        <v>244</v>
      </c>
      <c r="D66" s="206" t="s">
        <v>22</v>
      </c>
      <c r="E66" s="304">
        <f>6500*0.15</f>
        <v>975</v>
      </c>
      <c r="F66" s="207">
        <f>C66*E66</f>
        <v>237900</v>
      </c>
    </row>
    <row r="67" spans="1:6" ht="21.75" customHeight="1" x14ac:dyDescent="0.25"/>
    <row r="68" spans="1:6" ht="21.75" customHeight="1" x14ac:dyDescent="0.25"/>
    <row r="69" spans="1:6" ht="23.25" customHeight="1" x14ac:dyDescent="0.25"/>
    <row r="72" spans="1:6" x14ac:dyDescent="0.25">
      <c r="B72" s="225" t="s">
        <v>525</v>
      </c>
      <c r="E72" s="303" t="s">
        <v>15</v>
      </c>
      <c r="F72" s="222">
        <f>SUM(F35:F71)</f>
        <v>45014900</v>
      </c>
    </row>
    <row r="73" spans="1:6" x14ac:dyDescent="0.25">
      <c r="A73" s="209" t="s">
        <v>796</v>
      </c>
      <c r="B73" s="209" t="s">
        <v>913</v>
      </c>
      <c r="C73" s="221" t="s">
        <v>773</v>
      </c>
      <c r="D73" s="209" t="s">
        <v>765</v>
      </c>
      <c r="E73" s="303" t="s">
        <v>914</v>
      </c>
      <c r="F73" s="273" t="s">
        <v>768</v>
      </c>
    </row>
    <row r="74" spans="1:6" x14ac:dyDescent="0.25">
      <c r="B74" s="210" t="s">
        <v>521</v>
      </c>
    </row>
    <row r="75" spans="1:6" x14ac:dyDescent="0.25">
      <c r="B75" s="210"/>
    </row>
    <row r="76" spans="1:6" x14ac:dyDescent="0.25">
      <c r="B76" s="211" t="s">
        <v>84</v>
      </c>
      <c r="C76" s="221"/>
      <c r="D76" s="209"/>
      <c r="E76" s="303"/>
      <c r="F76" s="286"/>
    </row>
    <row r="77" spans="1:6" x14ac:dyDescent="0.25">
      <c r="B77" s="226"/>
      <c r="C77" s="221"/>
      <c r="D77" s="209"/>
      <c r="E77" s="303"/>
      <c r="F77" s="286"/>
    </row>
    <row r="78" spans="1:6" ht="57.75" customHeight="1" x14ac:dyDescent="0.25">
      <c r="B78" s="224" t="s">
        <v>526</v>
      </c>
      <c r="C78" s="221"/>
      <c r="D78" s="209"/>
      <c r="E78" s="303"/>
      <c r="F78" s="286"/>
    </row>
    <row r="79" spans="1:6" x14ac:dyDescent="0.25">
      <c r="B79" s="224"/>
      <c r="C79" s="221"/>
      <c r="D79" s="209"/>
      <c r="E79" s="303"/>
      <c r="F79" s="286"/>
    </row>
    <row r="80" spans="1:6" x14ac:dyDescent="0.25">
      <c r="A80" s="206" t="s">
        <v>2</v>
      </c>
      <c r="B80" s="218" t="s">
        <v>527</v>
      </c>
      <c r="C80" s="205">
        <v>1005</v>
      </c>
      <c r="D80" s="206" t="s">
        <v>511</v>
      </c>
      <c r="E80" s="304">
        <v>13000</v>
      </c>
      <c r="F80" s="207">
        <f>C80*E80</f>
        <v>13065000</v>
      </c>
    </row>
    <row r="82" spans="1:6" x14ac:dyDescent="0.25">
      <c r="B82" s="219" t="s">
        <v>528</v>
      </c>
      <c r="F82" s="227"/>
    </row>
    <row r="83" spans="1:6" x14ac:dyDescent="0.25">
      <c r="B83" s="219" t="s">
        <v>529</v>
      </c>
      <c r="F83" s="227"/>
    </row>
    <row r="84" spans="1:6" x14ac:dyDescent="0.25">
      <c r="F84" s="227"/>
    </row>
    <row r="85" spans="1:6" ht="29.25" customHeight="1" x14ac:dyDescent="0.25">
      <c r="A85" s="206" t="s">
        <v>4</v>
      </c>
      <c r="B85" s="215" t="s">
        <v>530</v>
      </c>
      <c r="C85" s="205">
        <v>931</v>
      </c>
      <c r="D85" s="206" t="s">
        <v>511</v>
      </c>
      <c r="E85" s="304">
        <v>650</v>
      </c>
      <c r="F85" s="207">
        <f>C85*E85</f>
        <v>605150</v>
      </c>
    </row>
    <row r="86" spans="1:6" x14ac:dyDescent="0.25">
      <c r="B86" s="215"/>
      <c r="F86" s="227"/>
    </row>
    <row r="87" spans="1:6" x14ac:dyDescent="0.25">
      <c r="B87" s="228"/>
      <c r="F87" s="227"/>
    </row>
    <row r="88" spans="1:6" ht="29.25" customHeight="1" x14ac:dyDescent="0.25">
      <c r="B88" s="228" t="s">
        <v>923</v>
      </c>
      <c r="C88" s="214"/>
      <c r="D88" s="389"/>
      <c r="E88" s="231"/>
    </row>
    <row r="89" spans="1:6" ht="29.25" customHeight="1" x14ac:dyDescent="0.25">
      <c r="A89" s="206" t="s">
        <v>5</v>
      </c>
      <c r="B89" s="215" t="s">
        <v>924</v>
      </c>
      <c r="C89" s="391"/>
      <c r="D89" s="206" t="s">
        <v>511</v>
      </c>
      <c r="E89" s="639">
        <v>9500</v>
      </c>
      <c r="F89" s="207">
        <f>C89*E89</f>
        <v>0</v>
      </c>
    </row>
    <row r="90" spans="1:6" ht="29.25" customHeight="1" x14ac:dyDescent="0.25">
      <c r="A90" s="206" t="s">
        <v>6</v>
      </c>
      <c r="B90" s="215" t="s">
        <v>925</v>
      </c>
      <c r="C90" s="391"/>
      <c r="D90" s="206" t="s">
        <v>511</v>
      </c>
      <c r="E90" s="639">
        <f>E89*0.3</f>
        <v>2850</v>
      </c>
      <c r="F90" s="207">
        <f>C90*E90</f>
        <v>0</v>
      </c>
    </row>
    <row r="91" spans="1:6" ht="35.25" customHeight="1" x14ac:dyDescent="0.25">
      <c r="B91" s="215"/>
      <c r="F91" s="229"/>
    </row>
    <row r="92" spans="1:6" x14ac:dyDescent="0.25">
      <c r="B92" s="215"/>
      <c r="F92" s="227"/>
    </row>
    <row r="93" spans="1:6" ht="18.75" customHeight="1" x14ac:dyDescent="0.25">
      <c r="B93" s="225" t="s">
        <v>525</v>
      </c>
      <c r="E93" s="303" t="s">
        <v>15</v>
      </c>
      <c r="F93" s="222">
        <f>SUM(F76:F92)</f>
        <v>13670150</v>
      </c>
    </row>
    <row r="94" spans="1:6" x14ac:dyDescent="0.25">
      <c r="B94" s="215"/>
      <c r="F94" s="227"/>
    </row>
    <row r="95" spans="1:6" x14ac:dyDescent="0.25">
      <c r="B95" s="225"/>
      <c r="E95" s="303"/>
      <c r="F95" s="285"/>
    </row>
    <row r="96" spans="1:6" x14ac:dyDescent="0.25">
      <c r="B96" s="211" t="s">
        <v>531</v>
      </c>
      <c r="E96" s="303"/>
      <c r="F96" s="285"/>
    </row>
    <row r="97" spans="1:6" x14ac:dyDescent="0.25">
      <c r="B97" s="231" t="s">
        <v>451</v>
      </c>
      <c r="E97" s="304">
        <f>F31</f>
        <v>10091690</v>
      </c>
      <c r="F97" s="230"/>
    </row>
    <row r="98" spans="1:6" x14ac:dyDescent="0.25">
      <c r="B98" s="232"/>
      <c r="F98" s="230"/>
    </row>
    <row r="99" spans="1:6" x14ac:dyDescent="0.25">
      <c r="B99" s="231" t="s">
        <v>452</v>
      </c>
      <c r="E99" s="304">
        <f>F72</f>
        <v>45014900</v>
      </c>
      <c r="F99" s="230"/>
    </row>
    <row r="100" spans="1:6" x14ac:dyDescent="0.25">
      <c r="B100" s="231"/>
      <c r="F100" s="230"/>
    </row>
    <row r="101" spans="1:6" x14ac:dyDescent="0.25">
      <c r="B101" s="231" t="s">
        <v>454</v>
      </c>
      <c r="E101" s="304">
        <f>F93</f>
        <v>13670150</v>
      </c>
      <c r="F101" s="230"/>
    </row>
    <row r="102" spans="1:6" x14ac:dyDescent="0.25">
      <c r="B102" s="233"/>
      <c r="F102" s="230"/>
    </row>
    <row r="103" spans="1:6" x14ac:dyDescent="0.25">
      <c r="B103" s="233"/>
      <c r="F103" s="230"/>
    </row>
    <row r="104" spans="1:6" x14ac:dyDescent="0.25">
      <c r="B104" s="233"/>
      <c r="F104" s="230"/>
    </row>
    <row r="105" spans="1:6" x14ac:dyDescent="0.25">
      <c r="B105" s="233"/>
      <c r="F105" s="230"/>
    </row>
    <row r="106" spans="1:6" x14ac:dyDescent="0.25">
      <c r="B106" s="233"/>
      <c r="F106" s="230"/>
    </row>
    <row r="107" spans="1:6" x14ac:dyDescent="0.25">
      <c r="B107" s="233"/>
      <c r="F107" s="230"/>
    </row>
    <row r="108" spans="1:6" x14ac:dyDescent="0.25">
      <c r="B108" s="233"/>
      <c r="F108" s="230"/>
    </row>
    <row r="109" spans="1:6" x14ac:dyDescent="0.25">
      <c r="B109" s="233"/>
      <c r="F109" s="230"/>
    </row>
    <row r="110" spans="1:6" x14ac:dyDescent="0.25">
      <c r="B110" s="234" t="s">
        <v>533</v>
      </c>
      <c r="C110" s="221"/>
      <c r="D110" s="209"/>
      <c r="F110" s="235"/>
    </row>
    <row r="111" spans="1:6" x14ac:dyDescent="0.25">
      <c r="B111" s="220" t="s">
        <v>534</v>
      </c>
      <c r="C111" s="221"/>
      <c r="D111" s="209"/>
      <c r="E111" s="303" t="s">
        <v>15</v>
      </c>
      <c r="F111" s="286">
        <f>SUM(E97:E102)</f>
        <v>68776740</v>
      </c>
    </row>
    <row r="112" spans="1:6" x14ac:dyDescent="0.25">
      <c r="A112" s="209" t="s">
        <v>796</v>
      </c>
      <c r="B112" s="209" t="s">
        <v>913</v>
      </c>
      <c r="C112" s="221" t="s">
        <v>773</v>
      </c>
      <c r="D112" s="209" t="s">
        <v>765</v>
      </c>
      <c r="E112" s="303" t="s">
        <v>914</v>
      </c>
      <c r="F112" s="273" t="s">
        <v>768</v>
      </c>
    </row>
    <row r="113" spans="1:6" x14ac:dyDescent="0.25">
      <c r="B113" s="204" t="s">
        <v>535</v>
      </c>
    </row>
    <row r="115" spans="1:6" x14ac:dyDescent="0.25">
      <c r="B115" s="210" t="s">
        <v>108</v>
      </c>
    </row>
    <row r="116" spans="1:6" x14ac:dyDescent="0.25">
      <c r="B116" s="210"/>
    </row>
    <row r="117" spans="1:6" x14ac:dyDescent="0.25">
      <c r="B117" s="211" t="s">
        <v>98</v>
      </c>
    </row>
    <row r="119" spans="1:6" x14ac:dyDescent="0.25">
      <c r="B119" s="219" t="s">
        <v>536</v>
      </c>
    </row>
    <row r="120" spans="1:6" x14ac:dyDescent="0.25">
      <c r="B120" s="219"/>
    </row>
    <row r="121" spans="1:6" x14ac:dyDescent="0.25">
      <c r="B121" s="219" t="s">
        <v>666</v>
      </c>
    </row>
    <row r="123" spans="1:6" x14ac:dyDescent="0.25">
      <c r="A123" s="206" t="s">
        <v>2</v>
      </c>
      <c r="B123" s="214" t="s">
        <v>65</v>
      </c>
      <c r="C123" s="205">
        <v>25</v>
      </c>
      <c r="D123" s="206" t="s">
        <v>513</v>
      </c>
      <c r="E123" s="304">
        <f>E42</f>
        <v>95000</v>
      </c>
      <c r="F123" s="207">
        <f>C123*E123</f>
        <v>2375000</v>
      </c>
    </row>
    <row r="125" spans="1:6" x14ac:dyDescent="0.25">
      <c r="A125" s="206" t="s">
        <v>4</v>
      </c>
      <c r="B125" s="214" t="s">
        <v>537</v>
      </c>
      <c r="C125" s="205">
        <v>49</v>
      </c>
      <c r="D125" s="206" t="s">
        <v>513</v>
      </c>
      <c r="E125" s="304">
        <f>E123</f>
        <v>95000</v>
      </c>
      <c r="F125" s="207">
        <f>C125*E125</f>
        <v>4655000</v>
      </c>
    </row>
    <row r="127" spans="1:6" x14ac:dyDescent="0.25">
      <c r="A127" s="206" t="s">
        <v>5</v>
      </c>
      <c r="B127" s="214" t="s">
        <v>669</v>
      </c>
      <c r="D127" s="206" t="s">
        <v>513</v>
      </c>
      <c r="E127" s="304">
        <f>E125</f>
        <v>95000</v>
      </c>
      <c r="F127" s="207">
        <f>C127*E127</f>
        <v>0</v>
      </c>
    </row>
    <row r="129" spans="1:6" ht="24.75" customHeight="1" x14ac:dyDescent="0.25">
      <c r="B129" s="211" t="s">
        <v>102</v>
      </c>
    </row>
    <row r="131" spans="1:6" ht="30" x14ac:dyDescent="0.25">
      <c r="B131" s="224" t="s">
        <v>926</v>
      </c>
    </row>
    <row r="132" spans="1:6" x14ac:dyDescent="0.25">
      <c r="B132" s="224"/>
    </row>
    <row r="133" spans="1:6" x14ac:dyDescent="0.25">
      <c r="A133" s="206" t="s">
        <v>6</v>
      </c>
      <c r="B133" s="214" t="s">
        <v>671</v>
      </c>
      <c r="D133" s="206" t="s">
        <v>75</v>
      </c>
      <c r="E133" s="304">
        <f>E49</f>
        <v>1450</v>
      </c>
      <c r="F133" s="207">
        <f>C133*E133</f>
        <v>0</v>
      </c>
    </row>
    <row r="135" spans="1:6" x14ac:dyDescent="0.25">
      <c r="A135" s="206" t="s">
        <v>7</v>
      </c>
      <c r="B135" s="214" t="s">
        <v>538</v>
      </c>
      <c r="C135" s="205">
        <v>5166</v>
      </c>
      <c r="D135" s="206" t="s">
        <v>75</v>
      </c>
      <c r="E135" s="304">
        <f>E133</f>
        <v>1450</v>
      </c>
      <c r="F135" s="207">
        <f>C135*E135</f>
        <v>7490700</v>
      </c>
    </row>
    <row r="137" spans="1:6" x14ac:dyDescent="0.25">
      <c r="A137" s="206" t="s">
        <v>8</v>
      </c>
      <c r="B137" s="214" t="s">
        <v>539</v>
      </c>
      <c r="C137" s="205">
        <f>4017+3303</f>
        <v>7320</v>
      </c>
      <c r="D137" s="206" t="s">
        <v>75</v>
      </c>
      <c r="E137" s="304">
        <f>E135</f>
        <v>1450</v>
      </c>
      <c r="F137" s="207">
        <f>C137*E137</f>
        <v>10614000</v>
      </c>
    </row>
    <row r="139" spans="1:6" x14ac:dyDescent="0.25">
      <c r="A139" s="206" t="s">
        <v>9</v>
      </c>
      <c r="B139" s="214" t="s">
        <v>672</v>
      </c>
      <c r="C139" s="205">
        <f>2314</f>
        <v>2314</v>
      </c>
      <c r="D139" s="206" t="s">
        <v>75</v>
      </c>
      <c r="E139" s="304">
        <f>E133</f>
        <v>1450</v>
      </c>
      <c r="F139" s="207">
        <f>C139*E139</f>
        <v>3355300</v>
      </c>
    </row>
    <row r="141" spans="1:6" x14ac:dyDescent="0.25">
      <c r="A141" s="206" t="s">
        <v>10</v>
      </c>
      <c r="B141" s="214" t="s">
        <v>523</v>
      </c>
      <c r="C141" s="205">
        <v>1879</v>
      </c>
      <c r="D141" s="206" t="s">
        <v>75</v>
      </c>
      <c r="E141" s="304">
        <f>E137</f>
        <v>1450</v>
      </c>
      <c r="F141" s="207">
        <f>C141*E141</f>
        <v>2724550</v>
      </c>
    </row>
    <row r="143" spans="1:6" x14ac:dyDescent="0.25">
      <c r="B143" s="211" t="s">
        <v>67</v>
      </c>
    </row>
    <row r="145" spans="1:6" x14ac:dyDescent="0.25">
      <c r="B145" s="219" t="s">
        <v>120</v>
      </c>
    </row>
    <row r="147" spans="1:6" x14ac:dyDescent="0.25">
      <c r="A147" s="206" t="s">
        <v>11</v>
      </c>
      <c r="B147" s="214" t="s">
        <v>540</v>
      </c>
      <c r="C147" s="205">
        <v>431</v>
      </c>
      <c r="D147" s="206" t="s">
        <v>511</v>
      </c>
      <c r="E147" s="304">
        <f>E58</f>
        <v>8500</v>
      </c>
      <c r="F147" s="207">
        <f>C147*E147</f>
        <v>3663500</v>
      </c>
    </row>
    <row r="149" spans="1:6" x14ac:dyDescent="0.25">
      <c r="A149" s="206" t="s">
        <v>12</v>
      </c>
      <c r="B149" s="214" t="s">
        <v>541</v>
      </c>
      <c r="C149" s="205">
        <v>579</v>
      </c>
      <c r="D149" s="206" t="s">
        <v>511</v>
      </c>
      <c r="E149" s="304">
        <f>E147</f>
        <v>8500</v>
      </c>
      <c r="F149" s="207">
        <f>C149*E149</f>
        <v>4921500</v>
      </c>
    </row>
    <row r="155" spans="1:6" x14ac:dyDescent="0.25">
      <c r="B155" s="210" t="s">
        <v>108</v>
      </c>
    </row>
    <row r="156" spans="1:6" x14ac:dyDescent="0.25">
      <c r="B156" s="220" t="s">
        <v>542</v>
      </c>
      <c r="E156" s="303" t="s">
        <v>15</v>
      </c>
      <c r="F156" s="285">
        <f>SUM(F115:F155)</f>
        <v>39799550</v>
      </c>
    </row>
    <row r="157" spans="1:6" x14ac:dyDescent="0.25">
      <c r="A157" s="209" t="s">
        <v>796</v>
      </c>
      <c r="B157" s="209" t="s">
        <v>913</v>
      </c>
      <c r="C157" s="221" t="s">
        <v>773</v>
      </c>
      <c r="D157" s="209" t="s">
        <v>765</v>
      </c>
      <c r="E157" s="303" t="s">
        <v>914</v>
      </c>
      <c r="F157" s="273" t="s">
        <v>768</v>
      </c>
    </row>
    <row r="158" spans="1:6" x14ac:dyDescent="0.25">
      <c r="B158" s="204" t="s">
        <v>543</v>
      </c>
    </row>
    <row r="160" spans="1:6" x14ac:dyDescent="0.25">
      <c r="B160" s="210" t="s">
        <v>544</v>
      </c>
      <c r="F160" s="227"/>
    </row>
    <row r="161" spans="1:6" s="236" customFormat="1" x14ac:dyDescent="0.25">
      <c r="A161" s="206"/>
      <c r="B161" s="214"/>
      <c r="C161" s="205"/>
      <c r="D161" s="206"/>
      <c r="E161" s="304"/>
      <c r="F161" s="227"/>
    </row>
    <row r="162" spans="1:6" x14ac:dyDescent="0.25">
      <c r="B162" s="211" t="s">
        <v>98</v>
      </c>
    </row>
    <row r="163" spans="1:6" s="236" customFormat="1" x14ac:dyDescent="0.25">
      <c r="A163" s="206"/>
      <c r="B163" s="214"/>
      <c r="C163" s="205"/>
      <c r="D163" s="206"/>
      <c r="E163" s="304"/>
      <c r="F163" s="207"/>
    </row>
    <row r="164" spans="1:6" s="236" customFormat="1" x14ac:dyDescent="0.25">
      <c r="A164" s="206"/>
      <c r="B164" s="219" t="s">
        <v>536</v>
      </c>
      <c r="C164" s="205"/>
      <c r="D164" s="206"/>
      <c r="E164" s="304"/>
      <c r="F164" s="207"/>
    </row>
    <row r="165" spans="1:6" s="236" customFormat="1" x14ac:dyDescent="0.25">
      <c r="A165" s="206"/>
      <c r="B165" s="219"/>
      <c r="C165" s="205"/>
      <c r="D165" s="206"/>
      <c r="E165" s="304"/>
      <c r="F165" s="207"/>
    </row>
    <row r="166" spans="1:6" x14ac:dyDescent="0.25">
      <c r="B166" s="219" t="s">
        <v>666</v>
      </c>
    </row>
    <row r="168" spans="1:6" x14ac:dyDescent="0.25">
      <c r="A168" s="206" t="s">
        <v>2</v>
      </c>
      <c r="B168" s="214" t="s">
        <v>545</v>
      </c>
      <c r="C168" s="205">
        <v>147</v>
      </c>
      <c r="D168" s="206" t="s">
        <v>513</v>
      </c>
      <c r="E168" s="304">
        <f>E123</f>
        <v>95000</v>
      </c>
      <c r="F168" s="207">
        <f>C168*E168</f>
        <v>13965000</v>
      </c>
    </row>
    <row r="169" spans="1:6" ht="17.25" customHeight="1" x14ac:dyDescent="0.25"/>
    <row r="170" spans="1:6" x14ac:dyDescent="0.25">
      <c r="F170" s="230"/>
    </row>
    <row r="171" spans="1:6" x14ac:dyDescent="0.25">
      <c r="B171" s="211" t="s">
        <v>102</v>
      </c>
    </row>
    <row r="173" spans="1:6" ht="30" x14ac:dyDescent="0.25">
      <c r="B173" s="224" t="s">
        <v>674</v>
      </c>
    </row>
    <row r="174" spans="1:6" x14ac:dyDescent="0.25">
      <c r="B174" s="224"/>
    </row>
    <row r="175" spans="1:6" x14ac:dyDescent="0.25">
      <c r="A175" s="206" t="s">
        <v>4</v>
      </c>
      <c r="B175" s="214" t="s">
        <v>988</v>
      </c>
      <c r="C175" s="205">
        <f>C168*105</f>
        <v>15435</v>
      </c>
      <c r="D175" s="206" t="s">
        <v>75</v>
      </c>
      <c r="E175" s="304">
        <f>E133</f>
        <v>1450</v>
      </c>
      <c r="F175" s="207">
        <f>C175*E175</f>
        <v>22380750</v>
      </c>
    </row>
    <row r="177" spans="1:6" x14ac:dyDescent="0.25">
      <c r="B177" s="211" t="s">
        <v>67</v>
      </c>
    </row>
    <row r="179" spans="1:6" x14ac:dyDescent="0.25">
      <c r="B179" s="219" t="s">
        <v>120</v>
      </c>
      <c r="E179" s="303"/>
      <c r="F179" s="285"/>
    </row>
    <row r="180" spans="1:6" x14ac:dyDescent="0.25">
      <c r="E180" s="303"/>
      <c r="F180" s="285"/>
    </row>
    <row r="181" spans="1:6" x14ac:dyDescent="0.25">
      <c r="A181" s="206" t="s">
        <v>6</v>
      </c>
      <c r="B181" s="214" t="s">
        <v>546</v>
      </c>
      <c r="C181" s="205">
        <f>101.2*8</f>
        <v>809.6</v>
      </c>
      <c r="D181" s="206" t="s">
        <v>511</v>
      </c>
      <c r="E181" s="304">
        <f>E147</f>
        <v>8500</v>
      </c>
      <c r="F181" s="207">
        <f>C181*E181</f>
        <v>6881600</v>
      </c>
    </row>
    <row r="183" spans="1:6" x14ac:dyDescent="0.25">
      <c r="A183" s="206" t="s">
        <v>7</v>
      </c>
      <c r="B183" s="214" t="s">
        <v>547</v>
      </c>
      <c r="C183" s="205">
        <v>300</v>
      </c>
      <c r="D183" s="206" t="s">
        <v>22</v>
      </c>
      <c r="E183" s="304">
        <f>E181*0.15</f>
        <v>1275</v>
      </c>
      <c r="F183" s="207">
        <f>C183*E183</f>
        <v>382500</v>
      </c>
    </row>
    <row r="184" spans="1:6" x14ac:dyDescent="0.25">
      <c r="A184" s="209"/>
      <c r="C184" s="221"/>
      <c r="D184" s="209"/>
      <c r="E184" s="303"/>
      <c r="F184" s="285"/>
    </row>
    <row r="186" spans="1:6" x14ac:dyDescent="0.25">
      <c r="A186" s="209"/>
      <c r="C186" s="221"/>
      <c r="D186" s="209"/>
      <c r="E186" s="303"/>
      <c r="F186" s="285"/>
    </row>
    <row r="187" spans="1:6" x14ac:dyDescent="0.25">
      <c r="A187" s="209"/>
      <c r="D187" s="209"/>
      <c r="E187" s="303"/>
      <c r="F187" s="285"/>
    </row>
    <row r="188" spans="1:6" x14ac:dyDescent="0.25">
      <c r="A188" s="209"/>
      <c r="C188" s="221"/>
      <c r="D188" s="209"/>
      <c r="E188" s="303"/>
      <c r="F188" s="285"/>
    </row>
    <row r="189" spans="1:6" x14ac:dyDescent="0.25">
      <c r="A189" s="209"/>
      <c r="C189" s="221"/>
      <c r="D189" s="209"/>
      <c r="E189" s="303"/>
      <c r="F189" s="285"/>
    </row>
    <row r="190" spans="1:6" x14ac:dyDescent="0.25">
      <c r="A190" s="209"/>
      <c r="C190" s="221"/>
      <c r="D190" s="209"/>
      <c r="E190" s="303"/>
      <c r="F190" s="285"/>
    </row>
    <row r="191" spans="1:6" x14ac:dyDescent="0.25">
      <c r="A191" s="209"/>
      <c r="C191" s="221"/>
      <c r="D191" s="209"/>
      <c r="E191" s="303"/>
      <c r="F191" s="285"/>
    </row>
    <row r="192" spans="1:6" x14ac:dyDescent="0.25">
      <c r="A192" s="209"/>
      <c r="C192" s="221"/>
      <c r="D192" s="209"/>
      <c r="E192" s="303"/>
      <c r="F192" s="285"/>
    </row>
    <row r="193" spans="1:6" x14ac:dyDescent="0.25">
      <c r="A193" s="209"/>
      <c r="C193" s="221"/>
      <c r="D193" s="209"/>
      <c r="E193" s="303"/>
      <c r="F193" s="285"/>
    </row>
    <row r="194" spans="1:6" x14ac:dyDescent="0.25">
      <c r="A194" s="209"/>
      <c r="C194" s="221"/>
      <c r="D194" s="209"/>
      <c r="E194" s="303"/>
      <c r="F194" s="285"/>
    </row>
    <row r="195" spans="1:6" x14ac:dyDescent="0.25">
      <c r="A195" s="209"/>
      <c r="C195" s="221"/>
      <c r="D195" s="209"/>
      <c r="E195" s="303"/>
      <c r="F195" s="285"/>
    </row>
    <row r="196" spans="1:6" x14ac:dyDescent="0.25">
      <c r="A196" s="209"/>
      <c r="C196" s="221"/>
      <c r="D196" s="209"/>
      <c r="E196" s="303"/>
      <c r="F196" s="285"/>
    </row>
    <row r="197" spans="1:6" x14ac:dyDescent="0.25">
      <c r="A197" s="209"/>
      <c r="C197" s="221"/>
      <c r="D197" s="209"/>
      <c r="E197" s="303"/>
      <c r="F197" s="285"/>
    </row>
    <row r="198" spans="1:6" x14ac:dyDescent="0.25">
      <c r="A198" s="209"/>
      <c r="C198" s="221"/>
      <c r="D198" s="209"/>
      <c r="E198" s="303"/>
      <c r="F198" s="285"/>
    </row>
    <row r="199" spans="1:6" x14ac:dyDescent="0.25">
      <c r="A199" s="209"/>
      <c r="C199" s="221"/>
      <c r="D199" s="209"/>
      <c r="E199" s="303"/>
      <c r="F199" s="285"/>
    </row>
    <row r="200" spans="1:6" x14ac:dyDescent="0.25">
      <c r="B200" s="210" t="s">
        <v>453</v>
      </c>
    </row>
    <row r="201" spans="1:6" x14ac:dyDescent="0.25">
      <c r="B201" s="220" t="s">
        <v>534</v>
      </c>
      <c r="E201" s="303" t="s">
        <v>15</v>
      </c>
      <c r="F201" s="285">
        <f>SUM(F160:F200)</f>
        <v>43609850</v>
      </c>
    </row>
    <row r="202" spans="1:6" x14ac:dyDescent="0.25">
      <c r="A202" s="209" t="s">
        <v>796</v>
      </c>
      <c r="B202" s="209" t="s">
        <v>913</v>
      </c>
      <c r="C202" s="221" t="s">
        <v>773</v>
      </c>
      <c r="D202" s="209" t="s">
        <v>765</v>
      </c>
      <c r="E202" s="303" t="s">
        <v>914</v>
      </c>
      <c r="F202" s="273" t="s">
        <v>768</v>
      </c>
    </row>
    <row r="203" spans="1:6" x14ac:dyDescent="0.25">
      <c r="B203" s="204" t="s">
        <v>548</v>
      </c>
      <c r="F203" s="230"/>
    </row>
    <row r="204" spans="1:6" x14ac:dyDescent="0.25">
      <c r="B204" s="206"/>
      <c r="F204" s="230"/>
    </row>
    <row r="205" spans="1:6" x14ac:dyDescent="0.25">
      <c r="B205" s="210" t="s">
        <v>549</v>
      </c>
      <c r="F205" s="230"/>
    </row>
    <row r="206" spans="1:6" ht="10.5" customHeight="1" x14ac:dyDescent="0.25">
      <c r="A206" s="237"/>
      <c r="B206" s="210"/>
      <c r="F206" s="230"/>
    </row>
    <row r="207" spans="1:6" x14ac:dyDescent="0.25">
      <c r="A207" s="237"/>
      <c r="B207" s="211" t="s">
        <v>98</v>
      </c>
      <c r="F207" s="230"/>
    </row>
    <row r="208" spans="1:6" x14ac:dyDescent="0.25">
      <c r="A208" s="237"/>
      <c r="F208" s="230"/>
    </row>
    <row r="209" spans="1:6" x14ac:dyDescent="0.25">
      <c r="B209" s="219" t="s">
        <v>536</v>
      </c>
      <c r="E209" s="304" t="s">
        <v>20</v>
      </c>
      <c r="F209" s="230"/>
    </row>
    <row r="210" spans="1:6" ht="11.25" customHeight="1" x14ac:dyDescent="0.25">
      <c r="A210" s="237"/>
      <c r="B210" s="219"/>
      <c r="F210" s="230"/>
    </row>
    <row r="211" spans="1:6" x14ac:dyDescent="0.25">
      <c r="A211" s="237"/>
      <c r="B211" s="219" t="s">
        <v>666</v>
      </c>
      <c r="F211" s="230"/>
    </row>
    <row r="212" spans="1:6" ht="9" customHeight="1" x14ac:dyDescent="0.25">
      <c r="A212" s="237"/>
      <c r="F212" s="230"/>
    </row>
    <row r="213" spans="1:6" x14ac:dyDescent="0.25">
      <c r="A213" s="206" t="s">
        <v>2</v>
      </c>
      <c r="B213" s="214" t="s">
        <v>550</v>
      </c>
      <c r="C213" s="205">
        <f>2.2*8</f>
        <v>17.600000000000001</v>
      </c>
      <c r="D213" s="206" t="s">
        <v>513</v>
      </c>
      <c r="E213" s="304">
        <f>E123</f>
        <v>95000</v>
      </c>
      <c r="F213" s="287">
        <f>C213*E213</f>
        <v>1672000.0000000002</v>
      </c>
    </row>
    <row r="214" spans="1:6" ht="10.5" customHeight="1" x14ac:dyDescent="0.25">
      <c r="F214" s="287"/>
    </row>
    <row r="215" spans="1:6" ht="12.75" customHeight="1" x14ac:dyDescent="0.25">
      <c r="A215" s="237"/>
      <c r="B215" s="211" t="s">
        <v>102</v>
      </c>
      <c r="F215" s="230"/>
    </row>
    <row r="216" spans="1:6" ht="9.75" customHeight="1" x14ac:dyDescent="0.25">
      <c r="F216" s="230"/>
    </row>
    <row r="217" spans="1:6" ht="30" x14ac:dyDescent="0.25">
      <c r="B217" s="224" t="s">
        <v>551</v>
      </c>
    </row>
    <row r="218" spans="1:6" ht="15.75" customHeight="1" x14ac:dyDescent="0.25">
      <c r="B218" s="224"/>
    </row>
    <row r="219" spans="1:6" ht="17.25" customHeight="1" x14ac:dyDescent="0.25">
      <c r="A219" s="206" t="s">
        <v>4</v>
      </c>
      <c r="B219" s="214" t="s">
        <v>672</v>
      </c>
      <c r="C219" s="205">
        <f>C213*65</f>
        <v>1144</v>
      </c>
      <c r="D219" s="206" t="s">
        <v>75</v>
      </c>
      <c r="E219" s="304">
        <f>E175</f>
        <v>1450</v>
      </c>
      <c r="F219" s="207">
        <f>C219*E219</f>
        <v>1658800</v>
      </c>
    </row>
    <row r="220" spans="1:6" x14ac:dyDescent="0.25">
      <c r="B220" s="224"/>
    </row>
    <row r="221" spans="1:6" s="236" customFormat="1" x14ac:dyDescent="0.25">
      <c r="A221" s="238"/>
      <c r="B221" s="218"/>
      <c r="C221" s="239"/>
      <c r="D221" s="240"/>
      <c r="E221" s="305"/>
      <c r="F221" s="241"/>
    </row>
    <row r="222" spans="1:6" x14ac:dyDescent="0.25">
      <c r="A222" s="237"/>
      <c r="B222" s="211" t="s">
        <v>67</v>
      </c>
      <c r="F222" s="230"/>
    </row>
    <row r="223" spans="1:6" x14ac:dyDescent="0.25">
      <c r="F223" s="230"/>
    </row>
    <row r="224" spans="1:6" x14ac:dyDescent="0.25">
      <c r="B224" s="219" t="s">
        <v>120</v>
      </c>
      <c r="F224" s="230"/>
    </row>
    <row r="225" spans="1:6" x14ac:dyDescent="0.25">
      <c r="F225" s="230"/>
    </row>
    <row r="226" spans="1:6" x14ac:dyDescent="0.25">
      <c r="A226" s="206" t="s">
        <v>5</v>
      </c>
      <c r="B226" s="214" t="s">
        <v>552</v>
      </c>
      <c r="C226" s="205">
        <f>13*8</f>
        <v>104</v>
      </c>
      <c r="D226" s="206" t="s">
        <v>511</v>
      </c>
      <c r="E226" s="304">
        <f>E181</f>
        <v>8500</v>
      </c>
      <c r="F226" s="207">
        <f>C226*E226</f>
        <v>884000</v>
      </c>
    </row>
    <row r="227" spans="1:6" x14ac:dyDescent="0.25">
      <c r="F227" s="230"/>
    </row>
    <row r="228" spans="1:6" x14ac:dyDescent="0.25">
      <c r="A228" s="206" t="s">
        <v>6</v>
      </c>
      <c r="B228" s="214" t="s">
        <v>553</v>
      </c>
      <c r="C228" s="205">
        <v>24</v>
      </c>
      <c r="D228" s="206" t="s">
        <v>511</v>
      </c>
      <c r="E228" s="304">
        <f>E226</f>
        <v>8500</v>
      </c>
      <c r="F228" s="207">
        <f>C228*E228</f>
        <v>204000</v>
      </c>
    </row>
    <row r="230" spans="1:6" x14ac:dyDescent="0.25">
      <c r="A230" s="206" t="s">
        <v>7</v>
      </c>
      <c r="B230" s="214" t="s">
        <v>554</v>
      </c>
      <c r="C230" s="205">
        <v>32</v>
      </c>
      <c r="D230" s="206" t="s">
        <v>511</v>
      </c>
      <c r="E230" s="304">
        <f>E228</f>
        <v>8500</v>
      </c>
      <c r="F230" s="207">
        <f>C230*E230</f>
        <v>272000</v>
      </c>
    </row>
    <row r="231" spans="1:6" x14ac:dyDescent="0.25">
      <c r="F231" s="230"/>
    </row>
    <row r="232" spans="1:6" ht="30" x14ac:dyDescent="0.25">
      <c r="A232" s="206" t="s">
        <v>8</v>
      </c>
      <c r="B232" s="215" t="s">
        <v>555</v>
      </c>
      <c r="C232" s="205">
        <v>32</v>
      </c>
      <c r="D232" s="206" t="s">
        <v>511</v>
      </c>
      <c r="E232" s="304">
        <f>E228</f>
        <v>8500</v>
      </c>
      <c r="F232" s="207">
        <f>C232*E232</f>
        <v>272000</v>
      </c>
    </row>
    <row r="233" spans="1:6" x14ac:dyDescent="0.25">
      <c r="B233" s="215"/>
      <c r="F233" s="230"/>
    </row>
    <row r="234" spans="1:6" x14ac:dyDescent="0.25">
      <c r="A234" s="206" t="s">
        <v>9</v>
      </c>
      <c r="B234" s="214" t="s">
        <v>133</v>
      </c>
      <c r="C234" s="205">
        <f>15*1.2*8</f>
        <v>144</v>
      </c>
      <c r="D234" s="206" t="s">
        <v>22</v>
      </c>
      <c r="E234" s="304">
        <f>E183</f>
        <v>1275</v>
      </c>
      <c r="F234" s="207">
        <f>C234*E234</f>
        <v>183600</v>
      </c>
    </row>
    <row r="236" spans="1:6" x14ac:dyDescent="0.25">
      <c r="A236" s="206" t="s">
        <v>10</v>
      </c>
      <c r="B236" s="214" t="s">
        <v>556</v>
      </c>
      <c r="C236" s="205">
        <v>64</v>
      </c>
      <c r="D236" s="206" t="s">
        <v>22</v>
      </c>
      <c r="E236" s="304">
        <f>E234</f>
        <v>1275</v>
      </c>
      <c r="F236" s="207">
        <f>C236*E236</f>
        <v>81600</v>
      </c>
    </row>
    <row r="247" spans="1:6" ht="19.5" customHeight="1" x14ac:dyDescent="0.25">
      <c r="B247" s="220" t="s">
        <v>520</v>
      </c>
      <c r="C247" s="221"/>
      <c r="D247" s="209"/>
      <c r="E247" s="303" t="s">
        <v>15</v>
      </c>
      <c r="F247" s="207">
        <f>SUM(F205:F246)</f>
        <v>5228000</v>
      </c>
    </row>
    <row r="248" spans="1:6" x14ac:dyDescent="0.25">
      <c r="A248" s="209" t="s">
        <v>796</v>
      </c>
      <c r="B248" s="209"/>
      <c r="C248" s="221" t="s">
        <v>773</v>
      </c>
      <c r="D248" s="209" t="s">
        <v>765</v>
      </c>
      <c r="E248" s="303" t="s">
        <v>914</v>
      </c>
      <c r="F248" s="273" t="s">
        <v>768</v>
      </c>
    </row>
    <row r="249" spans="1:6" x14ac:dyDescent="0.25">
      <c r="B249" s="210" t="s">
        <v>557</v>
      </c>
    </row>
    <row r="250" spans="1:6" x14ac:dyDescent="0.25">
      <c r="B250" s="210"/>
    </row>
    <row r="251" spans="1:6" x14ac:dyDescent="0.25">
      <c r="B251" s="211" t="s">
        <v>137</v>
      </c>
      <c r="F251" s="288"/>
    </row>
    <row r="252" spans="1:6" x14ac:dyDescent="0.25">
      <c r="F252" s="288"/>
    </row>
    <row r="253" spans="1:6" x14ac:dyDescent="0.25">
      <c r="B253" s="242" t="s">
        <v>702</v>
      </c>
      <c r="F253" s="230"/>
    </row>
    <row r="254" spans="1:6" x14ac:dyDescent="0.25">
      <c r="B254" s="211"/>
      <c r="F254" s="230"/>
    </row>
    <row r="255" spans="1:6" x14ac:dyDescent="0.25">
      <c r="A255" s="206" t="s">
        <v>2</v>
      </c>
      <c r="B255" s="233" t="s">
        <v>558</v>
      </c>
      <c r="C255" s="205">
        <f>C228</f>
        <v>24</v>
      </c>
      <c r="D255" s="206" t="s">
        <v>511</v>
      </c>
      <c r="E255" s="306">
        <v>23000</v>
      </c>
      <c r="F255" s="207">
        <f>C255*E255</f>
        <v>552000</v>
      </c>
    </row>
    <row r="256" spans="1:6" x14ac:dyDescent="0.25">
      <c r="B256" s="233"/>
      <c r="F256" s="230"/>
    </row>
    <row r="257" spans="1:6" x14ac:dyDescent="0.25">
      <c r="A257" s="206" t="s">
        <v>4</v>
      </c>
      <c r="B257" s="214" t="s">
        <v>139</v>
      </c>
      <c r="C257" s="205">
        <v>154</v>
      </c>
      <c r="D257" s="206" t="s">
        <v>22</v>
      </c>
      <c r="E257" s="306">
        <f>E255*0.3</f>
        <v>6900</v>
      </c>
      <c r="F257" s="207">
        <f>C257*E257</f>
        <v>1062600</v>
      </c>
    </row>
    <row r="258" spans="1:6" x14ac:dyDescent="0.25">
      <c r="E258" s="306"/>
    </row>
    <row r="259" spans="1:6" x14ac:dyDescent="0.25">
      <c r="A259" s="206" t="s">
        <v>5</v>
      </c>
      <c r="B259" s="214" t="s">
        <v>140</v>
      </c>
      <c r="C259" s="205">
        <f>C234</f>
        <v>144</v>
      </c>
      <c r="D259" s="206" t="s">
        <v>22</v>
      </c>
      <c r="E259" s="306">
        <f>E255*0.15</f>
        <v>3450</v>
      </c>
      <c r="F259" s="207">
        <f>C259*E259</f>
        <v>496800</v>
      </c>
    </row>
    <row r="260" spans="1:6" x14ac:dyDescent="0.25">
      <c r="F260" s="230"/>
    </row>
    <row r="261" spans="1:6" s="223" customFormat="1" ht="15" customHeight="1" x14ac:dyDescent="0.25">
      <c r="A261" s="206" t="s">
        <v>6</v>
      </c>
      <c r="B261" s="218" t="s">
        <v>141</v>
      </c>
      <c r="C261" s="205">
        <v>72</v>
      </c>
      <c r="D261" s="206" t="s">
        <v>22</v>
      </c>
      <c r="E261" s="306">
        <f>E255*0.08</f>
        <v>1840</v>
      </c>
      <c r="F261" s="207">
        <f>C261*E261</f>
        <v>132480</v>
      </c>
    </row>
    <row r="262" spans="1:6" s="223" customFormat="1" ht="15" customHeight="1" x14ac:dyDescent="0.25">
      <c r="A262" s="206"/>
      <c r="B262" s="218"/>
      <c r="C262" s="205"/>
      <c r="D262" s="206"/>
      <c r="E262" s="304"/>
      <c r="F262" s="207"/>
    </row>
    <row r="263" spans="1:6" ht="35.25" customHeight="1" x14ac:dyDescent="0.25">
      <c r="B263" s="242" t="s">
        <v>559</v>
      </c>
      <c r="C263" s="221"/>
      <c r="D263" s="209"/>
      <c r="E263" s="303"/>
      <c r="F263" s="286"/>
    </row>
    <row r="264" spans="1:6" x14ac:dyDescent="0.25">
      <c r="B264" s="220"/>
      <c r="C264" s="221"/>
      <c r="D264" s="209"/>
      <c r="E264" s="303"/>
      <c r="F264" s="286"/>
    </row>
    <row r="265" spans="1:6" x14ac:dyDescent="0.25">
      <c r="B265" s="219" t="s">
        <v>560</v>
      </c>
      <c r="F265" s="230"/>
    </row>
    <row r="266" spans="1:6" x14ac:dyDescent="0.25">
      <c r="B266" s="219"/>
      <c r="F266" s="230"/>
    </row>
    <row r="267" spans="1:6" x14ac:dyDescent="0.25">
      <c r="A267" s="206" t="s">
        <v>7</v>
      </c>
      <c r="B267" s="233" t="s">
        <v>561</v>
      </c>
      <c r="C267" s="205">
        <f>C255</f>
        <v>24</v>
      </c>
      <c r="D267" s="206" t="s">
        <v>511</v>
      </c>
      <c r="E267" s="304">
        <v>4500</v>
      </c>
      <c r="F267" s="207">
        <f>C267*E267</f>
        <v>108000</v>
      </c>
    </row>
    <row r="268" spans="1:6" x14ac:dyDescent="0.25">
      <c r="B268" s="219"/>
      <c r="F268" s="230"/>
    </row>
    <row r="269" spans="1:6" ht="15" x14ac:dyDescent="0.25">
      <c r="A269" s="206" t="s">
        <v>8</v>
      </c>
      <c r="B269" s="233" t="s">
        <v>145</v>
      </c>
      <c r="C269" s="205">
        <f>C259</f>
        <v>144</v>
      </c>
      <c r="D269" s="206" t="s">
        <v>22</v>
      </c>
      <c r="E269" s="304">
        <v>1500</v>
      </c>
      <c r="F269" s="212">
        <f>C269*E269</f>
        <v>216000</v>
      </c>
    </row>
    <row r="270" spans="1:6" x14ac:dyDescent="0.25">
      <c r="B270" s="233"/>
    </row>
    <row r="271" spans="1:6" ht="15" x14ac:dyDescent="0.25">
      <c r="A271" s="206" t="s">
        <v>9</v>
      </c>
      <c r="B271" s="233" t="s">
        <v>562</v>
      </c>
      <c r="C271" s="205">
        <f>C257</f>
        <v>154</v>
      </c>
      <c r="D271" s="206" t="s">
        <v>22</v>
      </c>
      <c r="E271" s="304">
        <v>2500</v>
      </c>
      <c r="F271" s="212">
        <f>C271*E271</f>
        <v>385000</v>
      </c>
    </row>
    <row r="272" spans="1:6" ht="15" x14ac:dyDescent="0.25">
      <c r="B272" s="233"/>
      <c r="F272" s="212"/>
    </row>
    <row r="273" spans="1:6" ht="15" x14ac:dyDescent="0.25">
      <c r="A273" s="206" t="s">
        <v>10</v>
      </c>
      <c r="B273" s="233" t="s">
        <v>146</v>
      </c>
      <c r="C273" s="205">
        <f>C261</f>
        <v>72</v>
      </c>
      <c r="D273" s="206" t="s">
        <v>22</v>
      </c>
      <c r="E273" s="304">
        <f>E267*0.15</f>
        <v>675</v>
      </c>
      <c r="F273" s="212">
        <f>C273*E273</f>
        <v>48600</v>
      </c>
    </row>
    <row r="274" spans="1:6" x14ac:dyDescent="0.25">
      <c r="F274" s="230"/>
    </row>
    <row r="275" spans="1:6" x14ac:dyDescent="0.25">
      <c r="B275" s="211" t="s">
        <v>147</v>
      </c>
      <c r="F275" s="230"/>
    </row>
    <row r="276" spans="1:6" x14ac:dyDescent="0.25">
      <c r="F276" s="230"/>
    </row>
    <row r="277" spans="1:6" ht="30" x14ac:dyDescent="0.25">
      <c r="B277" s="224" t="s">
        <v>563</v>
      </c>
      <c r="F277" s="230"/>
    </row>
    <row r="278" spans="1:6" x14ac:dyDescent="0.25">
      <c r="B278" s="224"/>
      <c r="F278" s="230"/>
    </row>
    <row r="279" spans="1:6" x14ac:dyDescent="0.25">
      <c r="A279" s="206" t="s">
        <v>11</v>
      </c>
      <c r="B279" s="233" t="s">
        <v>149</v>
      </c>
      <c r="C279" s="205">
        <f>C226</f>
        <v>104</v>
      </c>
      <c r="D279" s="206" t="s">
        <v>511</v>
      </c>
      <c r="E279" s="304">
        <v>3500</v>
      </c>
      <c r="F279" s="207">
        <f>C279*E279</f>
        <v>364000</v>
      </c>
    </row>
    <row r="280" spans="1:6" x14ac:dyDescent="0.25">
      <c r="B280" s="233"/>
    </row>
    <row r="281" spans="1:6" x14ac:dyDescent="0.25">
      <c r="A281" s="206" t="s">
        <v>12</v>
      </c>
      <c r="B281" s="214" t="s">
        <v>38</v>
      </c>
      <c r="C281" s="205">
        <f>C228</f>
        <v>24</v>
      </c>
      <c r="D281" s="206" t="s">
        <v>511</v>
      </c>
      <c r="E281" s="304">
        <f>E279</f>
        <v>3500</v>
      </c>
      <c r="F281" s="207">
        <f>C281*E281</f>
        <v>84000</v>
      </c>
    </row>
    <row r="283" spans="1:6" x14ac:dyDescent="0.25">
      <c r="A283" s="206" t="s">
        <v>13</v>
      </c>
      <c r="B283" s="214" t="s">
        <v>37</v>
      </c>
      <c r="C283" s="205">
        <f>C232</f>
        <v>32</v>
      </c>
      <c r="D283" s="206" t="s">
        <v>511</v>
      </c>
      <c r="E283" s="304">
        <f>E281</f>
        <v>3500</v>
      </c>
      <c r="F283" s="207">
        <f>C283*E283</f>
        <v>112000</v>
      </c>
    </row>
    <row r="284" spans="1:6" x14ac:dyDescent="0.25">
      <c r="F284" s="230"/>
    </row>
    <row r="285" spans="1:6" x14ac:dyDescent="0.25">
      <c r="F285" s="230"/>
    </row>
    <row r="286" spans="1:6" x14ac:dyDescent="0.25">
      <c r="F286" s="230"/>
    </row>
    <row r="287" spans="1:6" x14ac:dyDescent="0.25">
      <c r="F287" s="230"/>
    </row>
    <row r="288" spans="1:6" x14ac:dyDescent="0.25">
      <c r="F288" s="230"/>
    </row>
    <row r="289" spans="1:6" x14ac:dyDescent="0.25">
      <c r="F289" s="230"/>
    </row>
    <row r="290" spans="1:6" x14ac:dyDescent="0.25">
      <c r="F290" s="230"/>
    </row>
    <row r="291" spans="1:6" x14ac:dyDescent="0.25">
      <c r="F291" s="230"/>
    </row>
    <row r="292" spans="1:6" x14ac:dyDescent="0.25">
      <c r="B292" s="220" t="s">
        <v>520</v>
      </c>
      <c r="C292" s="221"/>
      <c r="D292" s="209"/>
      <c r="E292" s="303" t="s">
        <v>15</v>
      </c>
      <c r="F292" s="235">
        <f>SUM(F251:F291)</f>
        <v>3561480</v>
      </c>
    </row>
    <row r="293" spans="1:6" x14ac:dyDescent="0.25">
      <c r="A293" s="209" t="s">
        <v>796</v>
      </c>
      <c r="B293" s="209"/>
      <c r="C293" s="221" t="s">
        <v>773</v>
      </c>
      <c r="D293" s="209" t="s">
        <v>765</v>
      </c>
      <c r="E293" s="303" t="s">
        <v>914</v>
      </c>
      <c r="F293" s="273" t="s">
        <v>768</v>
      </c>
    </row>
    <row r="294" spans="1:6" x14ac:dyDescent="0.25">
      <c r="B294" s="210" t="s">
        <v>557</v>
      </c>
      <c r="F294" s="230"/>
    </row>
    <row r="295" spans="1:6" x14ac:dyDescent="0.25">
      <c r="F295" s="230"/>
    </row>
    <row r="296" spans="1:6" x14ac:dyDescent="0.25">
      <c r="B296" s="210" t="s">
        <v>564</v>
      </c>
      <c r="F296" s="230"/>
    </row>
    <row r="297" spans="1:6" x14ac:dyDescent="0.25">
      <c r="F297" s="230"/>
    </row>
    <row r="298" spans="1:6" ht="30" x14ac:dyDescent="0.25">
      <c r="B298" s="224" t="s">
        <v>565</v>
      </c>
      <c r="F298" s="230"/>
    </row>
    <row r="299" spans="1:6" x14ac:dyDescent="0.25">
      <c r="F299" s="230"/>
    </row>
    <row r="300" spans="1:6" x14ac:dyDescent="0.25">
      <c r="A300" s="206" t="s">
        <v>2</v>
      </c>
      <c r="B300" s="233" t="s">
        <v>149</v>
      </c>
      <c r="C300" s="205">
        <f>C279</f>
        <v>104</v>
      </c>
      <c r="D300" s="206" t="s">
        <v>511</v>
      </c>
      <c r="E300" s="304">
        <v>1400</v>
      </c>
      <c r="F300" s="207">
        <f>C300*E300</f>
        <v>145600</v>
      </c>
    </row>
    <row r="301" spans="1:6" x14ac:dyDescent="0.25">
      <c r="B301" s="233"/>
    </row>
    <row r="302" spans="1:6" x14ac:dyDescent="0.25">
      <c r="A302" s="206" t="s">
        <v>4</v>
      </c>
      <c r="B302" s="214" t="s">
        <v>38</v>
      </c>
      <c r="C302" s="205">
        <f>C281</f>
        <v>24</v>
      </c>
      <c r="D302" s="206" t="s">
        <v>511</v>
      </c>
      <c r="E302" s="304">
        <f>E300</f>
        <v>1400</v>
      </c>
      <c r="F302" s="207">
        <f>C302*E302</f>
        <v>33600</v>
      </c>
    </row>
    <row r="304" spans="1:6" x14ac:dyDescent="0.25">
      <c r="A304" s="206" t="s">
        <v>5</v>
      </c>
      <c r="B304" s="214" t="s">
        <v>37</v>
      </c>
      <c r="C304" s="205">
        <f>C283</f>
        <v>32</v>
      </c>
      <c r="D304" s="206" t="s">
        <v>511</v>
      </c>
      <c r="E304" s="304">
        <f>E302</f>
        <v>1400</v>
      </c>
      <c r="F304" s="207">
        <f>C304*E304</f>
        <v>44800</v>
      </c>
    </row>
    <row r="305" spans="1:6" x14ac:dyDescent="0.25">
      <c r="B305" s="233"/>
      <c r="F305" s="230"/>
    </row>
    <row r="306" spans="1:6" x14ac:dyDescent="0.25">
      <c r="B306" s="211" t="s">
        <v>152</v>
      </c>
      <c r="F306" s="230"/>
    </row>
    <row r="307" spans="1:6" x14ac:dyDescent="0.25">
      <c r="F307" s="230"/>
    </row>
    <row r="308" spans="1:6" ht="30" x14ac:dyDescent="0.25">
      <c r="B308" s="224" t="s">
        <v>675</v>
      </c>
      <c r="F308" s="230"/>
    </row>
    <row r="309" spans="1:6" x14ac:dyDescent="0.25">
      <c r="F309" s="230"/>
    </row>
    <row r="310" spans="1:6" x14ac:dyDescent="0.25">
      <c r="A310" s="206" t="s">
        <v>6</v>
      </c>
      <c r="B310" s="233" t="s">
        <v>149</v>
      </c>
      <c r="C310" s="205">
        <f>C300</f>
        <v>104</v>
      </c>
      <c r="D310" s="206" t="s">
        <v>511</v>
      </c>
      <c r="E310" s="304">
        <v>2200</v>
      </c>
      <c r="F310" s="207">
        <f>C310*E310</f>
        <v>228800</v>
      </c>
    </row>
    <row r="311" spans="1:6" x14ac:dyDescent="0.25">
      <c r="B311" s="233"/>
    </row>
    <row r="312" spans="1:6" x14ac:dyDescent="0.25">
      <c r="A312" s="206" t="s">
        <v>7</v>
      </c>
      <c r="B312" s="214" t="s">
        <v>38</v>
      </c>
      <c r="C312" s="205">
        <f>C302</f>
        <v>24</v>
      </c>
      <c r="D312" s="206" t="s">
        <v>511</v>
      </c>
      <c r="E312" s="304">
        <f>E310</f>
        <v>2200</v>
      </c>
      <c r="F312" s="207">
        <f>C312*E312</f>
        <v>52800</v>
      </c>
    </row>
    <row r="314" spans="1:6" x14ac:dyDescent="0.25">
      <c r="A314" s="206" t="s">
        <v>8</v>
      </c>
      <c r="B314" s="214" t="s">
        <v>37</v>
      </c>
      <c r="C314" s="205">
        <f>C304</f>
        <v>32</v>
      </c>
      <c r="D314" s="206" t="s">
        <v>511</v>
      </c>
      <c r="E314" s="304">
        <f>E312</f>
        <v>2200</v>
      </c>
      <c r="F314" s="207">
        <f>C314*E314</f>
        <v>70400</v>
      </c>
    </row>
    <row r="316" spans="1:6" x14ac:dyDescent="0.25">
      <c r="F316" s="230"/>
    </row>
    <row r="317" spans="1:6" x14ac:dyDescent="0.25">
      <c r="B317" s="220" t="s">
        <v>520</v>
      </c>
      <c r="E317" s="303" t="s">
        <v>15</v>
      </c>
      <c r="F317" s="222">
        <f>SUM(F297:F316)</f>
        <v>576000</v>
      </c>
    </row>
    <row r="319" spans="1:6" x14ac:dyDescent="0.25">
      <c r="B319" s="219" t="s">
        <v>531</v>
      </c>
      <c r="F319" s="230"/>
    </row>
    <row r="320" spans="1:6" x14ac:dyDescent="0.25">
      <c r="B320" s="231" t="s">
        <v>566</v>
      </c>
      <c r="E320" s="304">
        <f>F247</f>
        <v>5228000</v>
      </c>
      <c r="F320" s="230"/>
    </row>
    <row r="321" spans="2:6" x14ac:dyDescent="0.25">
      <c r="B321" s="243"/>
      <c r="F321" s="230"/>
    </row>
    <row r="322" spans="2:6" x14ac:dyDescent="0.25">
      <c r="B322" s="231" t="s">
        <v>567</v>
      </c>
      <c r="E322" s="304">
        <f>F292</f>
        <v>3561480</v>
      </c>
      <c r="F322" s="230"/>
    </row>
    <row r="323" spans="2:6" x14ac:dyDescent="0.25">
      <c r="B323" s="244"/>
      <c r="F323" s="230"/>
    </row>
    <row r="324" spans="2:6" x14ac:dyDescent="0.25">
      <c r="B324" s="231" t="s">
        <v>568</v>
      </c>
      <c r="E324" s="304">
        <f>F317</f>
        <v>576000</v>
      </c>
      <c r="F324" s="230"/>
    </row>
    <row r="325" spans="2:6" x14ac:dyDescent="0.25">
      <c r="B325" s="231"/>
      <c r="F325" s="230"/>
    </row>
    <row r="326" spans="2:6" x14ac:dyDescent="0.25">
      <c r="B326" s="231"/>
      <c r="F326" s="230"/>
    </row>
    <row r="327" spans="2:6" x14ac:dyDescent="0.25">
      <c r="B327" s="231"/>
      <c r="F327" s="230"/>
    </row>
    <row r="328" spans="2:6" x14ac:dyDescent="0.25">
      <c r="B328" s="231"/>
      <c r="F328" s="230"/>
    </row>
    <row r="329" spans="2:6" x14ac:dyDescent="0.25">
      <c r="B329" s="231"/>
      <c r="F329" s="230"/>
    </row>
    <row r="330" spans="2:6" x14ac:dyDescent="0.25">
      <c r="B330" s="231"/>
      <c r="F330" s="230"/>
    </row>
    <row r="331" spans="2:6" x14ac:dyDescent="0.25">
      <c r="B331" s="231"/>
      <c r="F331" s="230"/>
    </row>
    <row r="332" spans="2:6" x14ac:dyDescent="0.25">
      <c r="B332" s="231"/>
      <c r="F332" s="230"/>
    </row>
    <row r="333" spans="2:6" x14ac:dyDescent="0.25">
      <c r="B333" s="231"/>
      <c r="F333" s="230"/>
    </row>
    <row r="334" spans="2:6" x14ac:dyDescent="0.25">
      <c r="B334" s="231"/>
      <c r="F334" s="230"/>
    </row>
    <row r="335" spans="2:6" x14ac:dyDescent="0.25">
      <c r="B335" s="231"/>
      <c r="F335" s="230"/>
    </row>
    <row r="336" spans="2:6" x14ac:dyDescent="0.25">
      <c r="B336" s="210" t="s">
        <v>125</v>
      </c>
      <c r="F336" s="230"/>
    </row>
    <row r="337" spans="1:6" x14ac:dyDescent="0.25">
      <c r="B337" s="220" t="s">
        <v>534</v>
      </c>
      <c r="E337" s="303" t="s">
        <v>15</v>
      </c>
      <c r="F337" s="286">
        <f>SUM(E319:E326)</f>
        <v>9365480</v>
      </c>
    </row>
    <row r="338" spans="1:6" x14ac:dyDescent="0.25">
      <c r="A338" s="209" t="s">
        <v>796</v>
      </c>
      <c r="B338" s="209"/>
      <c r="C338" s="221" t="s">
        <v>773</v>
      </c>
      <c r="D338" s="209" t="s">
        <v>765</v>
      </c>
      <c r="E338" s="303" t="s">
        <v>914</v>
      </c>
      <c r="F338" s="273" t="s">
        <v>768</v>
      </c>
    </row>
    <row r="339" spans="1:6" x14ac:dyDescent="0.25">
      <c r="B339" s="210"/>
      <c r="F339" s="230"/>
    </row>
    <row r="340" spans="1:6" x14ac:dyDescent="0.25">
      <c r="B340" s="204" t="s">
        <v>569</v>
      </c>
      <c r="F340" s="230"/>
    </row>
    <row r="341" spans="1:6" x14ac:dyDescent="0.25">
      <c r="F341" s="230"/>
    </row>
    <row r="342" spans="1:6" x14ac:dyDescent="0.25">
      <c r="B342" s="210" t="s">
        <v>163</v>
      </c>
      <c r="F342" s="230"/>
    </row>
    <row r="343" spans="1:6" x14ac:dyDescent="0.25">
      <c r="F343" s="230"/>
    </row>
    <row r="344" spans="1:6" x14ac:dyDescent="0.25">
      <c r="B344" s="211" t="s">
        <v>98</v>
      </c>
      <c r="F344" s="230"/>
    </row>
    <row r="345" spans="1:6" x14ac:dyDescent="0.25">
      <c r="F345" s="230"/>
    </row>
    <row r="346" spans="1:6" x14ac:dyDescent="0.25">
      <c r="B346" s="219" t="s">
        <v>536</v>
      </c>
      <c r="F346" s="230"/>
    </row>
    <row r="347" spans="1:6" x14ac:dyDescent="0.25">
      <c r="B347" s="219"/>
      <c r="F347" s="230"/>
    </row>
    <row r="348" spans="1:6" x14ac:dyDescent="0.25">
      <c r="B348" s="219" t="s">
        <v>666</v>
      </c>
      <c r="F348" s="230"/>
    </row>
    <row r="349" spans="1:6" x14ac:dyDescent="0.25">
      <c r="F349" s="230"/>
    </row>
    <row r="350" spans="1:6" x14ac:dyDescent="0.25">
      <c r="A350" s="206" t="s">
        <v>2</v>
      </c>
      <c r="B350" s="214" t="s">
        <v>537</v>
      </c>
      <c r="C350" s="205">
        <f>12.03*4</f>
        <v>48.12</v>
      </c>
      <c r="D350" s="206" t="s">
        <v>513</v>
      </c>
      <c r="E350" s="304">
        <f>E123</f>
        <v>95000</v>
      </c>
      <c r="F350" s="230">
        <f>C350*E350</f>
        <v>4571400</v>
      </c>
    </row>
    <row r="351" spans="1:6" x14ac:dyDescent="0.25">
      <c r="F351" s="230"/>
    </row>
    <row r="352" spans="1:6" x14ac:dyDescent="0.25">
      <c r="A352" s="206" t="s">
        <v>4</v>
      </c>
      <c r="B352" s="214" t="s">
        <v>990</v>
      </c>
      <c r="C352" s="205">
        <f>6+7+2</f>
        <v>15</v>
      </c>
      <c r="D352" s="206" t="s">
        <v>513</v>
      </c>
      <c r="E352" s="304">
        <f>E125</f>
        <v>95000</v>
      </c>
      <c r="F352" s="230">
        <f>C352*E352</f>
        <v>1425000</v>
      </c>
    </row>
    <row r="353" spans="1:6" x14ac:dyDescent="0.25">
      <c r="F353" s="230"/>
    </row>
    <row r="354" spans="1:6" x14ac:dyDescent="0.25">
      <c r="A354" s="237"/>
      <c r="B354" s="211" t="s">
        <v>102</v>
      </c>
      <c r="F354" s="230"/>
    </row>
    <row r="355" spans="1:6" x14ac:dyDescent="0.25">
      <c r="B355" s="219"/>
      <c r="F355" s="230"/>
    </row>
    <row r="356" spans="1:6" ht="30" x14ac:dyDescent="0.25">
      <c r="B356" s="224" t="s">
        <v>570</v>
      </c>
      <c r="F356" s="230"/>
    </row>
    <row r="357" spans="1:6" x14ac:dyDescent="0.25">
      <c r="B357" s="218"/>
      <c r="C357" s="239"/>
      <c r="D357" s="240"/>
      <c r="E357" s="305"/>
      <c r="F357" s="245"/>
    </row>
    <row r="358" spans="1:6" x14ac:dyDescent="0.25">
      <c r="A358" s="206" t="s">
        <v>5</v>
      </c>
      <c r="B358" s="214" t="s">
        <v>927</v>
      </c>
      <c r="D358" s="206" t="s">
        <v>75</v>
      </c>
      <c r="E358" s="304">
        <f>E219</f>
        <v>1450</v>
      </c>
      <c r="F358" s="287">
        <f>C358*E358</f>
        <v>0</v>
      </c>
    </row>
    <row r="359" spans="1:6" x14ac:dyDescent="0.25">
      <c r="B359" s="218"/>
      <c r="C359" s="239"/>
      <c r="D359" s="240"/>
      <c r="E359" s="305"/>
      <c r="F359" s="245"/>
    </row>
    <row r="360" spans="1:6" x14ac:dyDescent="0.25">
      <c r="A360" s="206" t="s">
        <v>6</v>
      </c>
      <c r="B360" s="214" t="s">
        <v>928</v>
      </c>
      <c r="D360" s="206" t="s">
        <v>75</v>
      </c>
      <c r="E360" s="304">
        <f>E358</f>
        <v>1450</v>
      </c>
      <c r="F360" s="287">
        <f>C360*E360</f>
        <v>0</v>
      </c>
    </row>
    <row r="361" spans="1:6" x14ac:dyDescent="0.25">
      <c r="B361" s="218"/>
      <c r="C361" s="239"/>
      <c r="D361" s="240"/>
      <c r="E361" s="305"/>
      <c r="F361" s="245"/>
    </row>
    <row r="362" spans="1:6" x14ac:dyDescent="0.25">
      <c r="A362" s="206" t="s">
        <v>7</v>
      </c>
      <c r="B362" s="214" t="s">
        <v>806</v>
      </c>
      <c r="C362" s="205">
        <v>5656</v>
      </c>
      <c r="D362" s="206" t="s">
        <v>75</v>
      </c>
      <c r="E362" s="304">
        <f>E219</f>
        <v>1450</v>
      </c>
      <c r="F362" s="287">
        <f>C362*E362</f>
        <v>8201200</v>
      </c>
    </row>
    <row r="363" spans="1:6" x14ac:dyDescent="0.25">
      <c r="A363" s="238"/>
      <c r="F363" s="287"/>
    </row>
    <row r="364" spans="1:6" x14ac:dyDescent="0.25">
      <c r="A364" s="206" t="s">
        <v>8</v>
      </c>
      <c r="B364" s="214" t="s">
        <v>571</v>
      </c>
      <c r="C364" s="205">
        <v>792</v>
      </c>
      <c r="D364" s="206" t="s">
        <v>75</v>
      </c>
      <c r="E364" s="304">
        <f>E362</f>
        <v>1450</v>
      </c>
      <c r="F364" s="287">
        <f>C364*E364</f>
        <v>1148400</v>
      </c>
    </row>
    <row r="365" spans="1:6" x14ac:dyDescent="0.25">
      <c r="F365" s="287"/>
    </row>
    <row r="366" spans="1:6" x14ac:dyDescent="0.25">
      <c r="A366" s="206" t="s">
        <v>9</v>
      </c>
      <c r="B366" s="214" t="s">
        <v>804</v>
      </c>
      <c r="C366" s="205">
        <v>2153</v>
      </c>
      <c r="D366" s="206" t="s">
        <v>75</v>
      </c>
      <c r="E366" s="304">
        <f>E364</f>
        <v>1450</v>
      </c>
      <c r="F366" s="287">
        <f>C366*E366</f>
        <v>3121850</v>
      </c>
    </row>
    <row r="367" spans="1:6" x14ac:dyDescent="0.25">
      <c r="B367" s="211" t="s">
        <v>67</v>
      </c>
      <c r="F367" s="230"/>
    </row>
    <row r="368" spans="1:6" x14ac:dyDescent="0.25">
      <c r="F368" s="230"/>
    </row>
    <row r="369" spans="1:6" x14ac:dyDescent="0.25">
      <c r="B369" s="219" t="s">
        <v>120</v>
      </c>
      <c r="F369" s="230"/>
    </row>
    <row r="370" spans="1:6" x14ac:dyDescent="0.25">
      <c r="F370" s="230"/>
    </row>
    <row r="371" spans="1:6" x14ac:dyDescent="0.25">
      <c r="A371" s="206" t="s">
        <v>10</v>
      </c>
      <c r="B371" s="214" t="s">
        <v>572</v>
      </c>
      <c r="C371" s="205">
        <v>415</v>
      </c>
      <c r="D371" s="206" t="s">
        <v>511</v>
      </c>
      <c r="E371" s="304">
        <f>E181</f>
        <v>8500</v>
      </c>
      <c r="F371" s="230">
        <f>C371*E371</f>
        <v>3527500</v>
      </c>
    </row>
    <row r="372" spans="1:6" x14ac:dyDescent="0.25">
      <c r="F372" s="230"/>
    </row>
    <row r="373" spans="1:6" x14ac:dyDescent="0.25">
      <c r="A373" s="206" t="s">
        <v>11</v>
      </c>
      <c r="B373" s="214" t="s">
        <v>989</v>
      </c>
      <c r="C373" s="205">
        <v>82</v>
      </c>
      <c r="D373" s="206" t="s">
        <v>511</v>
      </c>
      <c r="E373" s="304">
        <f>E371</f>
        <v>8500</v>
      </c>
      <c r="F373" s="230">
        <f>C373*E373</f>
        <v>697000</v>
      </c>
    </row>
    <row r="374" spans="1:6" x14ac:dyDescent="0.25">
      <c r="F374" s="230"/>
    </row>
    <row r="375" spans="1:6" x14ac:dyDescent="0.25">
      <c r="F375" s="230"/>
    </row>
    <row r="376" spans="1:6" x14ac:dyDescent="0.25">
      <c r="F376" s="230"/>
    </row>
    <row r="377" spans="1:6" x14ac:dyDescent="0.25">
      <c r="F377" s="230"/>
    </row>
    <row r="378" spans="1:6" x14ac:dyDescent="0.25">
      <c r="F378" s="230"/>
    </row>
    <row r="379" spans="1:6" x14ac:dyDescent="0.25">
      <c r="F379" s="230"/>
    </row>
    <row r="380" spans="1:6" x14ac:dyDescent="0.25">
      <c r="F380" s="230"/>
    </row>
    <row r="381" spans="1:6" x14ac:dyDescent="0.25">
      <c r="F381" s="230"/>
    </row>
    <row r="382" spans="1:6" x14ac:dyDescent="0.25">
      <c r="F382" s="230"/>
    </row>
    <row r="383" spans="1:6" x14ac:dyDescent="0.25">
      <c r="B383" s="220" t="s">
        <v>520</v>
      </c>
      <c r="C383" s="221"/>
      <c r="D383" s="209"/>
      <c r="E383" s="303" t="s">
        <v>15</v>
      </c>
      <c r="F383" s="235">
        <f>SUM(F343:F375)</f>
        <v>22692350</v>
      </c>
    </row>
    <row r="384" spans="1:6" x14ac:dyDescent="0.25">
      <c r="A384" s="209" t="s">
        <v>796</v>
      </c>
      <c r="B384" s="209"/>
      <c r="C384" s="221" t="s">
        <v>773</v>
      </c>
      <c r="D384" s="209" t="s">
        <v>765</v>
      </c>
      <c r="E384" s="303" t="s">
        <v>914</v>
      </c>
      <c r="F384" s="273" t="s">
        <v>768</v>
      </c>
    </row>
    <row r="385" spans="1:7" x14ac:dyDescent="0.25">
      <c r="B385" s="210" t="s">
        <v>573</v>
      </c>
      <c r="F385" s="230"/>
    </row>
    <row r="386" spans="1:7" ht="8.4499999999999993" customHeight="1" x14ac:dyDescent="0.25">
      <c r="F386" s="230"/>
    </row>
    <row r="387" spans="1:7" ht="49.5" x14ac:dyDescent="0.25">
      <c r="B387" s="242" t="s">
        <v>909</v>
      </c>
    </row>
    <row r="388" spans="1:7" x14ac:dyDescent="0.25">
      <c r="B388" s="233"/>
      <c r="G388" s="223"/>
    </row>
    <row r="389" spans="1:7" x14ac:dyDescent="0.25">
      <c r="A389" s="206" t="s">
        <v>2</v>
      </c>
      <c r="B389" s="246" t="s">
        <v>575</v>
      </c>
      <c r="C389" s="205">
        <v>1129</v>
      </c>
      <c r="D389" s="206" t="s">
        <v>511</v>
      </c>
      <c r="E389" s="304">
        <v>10100</v>
      </c>
      <c r="F389" s="289">
        <f>E389*C389</f>
        <v>11402900</v>
      </c>
      <c r="G389" s="223"/>
    </row>
    <row r="390" spans="1:7" ht="10.9" customHeight="1" x14ac:dyDescent="0.25">
      <c r="B390" s="246"/>
      <c r="F390" s="289"/>
    </row>
    <row r="391" spans="1:7" x14ac:dyDescent="0.25">
      <c r="F391" s="289"/>
    </row>
    <row r="392" spans="1:7" x14ac:dyDescent="0.25">
      <c r="B392" s="211" t="s">
        <v>577</v>
      </c>
    </row>
    <row r="393" spans="1:7" ht="12.6" customHeight="1" x14ac:dyDescent="0.25"/>
    <row r="394" spans="1:7" ht="14.25" customHeight="1" x14ac:dyDescent="0.25">
      <c r="B394" s="224" t="s">
        <v>187</v>
      </c>
    </row>
    <row r="396" spans="1:7" s="202" customFormat="1" ht="17.100000000000001" customHeight="1" x14ac:dyDescent="0.25">
      <c r="A396" s="197" t="s">
        <v>4</v>
      </c>
      <c r="B396" s="214" t="s">
        <v>578</v>
      </c>
      <c r="C396" s="247"/>
      <c r="D396" s="197" t="s">
        <v>579</v>
      </c>
      <c r="E396" s="307"/>
      <c r="F396" s="248"/>
    </row>
    <row r="398" spans="1:7" x14ac:dyDescent="0.25">
      <c r="A398" s="206" t="s">
        <v>5</v>
      </c>
      <c r="B398" s="214" t="s">
        <v>678</v>
      </c>
      <c r="C398" s="205">
        <v>182</v>
      </c>
      <c r="D398" s="206" t="s">
        <v>22</v>
      </c>
      <c r="E398" s="304">
        <v>800</v>
      </c>
      <c r="F398" s="289">
        <f>C398*E398</f>
        <v>145600</v>
      </c>
    </row>
    <row r="400" spans="1:7" x14ac:dyDescent="0.25">
      <c r="A400" s="206" t="s">
        <v>6</v>
      </c>
      <c r="B400" s="214" t="s">
        <v>580</v>
      </c>
      <c r="C400" s="205">
        <v>1026</v>
      </c>
      <c r="D400" s="206" t="s">
        <v>22</v>
      </c>
      <c r="E400" s="304">
        <v>800</v>
      </c>
      <c r="F400" s="289">
        <f>C400*E400</f>
        <v>820800</v>
      </c>
    </row>
    <row r="401" spans="1:6" ht="12.75" customHeight="1" x14ac:dyDescent="0.25">
      <c r="F401" s="289"/>
    </row>
    <row r="402" spans="1:6" x14ac:dyDescent="0.25">
      <c r="A402" s="206" t="s">
        <v>7</v>
      </c>
      <c r="B402" s="214" t="s">
        <v>188</v>
      </c>
      <c r="C402" s="205">
        <v>990</v>
      </c>
      <c r="D402" s="206" t="s">
        <v>22</v>
      </c>
      <c r="E402" s="304">
        <f>E400</f>
        <v>800</v>
      </c>
      <c r="F402" s="289">
        <f>C402*E402</f>
        <v>792000</v>
      </c>
    </row>
    <row r="403" spans="1:6" ht="12.75" customHeight="1" x14ac:dyDescent="0.25"/>
    <row r="404" spans="1:6" x14ac:dyDescent="0.25">
      <c r="A404" s="206" t="s">
        <v>8</v>
      </c>
      <c r="B404" s="214" t="s">
        <v>581</v>
      </c>
      <c r="C404" s="205">
        <v>1283</v>
      </c>
      <c r="D404" s="206" t="s">
        <v>22</v>
      </c>
      <c r="E404" s="304">
        <f>E402</f>
        <v>800</v>
      </c>
      <c r="F404" s="289">
        <f>C404*E404</f>
        <v>1026400</v>
      </c>
    </row>
    <row r="405" spans="1:6" ht="12.75" customHeight="1" x14ac:dyDescent="0.25">
      <c r="F405" s="289"/>
    </row>
    <row r="406" spans="1:6" x14ac:dyDescent="0.25">
      <c r="A406" s="206" t="s">
        <v>9</v>
      </c>
      <c r="B406" s="214" t="s">
        <v>191</v>
      </c>
      <c r="C406" s="205">
        <v>1320</v>
      </c>
      <c r="D406" s="206" t="s">
        <v>22</v>
      </c>
      <c r="E406" s="304">
        <v>550</v>
      </c>
      <c r="F406" s="289">
        <f>C406*E406</f>
        <v>726000</v>
      </c>
    </row>
    <row r="407" spans="1:6" ht="12.6" customHeight="1" x14ac:dyDescent="0.25">
      <c r="F407" s="289"/>
    </row>
    <row r="408" spans="1:6" x14ac:dyDescent="0.25">
      <c r="B408" s="211" t="s">
        <v>84</v>
      </c>
      <c r="C408" s="221"/>
      <c r="D408" s="209"/>
      <c r="E408" s="303"/>
      <c r="F408" s="286"/>
    </row>
    <row r="409" spans="1:6" x14ac:dyDescent="0.25">
      <c r="B409" s="226"/>
      <c r="C409" s="221"/>
      <c r="D409" s="209"/>
      <c r="E409" s="303"/>
      <c r="F409" s="286"/>
    </row>
    <row r="410" spans="1:6" ht="32.25" customHeight="1" x14ac:dyDescent="0.25">
      <c r="B410" s="224" t="s">
        <v>582</v>
      </c>
      <c r="C410" s="221"/>
      <c r="D410" s="209"/>
      <c r="E410" s="303"/>
      <c r="F410" s="286"/>
    </row>
    <row r="411" spans="1:6" x14ac:dyDescent="0.25">
      <c r="B411" s="224"/>
      <c r="C411" s="221"/>
      <c r="D411" s="209"/>
      <c r="E411" s="303"/>
      <c r="F411" s="286"/>
    </row>
    <row r="412" spans="1:6" x14ac:dyDescent="0.25">
      <c r="A412" s="206" t="s">
        <v>10</v>
      </c>
      <c r="B412" s="218" t="s">
        <v>680</v>
      </c>
      <c r="C412" s="205">
        <v>210</v>
      </c>
      <c r="D412" s="206" t="s">
        <v>511</v>
      </c>
      <c r="E412" s="304">
        <v>10300</v>
      </c>
      <c r="F412" s="207">
        <f>C412*E412</f>
        <v>2163000</v>
      </c>
    </row>
    <row r="414" spans="1:6" x14ac:dyDescent="0.25">
      <c r="B414" s="211" t="s">
        <v>147</v>
      </c>
      <c r="F414" s="230"/>
    </row>
    <row r="415" spans="1:6" ht="12.95" customHeight="1" x14ac:dyDescent="0.25">
      <c r="F415" s="230"/>
    </row>
    <row r="416" spans="1:6" ht="30" x14ac:dyDescent="0.25">
      <c r="B416" s="224" t="s">
        <v>583</v>
      </c>
      <c r="F416" s="230"/>
    </row>
    <row r="417" spans="1:6" ht="16.5" customHeight="1" x14ac:dyDescent="0.25">
      <c r="B417" s="224"/>
      <c r="F417" s="230"/>
    </row>
    <row r="418" spans="1:6" ht="19.5" customHeight="1" x14ac:dyDescent="0.25">
      <c r="A418" s="206" t="s">
        <v>11</v>
      </c>
      <c r="B418" s="233" t="s">
        <v>24</v>
      </c>
      <c r="C418" s="205">
        <f>C412*2</f>
        <v>420</v>
      </c>
      <c r="D418" s="206" t="s">
        <v>511</v>
      </c>
      <c r="E418" s="304">
        <f>E279</f>
        <v>3500</v>
      </c>
      <c r="F418" s="207">
        <f>C418*E418</f>
        <v>1470000</v>
      </c>
    </row>
    <row r="419" spans="1:6" x14ac:dyDescent="0.25">
      <c r="B419" s="233"/>
    </row>
    <row r="420" spans="1:6" x14ac:dyDescent="0.25">
      <c r="A420" s="206" t="s">
        <v>12</v>
      </c>
      <c r="B420" s="214" t="s">
        <v>991</v>
      </c>
      <c r="C420" s="205">
        <f>C373</f>
        <v>82</v>
      </c>
      <c r="D420" s="206" t="s">
        <v>511</v>
      </c>
      <c r="E420" s="304">
        <f>E418</f>
        <v>3500</v>
      </c>
      <c r="F420" s="207">
        <f>C420*E420</f>
        <v>287000</v>
      </c>
    </row>
    <row r="421" spans="1:6" ht="14.25" customHeight="1" x14ac:dyDescent="0.25"/>
    <row r="422" spans="1:6" x14ac:dyDescent="0.25">
      <c r="B422" s="211" t="s">
        <v>585</v>
      </c>
    </row>
    <row r="424" spans="1:6" x14ac:dyDescent="0.25">
      <c r="B424" s="219" t="s">
        <v>560</v>
      </c>
      <c r="F424" s="230"/>
    </row>
    <row r="425" spans="1:6" x14ac:dyDescent="0.25">
      <c r="B425" s="219"/>
      <c r="F425" s="230"/>
    </row>
    <row r="426" spans="1:6" x14ac:dyDescent="0.25">
      <c r="A426" s="206" t="s">
        <v>13</v>
      </c>
      <c r="B426" s="233" t="s">
        <v>586</v>
      </c>
      <c r="C426" s="205">
        <v>37</v>
      </c>
      <c r="D426" s="206" t="s">
        <v>511</v>
      </c>
      <c r="E426" s="304">
        <v>3200</v>
      </c>
      <c r="F426" s="207">
        <f>C426*E426</f>
        <v>118400</v>
      </c>
    </row>
    <row r="427" spans="1:6" x14ac:dyDescent="0.25">
      <c r="B427" s="233"/>
    </row>
    <row r="428" spans="1:6" x14ac:dyDescent="0.25">
      <c r="B428" s="220" t="s">
        <v>520</v>
      </c>
      <c r="C428" s="221"/>
      <c r="D428" s="209"/>
      <c r="E428" s="303" t="s">
        <v>15</v>
      </c>
      <c r="F428" s="222">
        <f>SUM(F387:F427)</f>
        <v>18952100</v>
      </c>
    </row>
    <row r="429" spans="1:6" x14ac:dyDescent="0.25">
      <c r="A429" s="209" t="s">
        <v>796</v>
      </c>
      <c r="B429" s="209"/>
      <c r="C429" s="221" t="s">
        <v>773</v>
      </c>
      <c r="D429" s="209" t="s">
        <v>765</v>
      </c>
      <c r="E429" s="303" t="s">
        <v>914</v>
      </c>
      <c r="F429" s="273" t="s">
        <v>768</v>
      </c>
    </row>
    <row r="430" spans="1:6" x14ac:dyDescent="0.25">
      <c r="B430" s="210" t="s">
        <v>573</v>
      </c>
    </row>
    <row r="431" spans="1:6" x14ac:dyDescent="0.25">
      <c r="B431" s="233"/>
    </row>
    <row r="432" spans="1:6" x14ac:dyDescent="0.25">
      <c r="B432" s="210" t="s">
        <v>587</v>
      </c>
    </row>
    <row r="433" spans="1:6" x14ac:dyDescent="0.25">
      <c r="B433" s="219"/>
    </row>
    <row r="434" spans="1:6" x14ac:dyDescent="0.25">
      <c r="B434" s="252" t="s">
        <v>588</v>
      </c>
    </row>
    <row r="435" spans="1:6" x14ac:dyDescent="0.25">
      <c r="B435" s="244"/>
    </row>
    <row r="436" spans="1:6" x14ac:dyDescent="0.25">
      <c r="A436" s="206" t="s">
        <v>2</v>
      </c>
      <c r="B436" s="253" t="s">
        <v>589</v>
      </c>
      <c r="C436" s="205">
        <f>C426</f>
        <v>37</v>
      </c>
      <c r="D436" s="206" t="s">
        <v>511</v>
      </c>
      <c r="E436" s="304">
        <v>7100</v>
      </c>
      <c r="F436" s="207">
        <f>C436*E436</f>
        <v>262700</v>
      </c>
    </row>
    <row r="437" spans="1:6" ht="14.25" customHeight="1" x14ac:dyDescent="0.25">
      <c r="B437" s="254"/>
    </row>
    <row r="438" spans="1:6" x14ac:dyDescent="0.25">
      <c r="A438" s="206" t="s">
        <v>4</v>
      </c>
      <c r="B438" s="233" t="s">
        <v>590</v>
      </c>
      <c r="C438" s="205">
        <v>0</v>
      </c>
      <c r="D438" s="206" t="s">
        <v>511</v>
      </c>
      <c r="E438" s="304">
        <f>E436</f>
        <v>7100</v>
      </c>
      <c r="F438" s="207">
        <f>C438*E438</f>
        <v>0</v>
      </c>
    </row>
    <row r="439" spans="1:6" ht="12" customHeight="1" x14ac:dyDescent="0.25">
      <c r="B439" s="233"/>
    </row>
    <row r="440" spans="1:6" x14ac:dyDescent="0.25">
      <c r="A440" s="206" t="s">
        <v>5</v>
      </c>
      <c r="B440" s="233" t="s">
        <v>591</v>
      </c>
      <c r="D440" s="206" t="s">
        <v>3</v>
      </c>
      <c r="E440" s="304">
        <v>24000</v>
      </c>
      <c r="F440" s="207">
        <f>C440*E440</f>
        <v>0</v>
      </c>
    </row>
    <row r="441" spans="1:6" x14ac:dyDescent="0.25">
      <c r="B441" s="233"/>
    </row>
    <row r="442" spans="1:6" s="269" customFormat="1" x14ac:dyDescent="0.25">
      <c r="A442" s="265"/>
      <c r="B442" s="266" t="s">
        <v>615</v>
      </c>
      <c r="C442" s="267"/>
      <c r="D442" s="265"/>
      <c r="E442" s="304"/>
      <c r="F442" s="268"/>
    </row>
    <row r="443" spans="1:6" s="269" customFormat="1" ht="30" x14ac:dyDescent="0.25">
      <c r="A443" s="265"/>
      <c r="B443" s="270" t="s">
        <v>616</v>
      </c>
      <c r="C443" s="267"/>
      <c r="D443" s="265"/>
      <c r="E443" s="304"/>
      <c r="F443" s="268"/>
    </row>
    <row r="444" spans="1:6" s="269" customFormat="1" x14ac:dyDescent="0.25">
      <c r="A444" s="265" t="s">
        <v>6</v>
      </c>
      <c r="B444" s="233" t="s">
        <v>24</v>
      </c>
      <c r="C444" s="262">
        <f>C412</f>
        <v>210</v>
      </c>
      <c r="D444" s="265" t="s">
        <v>35</v>
      </c>
      <c r="E444" s="304">
        <v>1400</v>
      </c>
      <c r="F444" s="268">
        <f>E444*C444</f>
        <v>294000</v>
      </c>
    </row>
    <row r="445" spans="1:6" s="269" customFormat="1" x14ac:dyDescent="0.25">
      <c r="A445" s="265"/>
      <c r="B445" s="233"/>
      <c r="C445" s="262"/>
      <c r="D445" s="265"/>
      <c r="E445" s="304"/>
      <c r="F445" s="268"/>
    </row>
    <row r="446" spans="1:6" s="269" customFormat="1" ht="24" customHeight="1" x14ac:dyDescent="0.25">
      <c r="A446" s="265" t="s">
        <v>7</v>
      </c>
      <c r="B446" s="214" t="s">
        <v>1004</v>
      </c>
      <c r="C446" s="262">
        <v>76</v>
      </c>
      <c r="D446" s="265" t="s">
        <v>22</v>
      </c>
      <c r="E446" s="304">
        <v>590</v>
      </c>
      <c r="F446" s="268">
        <f>E446*C446</f>
        <v>44840</v>
      </c>
    </row>
    <row r="447" spans="1:6" x14ac:dyDescent="0.25">
      <c r="B447" s="211" t="s">
        <v>592</v>
      </c>
    </row>
    <row r="449" spans="1:6" ht="30" x14ac:dyDescent="0.25">
      <c r="B449" s="224" t="s">
        <v>681</v>
      </c>
    </row>
    <row r="451" spans="1:6" x14ac:dyDescent="0.25">
      <c r="A451" s="206" t="s">
        <v>8</v>
      </c>
      <c r="B451" s="233" t="s">
        <v>24</v>
      </c>
      <c r="C451" s="205">
        <f>C444</f>
        <v>210</v>
      </c>
      <c r="D451" s="206" t="s">
        <v>35</v>
      </c>
      <c r="E451" s="304">
        <v>2200</v>
      </c>
      <c r="F451" s="289">
        <f>C451*E451</f>
        <v>462000</v>
      </c>
    </row>
    <row r="452" spans="1:6" x14ac:dyDescent="0.25">
      <c r="B452" s="233"/>
      <c r="F452" s="289"/>
    </row>
    <row r="453" spans="1:6" x14ac:dyDescent="0.25">
      <c r="A453" s="206" t="s">
        <v>9</v>
      </c>
      <c r="B453" s="214" t="s">
        <v>1004</v>
      </c>
      <c r="C453" s="205">
        <f>C446</f>
        <v>76</v>
      </c>
      <c r="D453" s="206" t="s">
        <v>35</v>
      </c>
      <c r="E453" s="304">
        <f>E451</f>
        <v>2200</v>
      </c>
      <c r="F453" s="289">
        <f>C453*E453</f>
        <v>167200</v>
      </c>
    </row>
    <row r="454" spans="1:6" x14ac:dyDescent="0.25">
      <c r="F454" s="289"/>
    </row>
    <row r="455" spans="1:6" x14ac:dyDescent="0.25">
      <c r="B455" s="220" t="s">
        <v>520</v>
      </c>
      <c r="C455" s="221"/>
      <c r="D455" s="209"/>
      <c r="E455" s="303" t="s">
        <v>15</v>
      </c>
      <c r="F455" s="286">
        <f>SUM(F432:F454)</f>
        <v>1230740</v>
      </c>
    </row>
    <row r="456" spans="1:6" x14ac:dyDescent="0.25">
      <c r="B456" s="220"/>
      <c r="C456" s="221"/>
      <c r="D456" s="209"/>
      <c r="E456" s="303"/>
      <c r="F456" s="286"/>
    </row>
    <row r="457" spans="1:6" x14ac:dyDescent="0.25">
      <c r="B457" s="220"/>
      <c r="C457" s="221"/>
      <c r="D457" s="209"/>
      <c r="E457" s="303"/>
      <c r="F457" s="286"/>
    </row>
    <row r="458" spans="1:6" x14ac:dyDescent="0.25">
      <c r="B458" s="210" t="s">
        <v>531</v>
      </c>
      <c r="F458" s="230"/>
    </row>
    <row r="459" spans="1:6" x14ac:dyDescent="0.25">
      <c r="B459" s="219"/>
      <c r="F459" s="230"/>
    </row>
    <row r="460" spans="1:6" x14ac:dyDescent="0.25">
      <c r="B460" s="231" t="s">
        <v>457</v>
      </c>
      <c r="E460" s="304">
        <f>F383</f>
        <v>22692350</v>
      </c>
      <c r="F460" s="230"/>
    </row>
    <row r="461" spans="1:6" x14ac:dyDescent="0.25">
      <c r="B461" s="231"/>
      <c r="F461" s="230"/>
    </row>
    <row r="462" spans="1:6" x14ac:dyDescent="0.25">
      <c r="B462" s="231" t="s">
        <v>458</v>
      </c>
      <c r="E462" s="304">
        <f>F428</f>
        <v>18952100</v>
      </c>
      <c r="F462" s="230"/>
    </row>
    <row r="463" spans="1:6" x14ac:dyDescent="0.25">
      <c r="B463" s="231"/>
    </row>
    <row r="464" spans="1:6" x14ac:dyDescent="0.25">
      <c r="B464" s="231" t="s">
        <v>459</v>
      </c>
      <c r="E464" s="304">
        <f>F455</f>
        <v>1230740</v>
      </c>
    </row>
    <row r="465" spans="1:6" x14ac:dyDescent="0.25">
      <c r="B465" s="233"/>
    </row>
    <row r="466" spans="1:6" x14ac:dyDescent="0.25">
      <c r="B466" s="233"/>
    </row>
    <row r="467" spans="1:6" x14ac:dyDescent="0.25">
      <c r="B467" s="233"/>
    </row>
    <row r="468" spans="1:6" x14ac:dyDescent="0.25">
      <c r="B468" s="233"/>
    </row>
    <row r="469" spans="1:6" x14ac:dyDescent="0.25">
      <c r="B469" s="233"/>
    </row>
    <row r="470" spans="1:6" x14ac:dyDescent="0.25">
      <c r="B470" s="233"/>
    </row>
    <row r="471" spans="1:6" x14ac:dyDescent="0.25">
      <c r="B471" s="210" t="s">
        <v>163</v>
      </c>
      <c r="F471" s="230"/>
    </row>
    <row r="472" spans="1:6" x14ac:dyDescent="0.25">
      <c r="B472" s="220" t="s">
        <v>534</v>
      </c>
      <c r="C472" s="221"/>
      <c r="D472" s="209"/>
      <c r="E472" s="303" t="s">
        <v>15</v>
      </c>
      <c r="F472" s="286">
        <f>SUM(E458:E465)</f>
        <v>42875190</v>
      </c>
    </row>
    <row r="473" spans="1:6" x14ac:dyDescent="0.25">
      <c r="A473" s="209" t="s">
        <v>796</v>
      </c>
      <c r="B473" s="209"/>
      <c r="C473" s="221" t="s">
        <v>773</v>
      </c>
      <c r="D473" s="209" t="s">
        <v>765</v>
      </c>
      <c r="E473" s="303" t="s">
        <v>914</v>
      </c>
      <c r="F473" s="273" t="s">
        <v>768</v>
      </c>
    </row>
    <row r="474" spans="1:6" x14ac:dyDescent="0.25">
      <c r="B474" s="204" t="s">
        <v>593</v>
      </c>
      <c r="F474" s="230"/>
    </row>
    <row r="475" spans="1:6" x14ac:dyDescent="0.25">
      <c r="F475" s="230"/>
    </row>
    <row r="476" spans="1:6" x14ac:dyDescent="0.25">
      <c r="B476" s="210" t="s">
        <v>195</v>
      </c>
      <c r="F476" s="230"/>
    </row>
    <row r="477" spans="1:6" x14ac:dyDescent="0.25">
      <c r="B477" s="210"/>
      <c r="F477" s="230"/>
    </row>
    <row r="478" spans="1:6" x14ac:dyDescent="0.25">
      <c r="B478" s="211" t="s">
        <v>84</v>
      </c>
      <c r="C478" s="221"/>
      <c r="D478" s="209"/>
      <c r="E478" s="303"/>
      <c r="F478" s="286"/>
    </row>
    <row r="479" spans="1:6" x14ac:dyDescent="0.25">
      <c r="B479" s="226"/>
      <c r="C479" s="221"/>
      <c r="D479" s="209"/>
      <c r="E479" s="303"/>
      <c r="F479" s="286"/>
    </row>
    <row r="480" spans="1:6" ht="30" x14ac:dyDescent="0.25">
      <c r="B480" s="224" t="s">
        <v>594</v>
      </c>
      <c r="C480" s="221"/>
      <c r="D480" s="209"/>
      <c r="E480" s="303"/>
      <c r="F480" s="286"/>
    </row>
    <row r="481" spans="1:6" x14ac:dyDescent="0.25">
      <c r="B481" s="224"/>
      <c r="C481" s="221"/>
      <c r="D481" s="209"/>
      <c r="E481" s="303"/>
      <c r="F481" s="286"/>
    </row>
    <row r="482" spans="1:6" x14ac:dyDescent="0.25">
      <c r="A482" s="206" t="s">
        <v>2</v>
      </c>
      <c r="B482" s="214" t="s">
        <v>595</v>
      </c>
      <c r="C482" s="205">
        <v>1433</v>
      </c>
      <c r="D482" s="206" t="s">
        <v>511</v>
      </c>
      <c r="E482" s="304">
        <v>10300</v>
      </c>
      <c r="F482" s="289">
        <f>C482*E482</f>
        <v>14759900</v>
      </c>
    </row>
    <row r="483" spans="1:6" x14ac:dyDescent="0.25">
      <c r="B483" s="210"/>
      <c r="F483" s="291"/>
    </row>
    <row r="484" spans="1:6" x14ac:dyDescent="0.25">
      <c r="A484" s="206" t="s">
        <v>4</v>
      </c>
      <c r="B484" s="214" t="s">
        <v>596</v>
      </c>
      <c r="D484" s="206" t="s">
        <v>511</v>
      </c>
      <c r="E484" s="304">
        <v>9500</v>
      </c>
      <c r="F484" s="289">
        <f>C484*E484</f>
        <v>0</v>
      </c>
    </row>
    <row r="485" spans="1:6" x14ac:dyDescent="0.25">
      <c r="C485" s="256"/>
      <c r="F485" s="257"/>
    </row>
    <row r="486" spans="1:6" ht="29.25" customHeight="1" x14ac:dyDescent="0.25">
      <c r="B486" s="228" t="s">
        <v>923</v>
      </c>
      <c r="C486" s="214"/>
      <c r="D486" s="389"/>
      <c r="E486" s="231"/>
    </row>
    <row r="487" spans="1:6" ht="29.25" customHeight="1" x14ac:dyDescent="0.25">
      <c r="A487" s="206" t="s">
        <v>5</v>
      </c>
      <c r="B487" s="215" t="s">
        <v>924</v>
      </c>
      <c r="C487" s="391">
        <f>11.2*3.45*3</f>
        <v>115.92</v>
      </c>
      <c r="D487" s="206" t="s">
        <v>511</v>
      </c>
      <c r="E487" s="639">
        <v>9500</v>
      </c>
      <c r="F487" s="207">
        <f>C487*E487</f>
        <v>1101240</v>
      </c>
    </row>
    <row r="488" spans="1:6" x14ac:dyDescent="0.25">
      <c r="B488" s="211" t="s">
        <v>98</v>
      </c>
      <c r="F488" s="230"/>
    </row>
    <row r="489" spans="1:6" x14ac:dyDescent="0.25">
      <c r="F489" s="230"/>
    </row>
    <row r="490" spans="1:6" ht="17.25" customHeight="1" x14ac:dyDescent="0.25">
      <c r="B490" s="219" t="s">
        <v>666</v>
      </c>
      <c r="F490" s="230"/>
    </row>
    <row r="491" spans="1:6" ht="14.25" customHeight="1" x14ac:dyDescent="0.25">
      <c r="B491" s="219"/>
      <c r="F491" s="230"/>
    </row>
    <row r="492" spans="1:6" x14ac:dyDescent="0.25">
      <c r="A492" s="206" t="s">
        <v>6</v>
      </c>
      <c r="B492" s="214" t="s">
        <v>597</v>
      </c>
      <c r="C492" s="205">
        <v>2</v>
      </c>
      <c r="D492" s="206" t="s">
        <v>513</v>
      </c>
      <c r="E492" s="304">
        <f>E123</f>
        <v>95000</v>
      </c>
      <c r="F492" s="230">
        <f>C492*E492</f>
        <v>190000</v>
      </c>
    </row>
    <row r="493" spans="1:6" x14ac:dyDescent="0.25">
      <c r="F493" s="230"/>
    </row>
    <row r="494" spans="1:6" x14ac:dyDescent="0.25">
      <c r="B494" s="211" t="s">
        <v>102</v>
      </c>
      <c r="F494" s="230"/>
    </row>
    <row r="495" spans="1:6" ht="14.25" customHeight="1" x14ac:dyDescent="0.25">
      <c r="B495" s="219"/>
      <c r="F495" s="230"/>
    </row>
    <row r="496" spans="1:6" x14ac:dyDescent="0.25">
      <c r="B496" s="219" t="s">
        <v>598</v>
      </c>
      <c r="F496" s="230"/>
    </row>
    <row r="497" spans="1:6" ht="12.75" customHeight="1" x14ac:dyDescent="0.25">
      <c r="F497" s="230"/>
    </row>
    <row r="498" spans="1:6" x14ac:dyDescent="0.25">
      <c r="A498" s="206" t="s">
        <v>6</v>
      </c>
      <c r="B498" s="214" t="s">
        <v>571</v>
      </c>
      <c r="C498" s="205">
        <v>96</v>
      </c>
      <c r="D498" s="206" t="s">
        <v>75</v>
      </c>
      <c r="E498" s="304">
        <f>E362</f>
        <v>1450</v>
      </c>
      <c r="F498" s="230">
        <f>C498*E498</f>
        <v>139200</v>
      </c>
    </row>
    <row r="499" spans="1:6" x14ac:dyDescent="0.25">
      <c r="F499" s="230"/>
    </row>
    <row r="500" spans="1:6" x14ac:dyDescent="0.25">
      <c r="A500" s="206" t="s">
        <v>7</v>
      </c>
      <c r="B500" s="214" t="s">
        <v>599</v>
      </c>
      <c r="C500" s="205">
        <v>51</v>
      </c>
      <c r="D500" s="206" t="s">
        <v>75</v>
      </c>
      <c r="E500" s="304">
        <f>E498</f>
        <v>1450</v>
      </c>
      <c r="F500" s="230">
        <f>C500*E500</f>
        <v>73950</v>
      </c>
    </row>
    <row r="501" spans="1:6" ht="14.25" customHeight="1" x14ac:dyDescent="0.25">
      <c r="F501" s="230"/>
    </row>
    <row r="502" spans="1:6" x14ac:dyDescent="0.25">
      <c r="B502" s="211" t="s">
        <v>67</v>
      </c>
      <c r="F502" s="230"/>
    </row>
    <row r="503" spans="1:6" ht="15" customHeight="1" x14ac:dyDescent="0.25">
      <c r="F503" s="230"/>
    </row>
    <row r="504" spans="1:6" x14ac:dyDescent="0.25">
      <c r="B504" s="219" t="s">
        <v>120</v>
      </c>
      <c r="F504" s="230"/>
    </row>
    <row r="505" spans="1:6" ht="9.75" customHeight="1" x14ac:dyDescent="0.25">
      <c r="F505" s="230"/>
    </row>
    <row r="506" spans="1:6" x14ac:dyDescent="0.25">
      <c r="A506" s="206" t="s">
        <v>8</v>
      </c>
      <c r="B506" s="214" t="s">
        <v>600</v>
      </c>
      <c r="C506" s="205">
        <v>19</v>
      </c>
      <c r="D506" s="206" t="s">
        <v>511</v>
      </c>
      <c r="E506" s="304">
        <f>E371</f>
        <v>8500</v>
      </c>
      <c r="F506" s="230">
        <f>C506*E506</f>
        <v>161500</v>
      </c>
    </row>
    <row r="507" spans="1:6" x14ac:dyDescent="0.25">
      <c r="B507" s="219"/>
      <c r="F507" s="227"/>
    </row>
    <row r="508" spans="1:6" x14ac:dyDescent="0.25">
      <c r="F508" s="261"/>
    </row>
    <row r="509" spans="1:6" x14ac:dyDescent="0.25">
      <c r="F509" s="227"/>
    </row>
    <row r="510" spans="1:6" x14ac:dyDescent="0.25">
      <c r="B510" s="219"/>
      <c r="F510" s="230"/>
    </row>
    <row r="511" spans="1:6" x14ac:dyDescent="0.25">
      <c r="B511" s="219"/>
      <c r="F511" s="230"/>
    </row>
    <row r="512" spans="1:6" x14ac:dyDescent="0.25">
      <c r="B512" s="224"/>
      <c r="F512" s="230"/>
    </row>
    <row r="513" spans="1:13" x14ac:dyDescent="0.25">
      <c r="F513" s="257"/>
    </row>
    <row r="514" spans="1:13" x14ac:dyDescent="0.25">
      <c r="F514" s="257"/>
    </row>
    <row r="515" spans="1:13" x14ac:dyDescent="0.25">
      <c r="B515" s="210" t="s">
        <v>195</v>
      </c>
      <c r="C515" s="221"/>
      <c r="D515" s="209"/>
      <c r="E515" s="303"/>
      <c r="F515" s="235"/>
    </row>
    <row r="516" spans="1:13" ht="18.75" customHeight="1" x14ac:dyDescent="0.25">
      <c r="B516" s="220" t="s">
        <v>534</v>
      </c>
      <c r="C516" s="221"/>
      <c r="D516" s="209"/>
      <c r="E516" s="303" t="s">
        <v>15</v>
      </c>
      <c r="F516" s="235">
        <f>SUM(F480:F515)</f>
        <v>16425790</v>
      </c>
    </row>
    <row r="517" spans="1:13" x14ac:dyDescent="0.25">
      <c r="A517" s="209" t="s">
        <v>796</v>
      </c>
      <c r="B517" s="209"/>
      <c r="C517" s="221" t="s">
        <v>773</v>
      </c>
      <c r="D517" s="209" t="s">
        <v>765</v>
      </c>
      <c r="E517" s="303" t="s">
        <v>914</v>
      </c>
      <c r="F517" s="273" t="s">
        <v>768</v>
      </c>
    </row>
    <row r="518" spans="1:13" x14ac:dyDescent="0.25">
      <c r="B518" s="210" t="s">
        <v>601</v>
      </c>
      <c r="F518" s="230"/>
    </row>
    <row r="519" spans="1:13" ht="8.25" customHeight="1" x14ac:dyDescent="0.25">
      <c r="B519" s="220"/>
      <c r="F519" s="230"/>
    </row>
    <row r="520" spans="1:13" x14ac:dyDescent="0.25">
      <c r="B520" s="210" t="s">
        <v>602</v>
      </c>
      <c r="F520" s="230"/>
    </row>
    <row r="521" spans="1:13" ht="10.5" customHeight="1" x14ac:dyDescent="0.25">
      <c r="F521" s="230"/>
    </row>
    <row r="522" spans="1:13" x14ac:dyDescent="0.25">
      <c r="B522" s="211" t="s">
        <v>203</v>
      </c>
      <c r="C522" s="221"/>
      <c r="D522" s="209"/>
      <c r="E522" s="303"/>
      <c r="F522" s="286"/>
    </row>
    <row r="523" spans="1:13" ht="9" customHeight="1" x14ac:dyDescent="0.25">
      <c r="B523" s="220"/>
      <c r="C523" s="221"/>
      <c r="D523" s="209"/>
      <c r="E523" s="303"/>
      <c r="F523" s="286"/>
    </row>
    <row r="524" spans="1:13" x14ac:dyDescent="0.25">
      <c r="B524" s="214" t="s">
        <v>603</v>
      </c>
      <c r="F524" s="230"/>
    </row>
    <row r="525" spans="1:13" ht="91.5" customHeight="1" x14ac:dyDescent="0.25">
      <c r="B525" s="218" t="s">
        <v>708</v>
      </c>
      <c r="G525" s="206"/>
      <c r="I525" s="214"/>
      <c r="J525" s="214"/>
      <c r="K525" s="214"/>
      <c r="L525" s="214"/>
      <c r="M525" s="214"/>
    </row>
    <row r="526" spans="1:13" ht="14.25" customHeight="1" x14ac:dyDescent="0.25">
      <c r="A526" s="206" t="s">
        <v>2</v>
      </c>
      <c r="B526" s="214" t="s">
        <v>992</v>
      </c>
      <c r="C526" s="205">
        <v>8</v>
      </c>
      <c r="D526" s="206" t="s">
        <v>3</v>
      </c>
      <c r="E526" s="304">
        <f>2.3*1.8*65000</f>
        <v>269100</v>
      </c>
      <c r="F526" s="230">
        <f>E526*C526</f>
        <v>2152800</v>
      </c>
      <c r="G526" s="214"/>
      <c r="H526" s="258"/>
      <c r="I526" s="259"/>
      <c r="J526" s="259"/>
      <c r="K526" s="214"/>
    </row>
    <row r="527" spans="1:13" x14ac:dyDescent="0.25">
      <c r="F527" s="230"/>
      <c r="G527" s="214"/>
      <c r="H527" s="258"/>
      <c r="I527" s="259"/>
      <c r="J527" s="259"/>
      <c r="K527" s="214"/>
    </row>
    <row r="528" spans="1:13" ht="14.25" customHeight="1" x14ac:dyDescent="0.25">
      <c r="A528" s="206" t="s">
        <v>4</v>
      </c>
      <c r="B528" s="214" t="s">
        <v>993</v>
      </c>
      <c r="C528" s="205">
        <v>37</v>
      </c>
      <c r="D528" s="206" t="s">
        <v>3</v>
      </c>
      <c r="E528" s="304">
        <f>1.5*1.8*65000</f>
        <v>175500</v>
      </c>
      <c r="F528" s="230">
        <f>E528*C528</f>
        <v>6493500</v>
      </c>
      <c r="G528" s="214"/>
      <c r="H528" s="258"/>
      <c r="I528" s="259"/>
      <c r="J528" s="259"/>
      <c r="K528" s="214"/>
    </row>
    <row r="529" spans="1:13" ht="14.25" customHeight="1" x14ac:dyDescent="0.25">
      <c r="F529" s="230"/>
      <c r="G529" s="214"/>
      <c r="H529" s="214"/>
      <c r="I529" s="259"/>
      <c r="J529" s="259"/>
      <c r="K529" s="214"/>
    </row>
    <row r="530" spans="1:13" ht="14.25" customHeight="1" x14ac:dyDescent="0.25">
      <c r="A530" s="206" t="s">
        <v>5</v>
      </c>
      <c r="B530" s="214" t="s">
        <v>994</v>
      </c>
      <c r="C530" s="205">
        <v>11</v>
      </c>
      <c r="D530" s="206" t="s">
        <v>3</v>
      </c>
      <c r="E530" s="304">
        <f>0.9*1.8*65000</f>
        <v>105300</v>
      </c>
      <c r="F530" s="230">
        <f>E530*C530</f>
        <v>1158300</v>
      </c>
      <c r="G530" s="214"/>
      <c r="H530" s="258"/>
      <c r="I530" s="259"/>
      <c r="J530" s="259"/>
      <c r="K530" s="214"/>
    </row>
    <row r="531" spans="1:13" ht="14.25" customHeight="1" x14ac:dyDescent="0.25">
      <c r="F531" s="230"/>
      <c r="G531" s="214"/>
      <c r="H531" s="214"/>
      <c r="I531" s="259"/>
      <c r="J531" s="259"/>
      <c r="K531" s="214"/>
    </row>
    <row r="532" spans="1:13" ht="22.5" customHeight="1" x14ac:dyDescent="0.25">
      <c r="A532" s="206" t="s">
        <v>6</v>
      </c>
      <c r="B532" s="214" t="s">
        <v>995</v>
      </c>
      <c r="C532" s="205">
        <v>16</v>
      </c>
      <c r="D532" s="206" t="s">
        <v>3</v>
      </c>
      <c r="E532" s="304">
        <f>6*1.8*65000</f>
        <v>702000</v>
      </c>
      <c r="F532" s="207">
        <f>E532*C532</f>
        <v>11232000</v>
      </c>
    </row>
    <row r="533" spans="1:13" ht="11.45" customHeight="1" x14ac:dyDescent="0.25">
      <c r="F533" s="230"/>
      <c r="H533" s="223"/>
    </row>
    <row r="534" spans="1:13" ht="22.5" customHeight="1" x14ac:dyDescent="0.25">
      <c r="A534" s="206" t="s">
        <v>7</v>
      </c>
      <c r="B534" s="214" t="s">
        <v>996</v>
      </c>
      <c r="C534" s="205">
        <v>6</v>
      </c>
      <c r="D534" s="206" t="s">
        <v>3</v>
      </c>
      <c r="E534" s="304">
        <f>0.53*1.8*65000</f>
        <v>62010.000000000007</v>
      </c>
      <c r="F534" s="207">
        <f>E534*C534</f>
        <v>372060.00000000006</v>
      </c>
    </row>
    <row r="535" spans="1:13" ht="11.45" customHeight="1" x14ac:dyDescent="0.25">
      <c r="F535" s="230"/>
      <c r="H535" s="223"/>
    </row>
    <row r="536" spans="1:13" ht="22.5" customHeight="1" x14ac:dyDescent="0.25">
      <c r="A536" s="206" t="s">
        <v>8</v>
      </c>
      <c r="B536" s="214" t="s">
        <v>997</v>
      </c>
      <c r="C536" s="205">
        <v>8</v>
      </c>
      <c r="D536" s="206" t="s">
        <v>3</v>
      </c>
      <c r="E536" s="304">
        <f>0.9*1.2*65000</f>
        <v>70200</v>
      </c>
      <c r="F536" s="207">
        <f>E536*C536</f>
        <v>561600</v>
      </c>
    </row>
    <row r="537" spans="1:13" ht="22.5" customHeight="1" x14ac:dyDescent="0.25"/>
    <row r="538" spans="1:13" ht="22.5" customHeight="1" x14ac:dyDescent="0.25">
      <c r="A538" s="206" t="s">
        <v>9</v>
      </c>
      <c r="B538" s="214" t="s">
        <v>929</v>
      </c>
      <c r="C538" s="205">
        <v>24</v>
      </c>
      <c r="D538" s="206" t="s">
        <v>3</v>
      </c>
      <c r="E538" s="304">
        <f>0.6*1.2*65000</f>
        <v>46800</v>
      </c>
      <c r="F538" s="207">
        <f>E538*C538</f>
        <v>1123200</v>
      </c>
    </row>
    <row r="539" spans="1:13" ht="22.5" customHeight="1" x14ac:dyDescent="0.25"/>
    <row r="540" spans="1:13" x14ac:dyDescent="0.25">
      <c r="B540" s="234" t="s">
        <v>682</v>
      </c>
      <c r="G540" s="206"/>
      <c r="I540" s="214"/>
      <c r="J540" s="214"/>
      <c r="K540" s="214"/>
      <c r="L540" s="214"/>
      <c r="M540" s="214"/>
    </row>
    <row r="541" spans="1:13" ht="19.149999999999999" customHeight="1" x14ac:dyDescent="0.25">
      <c r="A541" s="206" t="s">
        <v>10</v>
      </c>
      <c r="B541" s="214" t="s">
        <v>992</v>
      </c>
      <c r="C541" s="205">
        <v>8</v>
      </c>
      <c r="D541" s="206" t="s">
        <v>3</v>
      </c>
      <c r="E541" s="304">
        <f>2.3*1.8*6500</f>
        <v>26909.999999999996</v>
      </c>
      <c r="F541" s="230">
        <f>E541*C541</f>
        <v>215279.99999999997</v>
      </c>
      <c r="G541" s="214"/>
      <c r="H541" s="258"/>
      <c r="I541" s="259"/>
      <c r="J541" s="259"/>
      <c r="K541" s="214"/>
    </row>
    <row r="542" spans="1:13" ht="14.25" customHeight="1" x14ac:dyDescent="0.25">
      <c r="F542" s="230"/>
      <c r="G542" s="214"/>
      <c r="H542" s="258"/>
      <c r="I542" s="259"/>
      <c r="J542" s="259"/>
      <c r="K542" s="214"/>
    </row>
    <row r="543" spans="1:13" ht="14.25" customHeight="1" x14ac:dyDescent="0.25">
      <c r="A543" s="206" t="s">
        <v>11</v>
      </c>
      <c r="B543" s="214" t="s">
        <v>993</v>
      </c>
      <c r="C543" s="205">
        <v>37</v>
      </c>
      <c r="D543" s="206" t="s">
        <v>3</v>
      </c>
      <c r="E543" s="304">
        <f>1.5*1.8*6500</f>
        <v>17550</v>
      </c>
      <c r="F543" s="230">
        <f>E543*C543</f>
        <v>649350</v>
      </c>
      <c r="G543" s="214"/>
      <c r="H543" s="258"/>
      <c r="I543" s="259"/>
      <c r="J543" s="259"/>
      <c r="K543" s="214"/>
    </row>
    <row r="544" spans="1:13" ht="14.25" customHeight="1" x14ac:dyDescent="0.25">
      <c r="F544" s="230"/>
      <c r="G544" s="214"/>
      <c r="H544" s="258"/>
      <c r="I544" s="259"/>
      <c r="J544" s="259"/>
      <c r="K544" s="214"/>
    </row>
    <row r="545" spans="1:11" ht="14.25" customHeight="1" x14ac:dyDescent="0.25">
      <c r="A545" s="206" t="s">
        <v>12</v>
      </c>
      <c r="B545" s="214" t="s">
        <v>994</v>
      </c>
      <c r="C545" s="205">
        <v>11</v>
      </c>
      <c r="D545" s="206" t="s">
        <v>3</v>
      </c>
      <c r="E545" s="304">
        <f>0.9*1.8*6500</f>
        <v>10530</v>
      </c>
      <c r="F545" s="230">
        <f>E545*C545</f>
        <v>115830</v>
      </c>
      <c r="G545" s="214"/>
      <c r="H545" s="258"/>
      <c r="I545" s="259"/>
      <c r="J545" s="259"/>
      <c r="K545" s="214"/>
    </row>
    <row r="546" spans="1:11" ht="10.9" customHeight="1" x14ac:dyDescent="0.25">
      <c r="F546" s="230"/>
      <c r="G546" s="214"/>
      <c r="H546" s="258"/>
      <c r="I546" s="259"/>
      <c r="J546" s="259"/>
      <c r="K546" s="214"/>
    </row>
    <row r="547" spans="1:11" ht="22.5" customHeight="1" x14ac:dyDescent="0.25">
      <c r="A547" s="206" t="s">
        <v>13</v>
      </c>
      <c r="B547" s="214" t="s">
        <v>995</v>
      </c>
      <c r="C547" s="205">
        <v>16</v>
      </c>
      <c r="D547" s="206" t="s">
        <v>3</v>
      </c>
      <c r="E547" s="304">
        <f>0.6*1.8*6500</f>
        <v>7020.0000000000009</v>
      </c>
      <c r="F547" s="207">
        <f>E547*C547</f>
        <v>112320.00000000001</v>
      </c>
    </row>
    <row r="548" spans="1:11" x14ac:dyDescent="0.25">
      <c r="F548" s="230"/>
      <c r="H548" s="223"/>
    </row>
    <row r="549" spans="1:11" x14ac:dyDescent="0.25">
      <c r="A549" s="206" t="s">
        <v>14</v>
      </c>
      <c r="B549" s="214" t="s">
        <v>996</v>
      </c>
      <c r="C549" s="205">
        <v>6</v>
      </c>
      <c r="D549" s="206" t="s">
        <v>3</v>
      </c>
      <c r="E549" s="304">
        <f>0.53*1.8*6500</f>
        <v>6201.0000000000009</v>
      </c>
      <c r="F549" s="207">
        <f>E549*C549</f>
        <v>37206.000000000007</v>
      </c>
      <c r="H549" s="223"/>
    </row>
    <row r="550" spans="1:11" x14ac:dyDescent="0.25">
      <c r="F550" s="230"/>
      <c r="H550" s="223"/>
    </row>
    <row r="551" spans="1:11" x14ac:dyDescent="0.25">
      <c r="A551" s="206" t="s">
        <v>15</v>
      </c>
      <c r="B551" s="214" t="s">
        <v>997</v>
      </c>
      <c r="C551" s="205">
        <v>8</v>
      </c>
      <c r="D551" s="206" t="s">
        <v>3</v>
      </c>
      <c r="E551" s="304">
        <f>0.9*1.2*6500</f>
        <v>7020.0000000000009</v>
      </c>
      <c r="F551" s="207">
        <f>E551*C551</f>
        <v>56160.000000000007</v>
      </c>
      <c r="H551" s="223"/>
    </row>
    <row r="552" spans="1:11" x14ac:dyDescent="0.25">
      <c r="F552" s="230"/>
      <c r="H552" s="223"/>
    </row>
    <row r="553" spans="1:11" x14ac:dyDescent="0.25">
      <c r="A553" s="206" t="s">
        <v>16</v>
      </c>
      <c r="B553" s="214" t="s">
        <v>929</v>
      </c>
      <c r="C553" s="205">
        <v>24</v>
      </c>
      <c r="D553" s="206" t="s">
        <v>3</v>
      </c>
      <c r="E553" s="304">
        <f>0.6*1.2*6500</f>
        <v>4680</v>
      </c>
      <c r="F553" s="207">
        <f>E553*C553</f>
        <v>112320</v>
      </c>
      <c r="H553" s="223"/>
    </row>
    <row r="554" spans="1:11" x14ac:dyDescent="0.25">
      <c r="F554" s="230"/>
      <c r="H554" s="223"/>
    </row>
    <row r="555" spans="1:11" x14ac:dyDescent="0.25">
      <c r="F555" s="230"/>
      <c r="H555" s="223"/>
    </row>
    <row r="556" spans="1:11" ht="30" x14ac:dyDescent="0.25">
      <c r="B556" s="224" t="s">
        <v>704</v>
      </c>
      <c r="F556" s="230"/>
      <c r="H556" s="223"/>
    </row>
    <row r="557" spans="1:11" x14ac:dyDescent="0.25">
      <c r="B557" s="224"/>
      <c r="F557" s="230"/>
      <c r="H557" s="223"/>
    </row>
    <row r="558" spans="1:11" x14ac:dyDescent="0.25">
      <c r="A558" s="206" t="s">
        <v>17</v>
      </c>
      <c r="B558" s="214" t="s">
        <v>998</v>
      </c>
      <c r="C558" s="205">
        <v>24</v>
      </c>
      <c r="D558" s="206" t="s">
        <v>3</v>
      </c>
      <c r="E558" s="306">
        <v>486000</v>
      </c>
      <c r="F558" s="207">
        <f>E558*C558</f>
        <v>11664000</v>
      </c>
    </row>
    <row r="559" spans="1:11" x14ac:dyDescent="0.25">
      <c r="E559" s="306"/>
    </row>
    <row r="560" spans="1:11" x14ac:dyDescent="0.25">
      <c r="A560" s="206" t="s">
        <v>13</v>
      </c>
      <c r="B560" s="214" t="s">
        <v>999</v>
      </c>
      <c r="C560" s="205">
        <v>24</v>
      </c>
      <c r="D560" s="206" t="s">
        <v>3</v>
      </c>
      <c r="E560" s="306">
        <v>365500</v>
      </c>
      <c r="F560" s="207">
        <f>E560*C560</f>
        <v>8772000</v>
      </c>
    </row>
    <row r="561" spans="1:6" ht="22.5" customHeight="1" x14ac:dyDescent="0.25">
      <c r="E561" s="306"/>
    </row>
    <row r="562" spans="1:6" ht="22.5" customHeight="1" x14ac:dyDescent="0.25">
      <c r="E562" s="306"/>
    </row>
    <row r="563" spans="1:6" x14ac:dyDescent="0.25">
      <c r="E563" s="306"/>
    </row>
    <row r="564" spans="1:6" x14ac:dyDescent="0.25">
      <c r="B564" s="210" t="s">
        <v>200</v>
      </c>
      <c r="F564" s="230"/>
    </row>
    <row r="565" spans="1:6" x14ac:dyDescent="0.25">
      <c r="B565" s="220" t="s">
        <v>534</v>
      </c>
      <c r="C565" s="221"/>
      <c r="D565" s="209"/>
      <c r="E565" s="303" t="s">
        <v>15</v>
      </c>
      <c r="F565" s="235">
        <f>SUM(F522:F564)</f>
        <v>44827926</v>
      </c>
    </row>
    <row r="566" spans="1:6" x14ac:dyDescent="0.25">
      <c r="A566" s="209" t="s">
        <v>796</v>
      </c>
      <c r="B566" s="209"/>
      <c r="C566" s="221" t="s">
        <v>773</v>
      </c>
      <c r="D566" s="209" t="s">
        <v>765</v>
      </c>
      <c r="E566" s="303" t="s">
        <v>914</v>
      </c>
      <c r="F566" s="273" t="s">
        <v>768</v>
      </c>
    </row>
    <row r="567" spans="1:6" x14ac:dyDescent="0.25">
      <c r="B567" s="204" t="s">
        <v>604</v>
      </c>
      <c r="F567" s="230"/>
    </row>
    <row r="568" spans="1:6" x14ac:dyDescent="0.25">
      <c r="F568" s="230"/>
    </row>
    <row r="569" spans="1:6" x14ac:dyDescent="0.25">
      <c r="B569" s="210" t="s">
        <v>210</v>
      </c>
      <c r="F569" s="230"/>
    </row>
    <row r="570" spans="1:6" ht="21" customHeight="1" x14ac:dyDescent="0.25">
      <c r="B570" s="210"/>
      <c r="F570" s="230"/>
    </row>
    <row r="571" spans="1:6" x14ac:dyDescent="0.25">
      <c r="B571" s="211" t="s">
        <v>84</v>
      </c>
      <c r="C571" s="221"/>
      <c r="D571" s="209"/>
      <c r="E571" s="303"/>
      <c r="F571" s="286"/>
    </row>
    <row r="572" spans="1:6" x14ac:dyDescent="0.25">
      <c r="B572" s="226"/>
      <c r="C572" s="221"/>
      <c r="D572" s="209"/>
      <c r="E572" s="303"/>
      <c r="F572" s="286"/>
    </row>
    <row r="573" spans="1:6" ht="30" x14ac:dyDescent="0.25">
      <c r="B573" s="224" t="s">
        <v>594</v>
      </c>
      <c r="C573" s="221"/>
      <c r="D573" s="209"/>
      <c r="E573" s="303"/>
      <c r="F573" s="286"/>
    </row>
    <row r="574" spans="1:6" x14ac:dyDescent="0.25">
      <c r="B574" s="224"/>
      <c r="C574" s="221"/>
      <c r="D574" s="209"/>
      <c r="E574" s="303"/>
      <c r="F574" s="286"/>
    </row>
    <row r="575" spans="1:6" x14ac:dyDescent="0.25">
      <c r="A575" s="206" t="s">
        <v>2</v>
      </c>
      <c r="B575" s="214" t="s">
        <v>595</v>
      </c>
      <c r="C575" s="205">
        <f>735+340.4</f>
        <v>1075.4000000000001</v>
      </c>
      <c r="D575" s="206" t="s">
        <v>511</v>
      </c>
      <c r="E575" s="304">
        <f>E482</f>
        <v>10300</v>
      </c>
      <c r="F575" s="289">
        <f>C575*E575</f>
        <v>11076620.000000002</v>
      </c>
    </row>
    <row r="576" spans="1:6" x14ac:dyDescent="0.25">
      <c r="B576" s="210"/>
      <c r="F576" s="291"/>
    </row>
    <row r="577" spans="1:6" x14ac:dyDescent="0.25">
      <c r="A577" s="206" t="s">
        <v>4</v>
      </c>
      <c r="B577" s="214" t="s">
        <v>596</v>
      </c>
      <c r="C577" s="205">
        <v>768</v>
      </c>
      <c r="D577" s="206" t="s">
        <v>511</v>
      </c>
      <c r="E577" s="304">
        <f>E484</f>
        <v>9500</v>
      </c>
      <c r="F577" s="289">
        <f>C577*E577</f>
        <v>7296000</v>
      </c>
    </row>
    <row r="578" spans="1:6" x14ac:dyDescent="0.25">
      <c r="C578" s="256"/>
      <c r="F578" s="257"/>
    </row>
    <row r="579" spans="1:6" x14ac:dyDescent="0.25">
      <c r="B579" s="211" t="s">
        <v>98</v>
      </c>
      <c r="F579" s="230"/>
    </row>
    <row r="580" spans="1:6" x14ac:dyDescent="0.25">
      <c r="F580" s="230"/>
    </row>
    <row r="581" spans="1:6" x14ac:dyDescent="0.25">
      <c r="B581" s="219" t="s">
        <v>666</v>
      </c>
      <c r="F581" s="230"/>
    </row>
    <row r="582" spans="1:6" x14ac:dyDescent="0.25">
      <c r="F582" s="230"/>
    </row>
    <row r="583" spans="1:6" x14ac:dyDescent="0.25">
      <c r="A583" s="206" t="s">
        <v>5</v>
      </c>
      <c r="B583" s="214" t="s">
        <v>597</v>
      </c>
      <c r="C583" s="205">
        <v>3</v>
      </c>
      <c r="D583" s="206" t="s">
        <v>513</v>
      </c>
      <c r="E583" s="304">
        <f>E492</f>
        <v>95000</v>
      </c>
      <c r="F583" s="230">
        <f>C583*E583</f>
        <v>285000</v>
      </c>
    </row>
    <row r="584" spans="1:6" x14ac:dyDescent="0.25">
      <c r="F584" s="230"/>
    </row>
    <row r="585" spans="1:6" x14ac:dyDescent="0.25">
      <c r="B585" s="211" t="s">
        <v>102</v>
      </c>
      <c r="F585" s="230"/>
    </row>
    <row r="586" spans="1:6" x14ac:dyDescent="0.25">
      <c r="B586" s="219"/>
      <c r="F586" s="230"/>
    </row>
    <row r="587" spans="1:6" x14ac:dyDescent="0.25">
      <c r="B587" s="219" t="s">
        <v>598</v>
      </c>
      <c r="F587" s="230"/>
    </row>
    <row r="588" spans="1:6" x14ac:dyDescent="0.25">
      <c r="F588" s="230"/>
    </row>
    <row r="589" spans="1:6" x14ac:dyDescent="0.25">
      <c r="A589" s="206" t="s">
        <v>6</v>
      </c>
      <c r="B589" s="214" t="s">
        <v>571</v>
      </c>
      <c r="C589" s="205">
        <v>191</v>
      </c>
      <c r="D589" s="206" t="s">
        <v>75</v>
      </c>
      <c r="E589" s="304">
        <f>E498</f>
        <v>1450</v>
      </c>
      <c r="F589" s="230">
        <f>C589*E589</f>
        <v>276950</v>
      </c>
    </row>
    <row r="590" spans="1:6" x14ac:dyDescent="0.25">
      <c r="F590" s="230"/>
    </row>
    <row r="591" spans="1:6" x14ac:dyDescent="0.25">
      <c r="A591" s="206" t="s">
        <v>7</v>
      </c>
      <c r="B591" s="214" t="s">
        <v>599</v>
      </c>
      <c r="C591" s="205">
        <v>99</v>
      </c>
      <c r="D591" s="206" t="s">
        <v>75</v>
      </c>
      <c r="E591" s="304">
        <f>E589</f>
        <v>1450</v>
      </c>
      <c r="F591" s="230">
        <f>C591*E591</f>
        <v>143550</v>
      </c>
    </row>
    <row r="592" spans="1:6" x14ac:dyDescent="0.25">
      <c r="F592" s="230"/>
    </row>
    <row r="593" spans="1:6" x14ac:dyDescent="0.25">
      <c r="B593" s="211" t="s">
        <v>67</v>
      </c>
      <c r="F593" s="230"/>
    </row>
    <row r="594" spans="1:6" x14ac:dyDescent="0.25">
      <c r="F594" s="230"/>
    </row>
    <row r="595" spans="1:6" x14ac:dyDescent="0.25">
      <c r="B595" s="219" t="s">
        <v>120</v>
      </c>
      <c r="F595" s="230"/>
    </row>
    <row r="596" spans="1:6" x14ac:dyDescent="0.25">
      <c r="F596" s="230"/>
    </row>
    <row r="597" spans="1:6" x14ac:dyDescent="0.25">
      <c r="A597" s="206" t="s">
        <v>8</v>
      </c>
      <c r="B597" s="214" t="s">
        <v>600</v>
      </c>
      <c r="C597" s="205">
        <v>35</v>
      </c>
      <c r="D597" s="206" t="s">
        <v>511</v>
      </c>
      <c r="E597" s="304">
        <f>E506</f>
        <v>8500</v>
      </c>
      <c r="F597" s="230">
        <f>C597*E597</f>
        <v>297500</v>
      </c>
    </row>
    <row r="598" spans="1:6" x14ac:dyDescent="0.25">
      <c r="B598" s="219"/>
      <c r="F598" s="227"/>
    </row>
    <row r="599" spans="1:6" x14ac:dyDescent="0.25">
      <c r="F599" s="227"/>
    </row>
    <row r="600" spans="1:6" x14ac:dyDescent="0.25">
      <c r="F600" s="227"/>
    </row>
    <row r="601" spans="1:6" x14ac:dyDescent="0.25">
      <c r="F601" s="227"/>
    </row>
    <row r="602" spans="1:6" x14ac:dyDescent="0.25">
      <c r="B602" s="219"/>
      <c r="F602" s="230"/>
    </row>
    <row r="603" spans="1:6" x14ac:dyDescent="0.25">
      <c r="B603" s="219"/>
      <c r="F603" s="230"/>
    </row>
    <row r="604" spans="1:6" x14ac:dyDescent="0.25">
      <c r="B604" s="224"/>
      <c r="F604" s="230"/>
    </row>
    <row r="605" spans="1:6" x14ac:dyDescent="0.25">
      <c r="B605" s="224"/>
      <c r="F605" s="257"/>
    </row>
    <row r="606" spans="1:6" x14ac:dyDescent="0.25">
      <c r="B606" s="224"/>
      <c r="F606" s="257"/>
    </row>
    <row r="607" spans="1:6" x14ac:dyDescent="0.25">
      <c r="B607" s="224"/>
      <c r="F607" s="257"/>
    </row>
    <row r="608" spans="1:6" x14ac:dyDescent="0.25">
      <c r="B608" s="224"/>
      <c r="F608" s="257"/>
    </row>
    <row r="609" spans="1:6" x14ac:dyDescent="0.25">
      <c r="B609" s="210" t="s">
        <v>210</v>
      </c>
      <c r="C609" s="221"/>
      <c r="D609" s="209"/>
      <c r="E609" s="303"/>
      <c r="F609" s="235"/>
    </row>
    <row r="610" spans="1:6" x14ac:dyDescent="0.25">
      <c r="B610" s="220" t="s">
        <v>534</v>
      </c>
      <c r="C610" s="221"/>
      <c r="D610" s="209"/>
      <c r="E610" s="303" t="s">
        <v>15</v>
      </c>
      <c r="F610" s="235">
        <f>SUM(F571:F609)</f>
        <v>19375620</v>
      </c>
    </row>
    <row r="611" spans="1:6" x14ac:dyDescent="0.25">
      <c r="A611" s="209" t="s">
        <v>796</v>
      </c>
      <c r="B611" s="209"/>
      <c r="C611" s="221" t="s">
        <v>773</v>
      </c>
      <c r="D611" s="209" t="s">
        <v>765</v>
      </c>
      <c r="E611" s="303" t="s">
        <v>914</v>
      </c>
      <c r="F611" s="273" t="s">
        <v>768</v>
      </c>
    </row>
    <row r="612" spans="1:6" x14ac:dyDescent="0.25">
      <c r="B612" s="210" t="s">
        <v>605</v>
      </c>
      <c r="F612" s="230"/>
    </row>
    <row r="613" spans="1:6" x14ac:dyDescent="0.25">
      <c r="B613" s="220"/>
      <c r="F613" s="230"/>
    </row>
    <row r="614" spans="1:6" x14ac:dyDescent="0.25">
      <c r="B614" s="210" t="s">
        <v>213</v>
      </c>
      <c r="F614" s="230"/>
    </row>
    <row r="615" spans="1:6" x14ac:dyDescent="0.25">
      <c r="F615" s="230"/>
    </row>
    <row r="616" spans="1:6" x14ac:dyDescent="0.25">
      <c r="B616" s="210" t="s">
        <v>606</v>
      </c>
      <c r="F616" s="230"/>
    </row>
    <row r="617" spans="1:6" x14ac:dyDescent="0.25">
      <c r="F617" s="230"/>
    </row>
    <row r="618" spans="1:6" ht="63" customHeight="1" x14ac:dyDescent="0.25">
      <c r="B618" s="224" t="s">
        <v>683</v>
      </c>
      <c r="F618" s="230"/>
    </row>
    <row r="619" spans="1:6" x14ac:dyDescent="0.25">
      <c r="F619" s="289"/>
    </row>
    <row r="620" spans="1:6" ht="22.5" customHeight="1" x14ac:dyDescent="0.25">
      <c r="A620" s="206" t="s">
        <v>2</v>
      </c>
      <c r="B620" s="214" t="s">
        <v>930</v>
      </c>
      <c r="C620" s="205">
        <v>58</v>
      </c>
      <c r="D620" s="206" t="s">
        <v>3</v>
      </c>
      <c r="E620" s="306">
        <f>0.9*2.1*90000</f>
        <v>170100</v>
      </c>
      <c r="F620" s="207">
        <f>E620*C620</f>
        <v>9865800</v>
      </c>
    </row>
    <row r="621" spans="1:6" x14ac:dyDescent="0.25">
      <c r="B621" s="210"/>
    </row>
    <row r="622" spans="1:6" x14ac:dyDescent="0.25">
      <c r="A622" s="206" t="s">
        <v>4</v>
      </c>
      <c r="B622" s="214" t="s">
        <v>893</v>
      </c>
      <c r="C622" s="205">
        <v>40</v>
      </c>
      <c r="D622" s="206" t="s">
        <v>3</v>
      </c>
      <c r="E622" s="306">
        <f>0.8*2.1*90000</f>
        <v>151200</v>
      </c>
      <c r="F622" s="207">
        <f>E622*C622</f>
        <v>6048000</v>
      </c>
    </row>
    <row r="623" spans="1:6" x14ac:dyDescent="0.25">
      <c r="B623" s="210"/>
      <c r="E623" s="306"/>
      <c r="F623" s="230"/>
    </row>
    <row r="624" spans="1:6" x14ac:dyDescent="0.25">
      <c r="E624" s="306"/>
    </row>
    <row r="625" spans="5:5" x14ac:dyDescent="0.25">
      <c r="E625" s="306"/>
    </row>
    <row r="626" spans="5:5" x14ac:dyDescent="0.25">
      <c r="E626" s="306"/>
    </row>
    <row r="627" spans="5:5" x14ac:dyDescent="0.25">
      <c r="E627" s="306"/>
    </row>
    <row r="628" spans="5:5" x14ac:dyDescent="0.25">
      <c r="E628" s="306"/>
    </row>
    <row r="629" spans="5:5" x14ac:dyDescent="0.25">
      <c r="E629" s="306"/>
    </row>
    <row r="630" spans="5:5" x14ac:dyDescent="0.25">
      <c r="E630" s="306"/>
    </row>
    <row r="631" spans="5:5" x14ac:dyDescent="0.25">
      <c r="E631" s="306"/>
    </row>
    <row r="632" spans="5:5" x14ac:dyDescent="0.25">
      <c r="E632" s="306"/>
    </row>
    <row r="633" spans="5:5" x14ac:dyDescent="0.25">
      <c r="E633" s="306"/>
    </row>
    <row r="634" spans="5:5" x14ac:dyDescent="0.25">
      <c r="E634" s="306"/>
    </row>
    <row r="635" spans="5:5" x14ac:dyDescent="0.25">
      <c r="E635" s="306"/>
    </row>
    <row r="636" spans="5:5" x14ac:dyDescent="0.25">
      <c r="E636" s="306"/>
    </row>
    <row r="637" spans="5:5" x14ac:dyDescent="0.25">
      <c r="E637" s="306"/>
    </row>
    <row r="638" spans="5:5" x14ac:dyDescent="0.25">
      <c r="E638" s="306"/>
    </row>
    <row r="639" spans="5:5" x14ac:dyDescent="0.25">
      <c r="E639" s="306"/>
    </row>
    <row r="640" spans="5:5" x14ac:dyDescent="0.25">
      <c r="E640" s="306"/>
    </row>
    <row r="641" spans="1:19" x14ac:dyDescent="0.25">
      <c r="E641" s="306"/>
    </row>
    <row r="642" spans="1:19" x14ac:dyDescent="0.25">
      <c r="E642" s="306"/>
    </row>
    <row r="643" spans="1:19" x14ac:dyDescent="0.25">
      <c r="B643" s="219"/>
      <c r="F643" s="230"/>
    </row>
    <row r="644" spans="1:19" x14ac:dyDescent="0.25">
      <c r="B644" s="219"/>
      <c r="F644" s="230"/>
    </row>
    <row r="645" spans="1:19" x14ac:dyDescent="0.25">
      <c r="B645" s="210" t="s">
        <v>607</v>
      </c>
      <c r="C645" s="221"/>
      <c r="D645" s="209"/>
      <c r="E645" s="303"/>
      <c r="F645" s="235"/>
    </row>
    <row r="646" spans="1:19" x14ac:dyDescent="0.25">
      <c r="B646" s="220" t="s">
        <v>534</v>
      </c>
      <c r="C646" s="221"/>
      <c r="D646" s="209"/>
      <c r="E646" s="303" t="s">
        <v>15</v>
      </c>
      <c r="F646" s="286">
        <f>SUM(F615:F645)</f>
        <v>15913800</v>
      </c>
    </row>
    <row r="647" spans="1:19" x14ac:dyDescent="0.25">
      <c r="A647" s="209" t="s">
        <v>796</v>
      </c>
      <c r="B647" s="209"/>
      <c r="C647" s="221" t="s">
        <v>773</v>
      </c>
      <c r="D647" s="209" t="s">
        <v>765</v>
      </c>
      <c r="E647" s="303" t="s">
        <v>914</v>
      </c>
      <c r="F647" s="273" t="s">
        <v>768</v>
      </c>
    </row>
    <row r="648" spans="1:19" s="497" customFormat="1" ht="16.5" customHeight="1" x14ac:dyDescent="0.3">
      <c r="A648" s="373"/>
      <c r="B648" s="374" t="s">
        <v>608</v>
      </c>
      <c r="C648" s="373"/>
      <c r="D648" s="373"/>
      <c r="E648" s="640"/>
      <c r="F648" s="376"/>
      <c r="G648" s="377"/>
      <c r="H648" s="377"/>
      <c r="I648" s="377"/>
      <c r="J648" s="377"/>
      <c r="K648" s="377"/>
      <c r="L648" s="377"/>
      <c r="M648" s="377"/>
      <c r="N648" s="377"/>
      <c r="O648" s="377"/>
      <c r="P648" s="377"/>
      <c r="Q648" s="377"/>
      <c r="R648" s="377"/>
      <c r="S648" s="377"/>
    </row>
    <row r="649" spans="1:19" s="497" customFormat="1" ht="12" customHeight="1" x14ac:dyDescent="0.3">
      <c r="A649" s="373"/>
      <c r="B649" s="374"/>
      <c r="C649" s="373"/>
      <c r="D649" s="373"/>
      <c r="E649" s="640"/>
      <c r="F649" s="376"/>
      <c r="G649" s="377"/>
      <c r="H649" s="377"/>
      <c r="I649" s="377"/>
      <c r="J649" s="377"/>
      <c r="K649" s="377"/>
      <c r="L649" s="377"/>
      <c r="M649" s="377"/>
      <c r="N649" s="377"/>
      <c r="O649" s="377"/>
      <c r="P649" s="377"/>
      <c r="Q649" s="377"/>
      <c r="R649" s="377"/>
      <c r="S649" s="377"/>
    </row>
    <row r="650" spans="1:19" s="497" customFormat="1" ht="16.5" customHeight="1" x14ac:dyDescent="0.3">
      <c r="A650" s="373"/>
      <c r="B650" s="374" t="s">
        <v>781</v>
      </c>
      <c r="C650" s="373"/>
      <c r="D650" s="373"/>
      <c r="E650" s="640"/>
      <c r="F650" s="376"/>
      <c r="G650" s="377"/>
      <c r="H650" s="377"/>
      <c r="I650" s="377"/>
      <c r="J650" s="377"/>
      <c r="K650" s="377"/>
      <c r="L650" s="377"/>
      <c r="M650" s="377"/>
      <c r="N650" s="377"/>
      <c r="O650" s="377"/>
      <c r="P650" s="377"/>
      <c r="Q650" s="377"/>
      <c r="R650" s="377"/>
      <c r="S650" s="377"/>
    </row>
    <row r="651" spans="1:19" s="497" customFormat="1" ht="12" customHeight="1" x14ac:dyDescent="0.3">
      <c r="A651" s="373"/>
      <c r="B651" s="374"/>
      <c r="C651" s="373"/>
      <c r="D651" s="373"/>
      <c r="E651" s="640"/>
      <c r="F651" s="376"/>
      <c r="G651" s="377"/>
      <c r="H651" s="377"/>
      <c r="I651" s="377"/>
      <c r="J651" s="377"/>
      <c r="K651" s="377"/>
      <c r="L651" s="377"/>
      <c r="M651" s="377"/>
      <c r="N651" s="377"/>
      <c r="O651" s="377"/>
      <c r="P651" s="377"/>
      <c r="Q651" s="377"/>
      <c r="R651" s="377"/>
      <c r="S651" s="377"/>
    </row>
    <row r="652" spans="1:19" s="497" customFormat="1" ht="16.5" customHeight="1" x14ac:dyDescent="0.3">
      <c r="A652" s="373"/>
      <c r="B652" s="378" t="s">
        <v>226</v>
      </c>
      <c r="C652" s="373"/>
      <c r="D652" s="373"/>
      <c r="E652" s="640"/>
      <c r="F652" s="376"/>
      <c r="G652" s="377"/>
      <c r="H652" s="377"/>
      <c r="I652" s="377"/>
      <c r="J652" s="377"/>
      <c r="K652" s="377"/>
      <c r="L652" s="377"/>
      <c r="M652" s="377"/>
      <c r="N652" s="377"/>
      <c r="O652" s="377"/>
      <c r="P652" s="377"/>
      <c r="Q652" s="377"/>
      <c r="R652" s="377"/>
      <c r="S652" s="377"/>
    </row>
    <row r="653" spans="1:19" s="497" customFormat="1" ht="12" customHeight="1" x14ac:dyDescent="0.3">
      <c r="A653" s="373"/>
      <c r="B653" s="379"/>
      <c r="C653" s="373"/>
      <c r="D653" s="373"/>
      <c r="E653" s="640"/>
      <c r="F653" s="376"/>
      <c r="G653" s="377"/>
      <c r="H653" s="377"/>
      <c r="I653" s="377"/>
      <c r="J653" s="377"/>
      <c r="K653" s="377"/>
      <c r="L653" s="377"/>
      <c r="M653" s="377"/>
      <c r="N653" s="377"/>
      <c r="O653" s="377"/>
      <c r="P653" s="377"/>
      <c r="Q653" s="377"/>
      <c r="R653" s="377"/>
      <c r="S653" s="377"/>
    </row>
    <row r="654" spans="1:19" s="497" customFormat="1" ht="30" x14ac:dyDescent="0.3">
      <c r="A654" s="516"/>
      <c r="B654" s="517" t="s">
        <v>782</v>
      </c>
      <c r="C654" s="516"/>
      <c r="D654" s="516"/>
      <c r="E654" s="649"/>
      <c r="F654" s="518"/>
      <c r="G654" s="518"/>
      <c r="H654" s="518"/>
      <c r="I654" s="518"/>
      <c r="J654" s="518"/>
      <c r="K654" s="518"/>
      <c r="L654" s="518"/>
      <c r="M654" s="518"/>
      <c r="N654" s="518"/>
      <c r="O654" s="518"/>
      <c r="P654" s="518"/>
      <c r="Q654" s="518"/>
      <c r="R654" s="518"/>
      <c r="S654" s="518"/>
    </row>
    <row r="655" spans="1:19" s="497" customFormat="1" x14ac:dyDescent="0.3">
      <c r="A655" s="516" t="s">
        <v>2</v>
      </c>
      <c r="B655" s="520" t="s">
        <v>1000</v>
      </c>
      <c r="C655" s="516"/>
      <c r="D655" s="516" t="s">
        <v>3</v>
      </c>
      <c r="E655" s="650">
        <f>2.4*200000</f>
        <v>480000</v>
      </c>
      <c r="F655" s="522">
        <f>E655*C655</f>
        <v>0</v>
      </c>
      <c r="G655" s="518"/>
      <c r="H655" s="518"/>
      <c r="I655" s="518"/>
      <c r="J655" s="518"/>
      <c r="K655" s="518"/>
      <c r="L655" s="518"/>
      <c r="M655" s="518"/>
      <c r="N655" s="518"/>
      <c r="O655" s="518"/>
      <c r="P655" s="518"/>
      <c r="Q655" s="518"/>
      <c r="R655" s="518"/>
      <c r="S655" s="518"/>
    </row>
    <row r="656" spans="1:19" s="497" customFormat="1" ht="21" customHeight="1" x14ac:dyDescent="0.3">
      <c r="A656" s="516"/>
      <c r="B656" s="520"/>
      <c r="C656" s="516"/>
      <c r="D656" s="516"/>
      <c r="E656" s="651"/>
      <c r="F656" s="522"/>
      <c r="G656" s="518"/>
      <c r="H656" s="518"/>
      <c r="I656" s="518"/>
      <c r="J656" s="518"/>
      <c r="K656" s="518"/>
      <c r="L656" s="518"/>
      <c r="M656" s="518"/>
      <c r="N656" s="518"/>
      <c r="O656" s="518"/>
      <c r="P656" s="518"/>
      <c r="Q656" s="518"/>
      <c r="R656" s="518"/>
      <c r="S656" s="518"/>
    </row>
    <row r="657" spans="1:19" s="497" customFormat="1" ht="17.25" customHeight="1" x14ac:dyDescent="0.35">
      <c r="A657" s="516"/>
      <c r="B657" s="523" t="s">
        <v>783</v>
      </c>
      <c r="C657" s="516"/>
      <c r="D657" s="516"/>
      <c r="E657" s="651"/>
      <c r="F657" s="522"/>
      <c r="G657" s="518"/>
      <c r="H657" s="518"/>
      <c r="I657" s="518"/>
      <c r="J657" s="518"/>
      <c r="K657" s="518"/>
      <c r="L657" s="518"/>
      <c r="M657" s="518"/>
      <c r="N657" s="518"/>
      <c r="O657" s="518"/>
      <c r="P657" s="518"/>
      <c r="Q657" s="518"/>
      <c r="R657" s="518"/>
      <c r="S657" s="518"/>
    </row>
    <row r="658" spans="1:19" s="497" customFormat="1" ht="30" x14ac:dyDescent="0.3">
      <c r="A658" s="516"/>
      <c r="B658" s="524" t="s">
        <v>784</v>
      </c>
      <c r="C658" s="516"/>
      <c r="D658" s="516"/>
      <c r="E658" s="651"/>
      <c r="F658" s="522"/>
      <c r="G658" s="518"/>
      <c r="H658" s="518"/>
      <c r="I658" s="518"/>
      <c r="J658" s="518"/>
      <c r="K658" s="518"/>
      <c r="L658" s="518"/>
      <c r="M658" s="518"/>
      <c r="N658" s="518"/>
      <c r="O658" s="518"/>
      <c r="P658" s="518"/>
      <c r="Q658" s="518"/>
      <c r="R658" s="518"/>
      <c r="S658" s="518"/>
    </row>
    <row r="659" spans="1:19" s="497" customFormat="1" x14ac:dyDescent="0.3">
      <c r="A659" s="525"/>
      <c r="B659" s="524"/>
      <c r="C659" s="525"/>
      <c r="D659" s="525"/>
      <c r="E659" s="643"/>
      <c r="F659" s="527"/>
      <c r="G659" s="528"/>
      <c r="H659" s="528"/>
      <c r="I659" s="528"/>
      <c r="J659" s="528"/>
      <c r="K659" s="528"/>
      <c r="L659" s="528"/>
      <c r="M659" s="528"/>
      <c r="N659" s="528"/>
      <c r="O659" s="528"/>
      <c r="P659" s="528"/>
      <c r="Q659" s="528"/>
      <c r="R659" s="528"/>
      <c r="S659" s="528"/>
    </row>
    <row r="660" spans="1:19" s="497" customFormat="1" ht="60" x14ac:dyDescent="0.3">
      <c r="A660" s="525" t="s">
        <v>4</v>
      </c>
      <c r="B660" s="524" t="s">
        <v>1001</v>
      </c>
      <c r="C660" s="525">
        <v>8</v>
      </c>
      <c r="D660" s="525" t="s">
        <v>3</v>
      </c>
      <c r="E660" s="643">
        <v>3200000</v>
      </c>
      <c r="F660" s="527">
        <f>E660*C660</f>
        <v>25600000</v>
      </c>
      <c r="G660" s="528"/>
      <c r="H660" s="528"/>
      <c r="I660" s="528"/>
      <c r="J660" s="528"/>
      <c r="K660" s="528"/>
      <c r="L660" s="528"/>
      <c r="M660" s="528"/>
      <c r="N660" s="528"/>
      <c r="O660" s="528"/>
      <c r="P660" s="528"/>
      <c r="Q660" s="528"/>
      <c r="R660" s="528"/>
      <c r="S660" s="528"/>
    </row>
    <row r="661" spans="1:19" s="497" customFormat="1" x14ac:dyDescent="0.3">
      <c r="A661" s="525"/>
      <c r="B661" s="524"/>
      <c r="C661" s="525"/>
      <c r="D661" s="525"/>
      <c r="E661" s="643"/>
      <c r="F661" s="527"/>
      <c r="G661" s="528"/>
      <c r="H661" s="528"/>
      <c r="I661" s="528"/>
      <c r="J661" s="528"/>
      <c r="K661" s="528"/>
      <c r="L661" s="528"/>
      <c r="M661" s="528"/>
      <c r="N661" s="528"/>
      <c r="O661" s="528"/>
      <c r="P661" s="528"/>
      <c r="Q661" s="528"/>
      <c r="R661" s="528"/>
      <c r="S661" s="528"/>
    </row>
    <row r="662" spans="1:19" s="497" customFormat="1" ht="17.25" customHeight="1" x14ac:dyDescent="0.35">
      <c r="A662" s="516"/>
      <c r="B662" s="523" t="s">
        <v>785</v>
      </c>
      <c r="C662" s="516"/>
      <c r="D662" s="516"/>
      <c r="E662" s="651"/>
      <c r="F662" s="522"/>
      <c r="G662" s="518"/>
      <c r="H662" s="518"/>
      <c r="I662" s="518"/>
      <c r="J662" s="518"/>
      <c r="K662" s="518"/>
      <c r="L662" s="518"/>
      <c r="M662" s="518"/>
      <c r="N662" s="518"/>
      <c r="O662" s="518"/>
      <c r="P662" s="518"/>
      <c r="Q662" s="518"/>
      <c r="R662" s="518"/>
      <c r="S662" s="518"/>
    </row>
    <row r="663" spans="1:19" s="497" customFormat="1" ht="33" customHeight="1" x14ac:dyDescent="0.3">
      <c r="A663" s="516"/>
      <c r="B663" s="529" t="s">
        <v>786</v>
      </c>
      <c r="C663" s="516"/>
      <c r="D663" s="516"/>
      <c r="E663" s="651"/>
      <c r="F663" s="522"/>
      <c r="G663" s="518"/>
      <c r="H663" s="518"/>
      <c r="I663" s="518"/>
      <c r="J663" s="518"/>
      <c r="K663" s="518"/>
      <c r="L663" s="518"/>
      <c r="M663" s="518"/>
      <c r="N663" s="518"/>
      <c r="O663" s="518"/>
      <c r="P663" s="518"/>
      <c r="Q663" s="518"/>
      <c r="R663" s="518"/>
      <c r="S663" s="518"/>
    </row>
    <row r="664" spans="1:19" s="497" customFormat="1" x14ac:dyDescent="0.3">
      <c r="A664" s="516" t="s">
        <v>5</v>
      </c>
      <c r="B664" s="529" t="s">
        <v>787</v>
      </c>
      <c r="C664" s="530">
        <v>44</v>
      </c>
      <c r="D664" s="516" t="s">
        <v>22</v>
      </c>
      <c r="E664" s="651">
        <v>58000</v>
      </c>
      <c r="F664" s="522">
        <f>E664*C664</f>
        <v>2552000</v>
      </c>
      <c r="G664" s="518"/>
      <c r="H664" s="518"/>
      <c r="I664" s="518"/>
      <c r="J664" s="518"/>
      <c r="K664" s="518"/>
      <c r="L664" s="518"/>
      <c r="M664" s="518"/>
      <c r="N664" s="518"/>
      <c r="O664" s="518"/>
      <c r="P664" s="518"/>
      <c r="Q664" s="518"/>
      <c r="R664" s="518"/>
      <c r="S664" s="518"/>
    </row>
    <row r="665" spans="1:19" s="497" customFormat="1" ht="16.5" customHeight="1" x14ac:dyDescent="0.3">
      <c r="A665" s="516" t="s">
        <v>6</v>
      </c>
      <c r="B665" s="518" t="s">
        <v>1002</v>
      </c>
      <c r="C665" s="516">
        <v>33</v>
      </c>
      <c r="D665" s="516" t="s">
        <v>22</v>
      </c>
      <c r="E665" s="651">
        <v>39000</v>
      </c>
      <c r="F665" s="522">
        <f>E665*C665</f>
        <v>1287000</v>
      </c>
      <c r="G665" s="518"/>
      <c r="H665" s="518"/>
      <c r="I665" s="518"/>
      <c r="J665" s="518"/>
      <c r="K665" s="518"/>
      <c r="L665" s="518"/>
      <c r="M665" s="518"/>
      <c r="N665" s="518"/>
      <c r="O665" s="518"/>
      <c r="P665" s="518"/>
      <c r="Q665" s="518"/>
      <c r="R665" s="518"/>
      <c r="S665" s="518"/>
    </row>
    <row r="666" spans="1:19" s="497" customFormat="1" ht="15" customHeight="1" x14ac:dyDescent="0.3">
      <c r="A666" s="516"/>
      <c r="B666" s="531"/>
      <c r="C666" s="516"/>
      <c r="D666" s="516"/>
      <c r="E666" s="651"/>
      <c r="F666" s="522"/>
      <c r="G666" s="518"/>
      <c r="H666" s="518"/>
      <c r="I666" s="518"/>
      <c r="J666" s="518"/>
      <c r="K666" s="518"/>
      <c r="L666" s="518"/>
      <c r="M666" s="518"/>
      <c r="N666" s="518"/>
      <c r="O666" s="518"/>
      <c r="P666" s="518"/>
      <c r="Q666" s="518"/>
      <c r="R666" s="518"/>
      <c r="S666" s="518"/>
    </row>
    <row r="667" spans="1:19" s="497" customFormat="1" ht="15" customHeight="1" x14ac:dyDescent="0.3">
      <c r="A667" s="516"/>
      <c r="B667" s="532" t="s">
        <v>795</v>
      </c>
      <c r="C667" s="516"/>
      <c r="D667" s="516"/>
      <c r="E667" s="651"/>
      <c r="F667" s="522"/>
      <c r="G667" s="518"/>
      <c r="H667" s="518"/>
      <c r="I667" s="518"/>
      <c r="J667" s="518"/>
      <c r="K667" s="518"/>
      <c r="L667" s="518"/>
      <c r="M667" s="518"/>
      <c r="N667" s="518"/>
      <c r="O667" s="518"/>
      <c r="P667" s="518"/>
      <c r="Q667" s="518"/>
      <c r="R667" s="518"/>
      <c r="S667" s="518"/>
    </row>
    <row r="668" spans="1:19" s="497" customFormat="1" ht="15" customHeight="1" x14ac:dyDescent="0.3">
      <c r="A668" s="516" t="s">
        <v>7</v>
      </c>
      <c r="B668" s="518" t="s">
        <v>794</v>
      </c>
      <c r="C668" s="516">
        <v>31</v>
      </c>
      <c r="D668" s="516" t="s">
        <v>35</v>
      </c>
      <c r="E668" s="651">
        <v>65000</v>
      </c>
      <c r="F668" s="522">
        <f>E668*C668</f>
        <v>2015000</v>
      </c>
      <c r="G668" s="518"/>
      <c r="H668" s="518"/>
      <c r="I668" s="518"/>
      <c r="J668" s="518"/>
      <c r="K668" s="518"/>
      <c r="L668" s="518"/>
      <c r="M668" s="518"/>
      <c r="N668" s="518"/>
      <c r="O668" s="518"/>
      <c r="P668" s="518"/>
      <c r="Q668" s="518"/>
      <c r="R668" s="518"/>
      <c r="S668" s="518"/>
    </row>
    <row r="669" spans="1:19" s="497" customFormat="1" ht="15" customHeight="1" x14ac:dyDescent="0.3">
      <c r="A669" s="516" t="s">
        <v>8</v>
      </c>
      <c r="B669" s="518" t="s">
        <v>931</v>
      </c>
      <c r="C669" s="516"/>
      <c r="D669" s="516" t="s">
        <v>35</v>
      </c>
      <c r="E669" s="651">
        <v>12000</v>
      </c>
      <c r="F669" s="522">
        <f>E669*C669</f>
        <v>0</v>
      </c>
      <c r="G669" s="518"/>
      <c r="H669" s="518"/>
      <c r="I669" s="518"/>
      <c r="J669" s="518"/>
      <c r="K669" s="518"/>
      <c r="L669" s="518"/>
      <c r="M669" s="518"/>
      <c r="N669" s="518"/>
      <c r="O669" s="518"/>
      <c r="P669" s="518"/>
      <c r="Q669" s="518"/>
      <c r="R669" s="518"/>
      <c r="S669" s="518"/>
    </row>
    <row r="670" spans="1:19" s="497" customFormat="1" ht="15" customHeight="1" x14ac:dyDescent="0.3">
      <c r="A670" s="516"/>
      <c r="B670" s="518"/>
      <c r="C670" s="516"/>
      <c r="D670" s="516"/>
      <c r="E670" s="651"/>
      <c r="F670" s="522"/>
      <c r="G670" s="518"/>
      <c r="H670" s="518"/>
      <c r="I670" s="518"/>
      <c r="J670" s="518"/>
      <c r="K670" s="518"/>
      <c r="L670" s="518"/>
      <c r="M670" s="518"/>
      <c r="N670" s="518"/>
      <c r="O670" s="518"/>
      <c r="P670" s="518"/>
      <c r="Q670" s="518"/>
      <c r="R670" s="518"/>
      <c r="S670" s="518"/>
    </row>
    <row r="671" spans="1:19" s="497" customFormat="1" ht="16.5" customHeight="1" x14ac:dyDescent="0.3">
      <c r="A671" s="373"/>
      <c r="B671" s="381" t="s">
        <v>788</v>
      </c>
      <c r="C671" s="377"/>
      <c r="D671" s="377"/>
      <c r="E671" s="644"/>
      <c r="F671" s="533"/>
      <c r="G671" s="377"/>
      <c r="H671" s="377"/>
      <c r="I671" s="377"/>
      <c r="J671" s="377"/>
      <c r="K671" s="377"/>
      <c r="L671" s="377"/>
      <c r="M671" s="377"/>
      <c r="N671" s="377"/>
      <c r="O671" s="377"/>
      <c r="P671" s="377"/>
      <c r="Q671" s="377"/>
      <c r="R671" s="377"/>
      <c r="S671" s="377"/>
    </row>
    <row r="672" spans="1:19" s="497" customFormat="1" ht="30" x14ac:dyDescent="0.3">
      <c r="A672" s="516"/>
      <c r="B672" s="529" t="s">
        <v>789</v>
      </c>
      <c r="C672" s="516"/>
      <c r="D672" s="516"/>
      <c r="E672" s="651"/>
      <c r="F672" s="533"/>
      <c r="G672" s="518"/>
      <c r="H672" s="518"/>
      <c r="I672" s="518"/>
      <c r="J672" s="518"/>
      <c r="K672" s="518"/>
      <c r="L672" s="518"/>
      <c r="M672" s="518"/>
      <c r="N672" s="518"/>
      <c r="O672" s="518"/>
      <c r="P672" s="518"/>
      <c r="Q672" s="518"/>
      <c r="R672" s="518"/>
      <c r="S672" s="518"/>
    </row>
    <row r="673" spans="1:19" s="497" customFormat="1" ht="16.5" customHeight="1" x14ac:dyDescent="0.3">
      <c r="A673" s="516"/>
      <c r="B673" s="529"/>
      <c r="C673" s="516"/>
      <c r="D673" s="516"/>
      <c r="E673" s="651"/>
      <c r="F673" s="533"/>
      <c r="G673" s="518"/>
      <c r="H673" s="518"/>
      <c r="I673" s="518"/>
      <c r="J673" s="518"/>
      <c r="K673" s="518"/>
      <c r="L673" s="518"/>
      <c r="M673" s="518"/>
      <c r="N673" s="518"/>
      <c r="O673" s="518"/>
      <c r="P673" s="518"/>
      <c r="Q673" s="518"/>
      <c r="R673" s="518"/>
      <c r="S673" s="518"/>
    </row>
    <row r="674" spans="1:19" s="497" customFormat="1" ht="16.5" customHeight="1" x14ac:dyDescent="0.3">
      <c r="A674" s="516" t="s">
        <v>9</v>
      </c>
      <c r="B674" s="379" t="s">
        <v>790</v>
      </c>
      <c r="C674" s="516"/>
      <c r="D674" s="373" t="s">
        <v>35</v>
      </c>
      <c r="E674" s="651">
        <v>6500</v>
      </c>
      <c r="F674" s="533">
        <f>E674*C674</f>
        <v>0</v>
      </c>
      <c r="G674" s="518"/>
      <c r="H674" s="518"/>
      <c r="I674" s="518"/>
      <c r="J674" s="518"/>
      <c r="K674" s="518"/>
      <c r="L674" s="518"/>
      <c r="M674" s="518"/>
      <c r="N674" s="518"/>
      <c r="O674" s="518"/>
      <c r="P674" s="518"/>
      <c r="Q674" s="518"/>
      <c r="R674" s="518"/>
      <c r="S674" s="518"/>
    </row>
    <row r="675" spans="1:19" s="497" customFormat="1" ht="16.5" customHeight="1" x14ac:dyDescent="0.3">
      <c r="A675" s="516"/>
      <c r="B675" s="379"/>
      <c r="C675" s="516"/>
      <c r="D675" s="373"/>
      <c r="E675" s="651"/>
      <c r="F675" s="533"/>
      <c r="G675" s="518"/>
      <c r="H675" s="518"/>
      <c r="I675" s="518"/>
      <c r="J675" s="518"/>
      <c r="K675" s="518"/>
      <c r="L675" s="518"/>
      <c r="M675" s="518"/>
      <c r="N675" s="518"/>
      <c r="O675" s="518"/>
      <c r="P675" s="518"/>
      <c r="Q675" s="518"/>
      <c r="R675" s="518"/>
      <c r="S675" s="518"/>
    </row>
    <row r="676" spans="1:19" s="497" customFormat="1" ht="16.5" customHeight="1" x14ac:dyDescent="0.3">
      <c r="A676" s="516"/>
      <c r="B676" s="379"/>
      <c r="C676" s="516"/>
      <c r="D676" s="373"/>
      <c r="E676" s="651"/>
      <c r="F676" s="533"/>
      <c r="G676" s="518"/>
      <c r="H676" s="518"/>
      <c r="I676" s="518"/>
      <c r="J676" s="518"/>
      <c r="K676" s="518"/>
      <c r="L676" s="518"/>
      <c r="M676" s="518"/>
      <c r="N676" s="518"/>
      <c r="O676" s="518"/>
      <c r="P676" s="518"/>
      <c r="Q676" s="518"/>
      <c r="R676" s="518"/>
      <c r="S676" s="518"/>
    </row>
    <row r="677" spans="1:19" s="497" customFormat="1" ht="16.5" customHeight="1" x14ac:dyDescent="0.3">
      <c r="A677" s="516"/>
      <c r="B677" s="374" t="s">
        <v>781</v>
      </c>
      <c r="C677" s="516"/>
      <c r="D677" s="373"/>
      <c r="E677" s="651"/>
      <c r="F677" s="533"/>
      <c r="G677" s="518"/>
      <c r="H677" s="518"/>
      <c r="I677" s="518"/>
      <c r="J677" s="518"/>
      <c r="K677" s="518"/>
      <c r="L677" s="518"/>
      <c r="M677" s="518"/>
      <c r="N677" s="518"/>
      <c r="O677" s="518"/>
      <c r="P677" s="518"/>
      <c r="Q677" s="518"/>
      <c r="R677" s="518"/>
      <c r="S677" s="518"/>
    </row>
    <row r="678" spans="1:19" s="497" customFormat="1" ht="18" customHeight="1" x14ac:dyDescent="0.35">
      <c r="A678" s="373"/>
      <c r="B678" s="382" t="s">
        <v>791</v>
      </c>
      <c r="C678" s="380"/>
      <c r="D678" s="380"/>
      <c r="E678" s="383" t="s">
        <v>15</v>
      </c>
      <c r="F678" s="553">
        <f>SUM(F649:F674)</f>
        <v>31454000</v>
      </c>
      <c r="G678" s="377"/>
      <c r="H678" s="377"/>
      <c r="I678" s="377"/>
      <c r="J678" s="377"/>
      <c r="K678" s="377"/>
      <c r="L678" s="377"/>
      <c r="M678" s="377"/>
      <c r="N678" s="377"/>
      <c r="O678" s="377"/>
      <c r="P678" s="377"/>
      <c r="Q678" s="377"/>
      <c r="R678" s="377"/>
      <c r="S678" s="377"/>
    </row>
    <row r="679" spans="1:19" x14ac:dyDescent="0.25">
      <c r="A679" s="209" t="s">
        <v>796</v>
      </c>
      <c r="B679" s="209"/>
      <c r="C679" s="221" t="s">
        <v>773</v>
      </c>
      <c r="D679" s="209" t="s">
        <v>765</v>
      </c>
      <c r="E679" s="303" t="s">
        <v>914</v>
      </c>
      <c r="F679" s="273" t="s">
        <v>768</v>
      </c>
    </row>
    <row r="680" spans="1:19" x14ac:dyDescent="0.25">
      <c r="B680" s="210" t="s">
        <v>609</v>
      </c>
    </row>
    <row r="681" spans="1:19" ht="9" customHeight="1" x14ac:dyDescent="0.25">
      <c r="B681" s="220"/>
    </row>
    <row r="682" spans="1:19" x14ac:dyDescent="0.25">
      <c r="B682" s="210" t="s">
        <v>236</v>
      </c>
    </row>
    <row r="683" spans="1:19" x14ac:dyDescent="0.25">
      <c r="B683" s="219" t="s">
        <v>610</v>
      </c>
    </row>
    <row r="684" spans="1:19" ht="12.6" customHeight="1" x14ac:dyDescent="0.25"/>
    <row r="685" spans="1:19" x14ac:dyDescent="0.25">
      <c r="B685" s="211" t="s">
        <v>283</v>
      </c>
    </row>
    <row r="686" spans="1:19" ht="30" x14ac:dyDescent="0.25">
      <c r="B686" s="224" t="s">
        <v>611</v>
      </c>
    </row>
    <row r="687" spans="1:19" ht="11.45" customHeight="1" x14ac:dyDescent="0.25"/>
    <row r="688" spans="1:19" x14ac:dyDescent="0.25">
      <c r="A688" s="206" t="s">
        <v>2</v>
      </c>
      <c r="B688" s="214" t="s">
        <v>612</v>
      </c>
      <c r="C688" s="205">
        <f>C575*2+C482</f>
        <v>3583.8</v>
      </c>
      <c r="D688" s="206" t="s">
        <v>35</v>
      </c>
      <c r="E688" s="304">
        <v>2500</v>
      </c>
      <c r="F688" s="207">
        <f>E688*C688</f>
        <v>8959500</v>
      </c>
    </row>
    <row r="689" spans="1:6" ht="30" x14ac:dyDescent="0.25">
      <c r="A689" s="206" t="s">
        <v>4</v>
      </c>
      <c r="B689" s="218" t="s">
        <v>613</v>
      </c>
      <c r="C689" s="205">
        <v>506</v>
      </c>
      <c r="D689" s="206" t="s">
        <v>22</v>
      </c>
      <c r="E689" s="304">
        <f>E688*0.3</f>
        <v>750</v>
      </c>
      <c r="F689" s="207">
        <f>E689*C689</f>
        <v>379500</v>
      </c>
    </row>
    <row r="690" spans="1:6" x14ac:dyDescent="0.25">
      <c r="B690" s="210" t="s">
        <v>614</v>
      </c>
    </row>
    <row r="691" spans="1:6" x14ac:dyDescent="0.25">
      <c r="B691" s="219" t="s">
        <v>615</v>
      </c>
      <c r="C691" s="256"/>
    </row>
    <row r="692" spans="1:6" ht="30" x14ac:dyDescent="0.25">
      <c r="B692" s="246" t="s">
        <v>616</v>
      </c>
    </row>
    <row r="693" spans="1:6" x14ac:dyDescent="0.25">
      <c r="A693" s="206" t="s">
        <v>5</v>
      </c>
      <c r="B693" s="214" t="s">
        <v>617</v>
      </c>
      <c r="C693" s="205">
        <f>C688-C705+680+197</f>
        <v>3134.8</v>
      </c>
      <c r="D693" s="206" t="s">
        <v>35</v>
      </c>
      <c r="E693" s="304">
        <f>E300</f>
        <v>1400</v>
      </c>
      <c r="F693" s="207">
        <f>E693*C693</f>
        <v>4388720</v>
      </c>
    </row>
    <row r="694" spans="1:6" ht="25.5" customHeight="1" x14ac:dyDescent="0.25">
      <c r="A694" s="206" t="s">
        <v>6</v>
      </c>
      <c r="B694" s="218" t="s">
        <v>618</v>
      </c>
      <c r="C694" s="205">
        <v>378</v>
      </c>
      <c r="D694" s="206" t="s">
        <v>22</v>
      </c>
      <c r="E694" s="304">
        <f>E693*0.3</f>
        <v>420</v>
      </c>
      <c r="F694" s="207">
        <f>E694*C694</f>
        <v>158760</v>
      </c>
    </row>
    <row r="695" spans="1:6" x14ac:dyDescent="0.25">
      <c r="B695" s="210" t="s">
        <v>152</v>
      </c>
    </row>
    <row r="696" spans="1:6" ht="30" x14ac:dyDescent="0.25">
      <c r="B696" s="224" t="s">
        <v>619</v>
      </c>
    </row>
    <row r="697" spans="1:6" x14ac:dyDescent="0.25">
      <c r="A697" s="206" t="s">
        <v>7</v>
      </c>
      <c r="B697" s="214" t="s">
        <v>612</v>
      </c>
      <c r="C697" s="205">
        <f>C693</f>
        <v>3134.8</v>
      </c>
      <c r="D697" s="206" t="s">
        <v>35</v>
      </c>
      <c r="E697" s="304">
        <f>E310</f>
        <v>2200</v>
      </c>
      <c r="F697" s="207">
        <f>E697*C697</f>
        <v>6896560</v>
      </c>
    </row>
    <row r="698" spans="1:6" x14ac:dyDescent="0.25">
      <c r="A698" s="206" t="s">
        <v>8</v>
      </c>
      <c r="B698" s="214" t="s">
        <v>620</v>
      </c>
      <c r="C698" s="205">
        <f>C694</f>
        <v>378</v>
      </c>
      <c r="D698" s="206" t="s">
        <v>22</v>
      </c>
      <c r="E698" s="304">
        <f>E697*0.3</f>
        <v>660</v>
      </c>
      <c r="F698" s="207">
        <f>E698*C698</f>
        <v>249480</v>
      </c>
    </row>
    <row r="699" spans="1:6" ht="33" x14ac:dyDescent="0.25">
      <c r="B699" s="234" t="s">
        <v>621</v>
      </c>
    </row>
    <row r="700" spans="1:6" ht="60" x14ac:dyDescent="0.25">
      <c r="B700" s="218" t="s">
        <v>622</v>
      </c>
    </row>
    <row r="701" spans="1:6" x14ac:dyDescent="0.25">
      <c r="A701" s="206" t="s">
        <v>9</v>
      </c>
      <c r="B701" s="214" t="s">
        <v>623</v>
      </c>
      <c r="C701" s="205">
        <v>373</v>
      </c>
      <c r="D701" s="206" t="s">
        <v>35</v>
      </c>
      <c r="E701" s="304">
        <v>7500</v>
      </c>
      <c r="F701" s="207">
        <f>E702*C701</f>
        <v>2797500</v>
      </c>
    </row>
    <row r="702" spans="1:6" x14ac:dyDescent="0.25">
      <c r="A702" s="206" t="s">
        <v>10</v>
      </c>
      <c r="B702" s="214" t="s">
        <v>624</v>
      </c>
      <c r="C702" s="205">
        <v>953</v>
      </c>
      <c r="D702" s="206" t="s">
        <v>35</v>
      </c>
      <c r="E702" s="304">
        <f>E701</f>
        <v>7500</v>
      </c>
      <c r="F702" s="207">
        <f>E702*C702</f>
        <v>7147500</v>
      </c>
    </row>
    <row r="703" spans="1:6" ht="33" x14ac:dyDescent="0.25">
      <c r="B703" s="234" t="s">
        <v>625</v>
      </c>
    </row>
    <row r="704" spans="1:6" x14ac:dyDescent="0.25">
      <c r="B704" s="219" t="s">
        <v>626</v>
      </c>
    </row>
    <row r="705" spans="1:6" x14ac:dyDescent="0.25">
      <c r="A705" s="206" t="s">
        <v>11</v>
      </c>
      <c r="B705" s="214" t="s">
        <v>627</v>
      </c>
      <c r="C705" s="205">
        <f>C701+C702</f>
        <v>1326</v>
      </c>
      <c r="D705" s="206" t="s">
        <v>35</v>
      </c>
      <c r="E705" s="304">
        <v>4300</v>
      </c>
      <c r="F705" s="207">
        <f>E705*C705</f>
        <v>5701800</v>
      </c>
    </row>
    <row r="706" spans="1:6" x14ac:dyDescent="0.25">
      <c r="B706" s="210" t="s">
        <v>628</v>
      </c>
      <c r="F706" s="230"/>
    </row>
    <row r="707" spans="1:6" x14ac:dyDescent="0.25">
      <c r="B707" s="220" t="s">
        <v>629</v>
      </c>
      <c r="F707" s="230"/>
    </row>
    <row r="708" spans="1:6" ht="30" x14ac:dyDescent="0.25">
      <c r="B708" s="224" t="s">
        <v>630</v>
      </c>
      <c r="F708" s="230"/>
    </row>
    <row r="709" spans="1:6" ht="18" customHeight="1" x14ac:dyDescent="0.25">
      <c r="A709" s="206" t="s">
        <v>12</v>
      </c>
      <c r="B709" s="214" t="s">
        <v>612</v>
      </c>
      <c r="C709" s="205">
        <f>C482+C484</f>
        <v>1433</v>
      </c>
      <c r="D709" s="206" t="s">
        <v>35</v>
      </c>
      <c r="E709" s="304">
        <f>E688</f>
        <v>2500</v>
      </c>
      <c r="F709" s="207">
        <f>E709*C709</f>
        <v>3582500</v>
      </c>
    </row>
    <row r="710" spans="1:6" x14ac:dyDescent="0.25">
      <c r="A710" s="206" t="s">
        <v>13</v>
      </c>
      <c r="B710" s="233" t="s">
        <v>24</v>
      </c>
      <c r="C710" s="262">
        <v>0</v>
      </c>
      <c r="D710" s="206" t="s">
        <v>35</v>
      </c>
      <c r="E710" s="304">
        <f>E709</f>
        <v>2500</v>
      </c>
      <c r="F710" s="207">
        <f>E710*C710</f>
        <v>0</v>
      </c>
    </row>
    <row r="711" spans="1:6" ht="30" x14ac:dyDescent="0.25">
      <c r="A711" s="206" t="s">
        <v>14</v>
      </c>
      <c r="B711" s="246" t="s">
        <v>631</v>
      </c>
      <c r="C711" s="205">
        <v>508</v>
      </c>
      <c r="D711" s="206" t="s">
        <v>22</v>
      </c>
      <c r="E711" s="304">
        <f>E689</f>
        <v>750</v>
      </c>
      <c r="F711" s="207">
        <f>E711*C711</f>
        <v>381000</v>
      </c>
    </row>
    <row r="712" spans="1:6" x14ac:dyDescent="0.25">
      <c r="B712" s="233"/>
    </row>
    <row r="713" spans="1:6" x14ac:dyDescent="0.25">
      <c r="B713" s="233"/>
    </row>
    <row r="714" spans="1:6" x14ac:dyDescent="0.25">
      <c r="B714" s="220" t="s">
        <v>520</v>
      </c>
      <c r="C714" s="221"/>
      <c r="D714" s="209"/>
      <c r="E714" s="303" t="s">
        <v>15</v>
      </c>
      <c r="F714" s="222">
        <f>SUM(F683:F712)</f>
        <v>40642820</v>
      </c>
    </row>
    <row r="715" spans="1:6" x14ac:dyDescent="0.25">
      <c r="A715" s="209" t="s">
        <v>796</v>
      </c>
      <c r="B715" s="209"/>
      <c r="C715" s="221" t="s">
        <v>773</v>
      </c>
      <c r="D715" s="209" t="s">
        <v>765</v>
      </c>
      <c r="E715" s="303" t="s">
        <v>914</v>
      </c>
      <c r="F715" s="273" t="s">
        <v>768</v>
      </c>
    </row>
    <row r="716" spans="1:6" ht="19.5" customHeight="1" x14ac:dyDescent="0.25">
      <c r="B716" s="210" t="s">
        <v>632</v>
      </c>
    </row>
    <row r="717" spans="1:6" ht="12.75" customHeight="1" x14ac:dyDescent="0.25">
      <c r="B717" s="233"/>
    </row>
    <row r="718" spans="1:6" ht="33" x14ac:dyDescent="0.25">
      <c r="B718" s="234" t="s">
        <v>621</v>
      </c>
    </row>
    <row r="719" spans="1:6" ht="45" x14ac:dyDescent="0.25">
      <c r="B719" s="218" t="s">
        <v>488</v>
      </c>
    </row>
    <row r="720" spans="1:6" x14ac:dyDescent="0.25">
      <c r="A720" s="206" t="s">
        <v>2</v>
      </c>
      <c r="B720" s="214" t="s">
        <v>633</v>
      </c>
      <c r="D720" s="206" t="s">
        <v>35</v>
      </c>
      <c r="E720" s="304">
        <v>8200</v>
      </c>
      <c r="F720" s="207">
        <f>E720*C720</f>
        <v>0</v>
      </c>
    </row>
    <row r="721" spans="1:6" ht="33" x14ac:dyDescent="0.25">
      <c r="B721" s="264" t="s">
        <v>634</v>
      </c>
    </row>
    <row r="722" spans="1:6" x14ac:dyDescent="0.25">
      <c r="B722" s="214" t="s">
        <v>626</v>
      </c>
    </row>
    <row r="723" spans="1:6" x14ac:dyDescent="0.25">
      <c r="A723" s="206" t="s">
        <v>4</v>
      </c>
      <c r="B723" s="214" t="s">
        <v>627</v>
      </c>
      <c r="D723" s="206" t="s">
        <v>35</v>
      </c>
      <c r="E723" s="304">
        <v>2650</v>
      </c>
      <c r="F723" s="207">
        <f>E723*C723</f>
        <v>0</v>
      </c>
    </row>
    <row r="724" spans="1:6" s="269" customFormat="1" x14ac:dyDescent="0.25">
      <c r="A724" s="265"/>
      <c r="B724" s="266" t="s">
        <v>615</v>
      </c>
      <c r="C724" s="267"/>
      <c r="D724" s="265"/>
      <c r="E724" s="304"/>
      <c r="F724" s="268"/>
    </row>
    <row r="725" spans="1:6" s="269" customFormat="1" ht="30" x14ac:dyDescent="0.25">
      <c r="A725" s="265"/>
      <c r="B725" s="270" t="s">
        <v>616</v>
      </c>
      <c r="C725" s="267"/>
      <c r="D725" s="265"/>
      <c r="E725" s="304"/>
      <c r="F725" s="268"/>
    </row>
    <row r="726" spans="1:6" s="269" customFormat="1" x14ac:dyDescent="0.25">
      <c r="A726" s="265" t="s">
        <v>5</v>
      </c>
      <c r="B726" s="269" t="s">
        <v>617</v>
      </c>
      <c r="C726" s="262">
        <f>C709</f>
        <v>1433</v>
      </c>
      <c r="D726" s="265" t="s">
        <v>35</v>
      </c>
      <c r="E726" s="304">
        <f>E444</f>
        <v>1400</v>
      </c>
      <c r="F726" s="268">
        <f>E726*C726</f>
        <v>2006200</v>
      </c>
    </row>
    <row r="727" spans="1:6" s="269" customFormat="1" ht="24" customHeight="1" x14ac:dyDescent="0.25">
      <c r="A727" s="265" t="s">
        <v>6</v>
      </c>
      <c r="B727" s="271" t="s">
        <v>618</v>
      </c>
      <c r="C727" s="262">
        <f>C711</f>
        <v>508</v>
      </c>
      <c r="D727" s="265" t="s">
        <v>22</v>
      </c>
      <c r="E727" s="304">
        <v>550</v>
      </c>
      <c r="F727" s="268">
        <f>E727*C727</f>
        <v>279400</v>
      </c>
    </row>
    <row r="728" spans="1:6" s="269" customFormat="1" x14ac:dyDescent="0.25">
      <c r="A728" s="265" t="s">
        <v>7</v>
      </c>
      <c r="B728" s="271" t="s">
        <v>636</v>
      </c>
      <c r="C728" s="262"/>
      <c r="D728" s="265" t="s">
        <v>35</v>
      </c>
      <c r="E728" s="304">
        <f>E726</f>
        <v>1400</v>
      </c>
      <c r="F728" s="268">
        <f>E728*C728</f>
        <v>0</v>
      </c>
    </row>
    <row r="729" spans="1:6" x14ac:dyDescent="0.25">
      <c r="A729" s="206" t="s">
        <v>8</v>
      </c>
      <c r="B729" s="233" t="s">
        <v>495</v>
      </c>
      <c r="D729" s="206" t="s">
        <v>22</v>
      </c>
      <c r="E729" s="304">
        <f>E727</f>
        <v>550</v>
      </c>
      <c r="F729" s="207">
        <f>E729*C729</f>
        <v>0</v>
      </c>
    </row>
    <row r="730" spans="1:6" s="269" customFormat="1" x14ac:dyDescent="0.25">
      <c r="A730" s="265"/>
      <c r="B730" s="271"/>
      <c r="C730" s="262"/>
      <c r="D730" s="265"/>
      <c r="E730" s="304"/>
      <c r="F730" s="268"/>
    </row>
    <row r="731" spans="1:6" ht="27" customHeight="1" x14ac:dyDescent="0.25">
      <c r="B731" s="210" t="s">
        <v>152</v>
      </c>
    </row>
    <row r="732" spans="1:6" ht="30" x14ac:dyDescent="0.25">
      <c r="B732" s="226" t="s">
        <v>635</v>
      </c>
    </row>
    <row r="733" spans="1:6" x14ac:dyDescent="0.25">
      <c r="A733" s="206" t="s">
        <v>9</v>
      </c>
      <c r="B733" s="233" t="s">
        <v>612</v>
      </c>
      <c r="C733" s="205">
        <f>C726</f>
        <v>1433</v>
      </c>
      <c r="D733" s="206" t="s">
        <v>35</v>
      </c>
      <c r="E733" s="304">
        <f>E451</f>
        <v>2200</v>
      </c>
      <c r="F733" s="207">
        <f>E733*C733</f>
        <v>3152600</v>
      </c>
    </row>
    <row r="734" spans="1:6" s="269" customFormat="1" ht="24" customHeight="1" x14ac:dyDescent="0.25">
      <c r="A734" s="265" t="s">
        <v>10</v>
      </c>
      <c r="B734" s="271" t="s">
        <v>618</v>
      </c>
      <c r="C734" s="262">
        <f>C727</f>
        <v>508</v>
      </c>
      <c r="D734" s="265" t="s">
        <v>22</v>
      </c>
      <c r="E734" s="304">
        <v>900</v>
      </c>
      <c r="F734" s="268">
        <f>E734*C734</f>
        <v>457200</v>
      </c>
    </row>
    <row r="735" spans="1:6" ht="18.95" customHeight="1" x14ac:dyDescent="0.25">
      <c r="A735" s="206" t="s">
        <v>11</v>
      </c>
      <c r="B735" s="218" t="s">
        <v>636</v>
      </c>
      <c r="D735" s="206" t="s">
        <v>35</v>
      </c>
      <c r="F735" s="207">
        <f>E735*C735</f>
        <v>0</v>
      </c>
    </row>
    <row r="736" spans="1:6" x14ac:dyDescent="0.25">
      <c r="A736" s="206" t="s">
        <v>12</v>
      </c>
      <c r="B736" s="218" t="s">
        <v>685</v>
      </c>
      <c r="D736" s="206" t="s">
        <v>22</v>
      </c>
      <c r="E736" s="304">
        <f>E733*0.3</f>
        <v>660</v>
      </c>
      <c r="F736" s="207">
        <f>E736*C736</f>
        <v>0</v>
      </c>
    </row>
    <row r="737" spans="1:6" x14ac:dyDescent="0.25">
      <c r="A737" s="206" t="s">
        <v>13</v>
      </c>
      <c r="B737" s="214" t="s">
        <v>686</v>
      </c>
      <c r="D737" s="206" t="s">
        <v>22</v>
      </c>
      <c r="F737" s="207">
        <f>E737*C737</f>
        <v>0</v>
      </c>
    </row>
    <row r="738" spans="1:6" ht="15.75" customHeight="1" x14ac:dyDescent="0.25"/>
    <row r="739" spans="1:6" ht="13.5" customHeight="1" x14ac:dyDescent="0.25">
      <c r="B739" s="220" t="s">
        <v>525</v>
      </c>
      <c r="C739" s="221"/>
      <c r="D739" s="209"/>
      <c r="E739" s="303" t="s">
        <v>15</v>
      </c>
      <c r="F739" s="285">
        <f>SUM(F720:F738)</f>
        <v>5895400</v>
      </c>
    </row>
    <row r="740" spans="1:6" x14ac:dyDescent="0.25">
      <c r="B740" s="220"/>
      <c r="C740" s="221"/>
      <c r="D740" s="209"/>
      <c r="E740" s="303"/>
      <c r="F740" s="285"/>
    </row>
    <row r="741" spans="1:6" x14ac:dyDescent="0.25">
      <c r="B741" s="210" t="s">
        <v>531</v>
      </c>
      <c r="C741" s="221"/>
      <c r="D741" s="209"/>
      <c r="E741" s="303"/>
      <c r="F741" s="285"/>
    </row>
    <row r="742" spans="1:6" x14ac:dyDescent="0.25">
      <c r="B742" s="210"/>
      <c r="C742" s="221"/>
      <c r="D742" s="209"/>
      <c r="E742" s="303"/>
      <c r="F742" s="285"/>
    </row>
    <row r="743" spans="1:6" x14ac:dyDescent="0.25">
      <c r="B743" s="231" t="s">
        <v>464</v>
      </c>
      <c r="C743" s="221"/>
      <c r="D743" s="209"/>
      <c r="E743" s="304">
        <f>F714</f>
        <v>40642820</v>
      </c>
      <c r="F743" s="285"/>
    </row>
    <row r="744" spans="1:6" x14ac:dyDescent="0.25">
      <c r="B744" s="231"/>
      <c r="C744" s="221"/>
      <c r="D744" s="209"/>
      <c r="F744" s="285"/>
    </row>
    <row r="745" spans="1:6" ht="18.75" customHeight="1" x14ac:dyDescent="0.25">
      <c r="B745" s="231" t="s">
        <v>637</v>
      </c>
      <c r="C745" s="221"/>
      <c r="D745" s="209"/>
      <c r="E745" s="304">
        <f>F739</f>
        <v>5895400</v>
      </c>
      <c r="F745" s="285"/>
    </row>
    <row r="746" spans="1:6" x14ac:dyDescent="0.25">
      <c r="B746" s="220"/>
      <c r="C746" s="221"/>
      <c r="D746" s="209"/>
      <c r="F746" s="285"/>
    </row>
    <row r="747" spans="1:6" ht="12" customHeight="1" x14ac:dyDescent="0.25">
      <c r="B747" s="220"/>
      <c r="C747" s="221"/>
      <c r="D747" s="209"/>
      <c r="E747" s="303"/>
      <c r="F747" s="285"/>
    </row>
    <row r="748" spans="1:6" ht="12" customHeight="1" x14ac:dyDescent="0.25">
      <c r="B748" s="220"/>
      <c r="C748" s="221"/>
      <c r="D748" s="209"/>
      <c r="E748" s="303"/>
      <c r="F748" s="285"/>
    </row>
    <row r="749" spans="1:6" ht="12" customHeight="1" x14ac:dyDescent="0.25">
      <c r="B749" s="210" t="s">
        <v>236</v>
      </c>
      <c r="C749" s="221"/>
      <c r="D749" s="209"/>
      <c r="E749" s="303"/>
      <c r="F749" s="285"/>
    </row>
    <row r="750" spans="1:6" ht="12" customHeight="1" x14ac:dyDescent="0.25">
      <c r="B750" s="220" t="s">
        <v>638</v>
      </c>
      <c r="C750" s="221"/>
      <c r="D750" s="209"/>
      <c r="E750" s="303" t="s">
        <v>15</v>
      </c>
      <c r="F750" s="285">
        <f>SUM(E741:E746)</f>
        <v>46538220</v>
      </c>
    </row>
    <row r="751" spans="1:6" x14ac:dyDescent="0.25">
      <c r="A751" s="209" t="s">
        <v>796</v>
      </c>
      <c r="B751" s="209"/>
      <c r="C751" s="221" t="s">
        <v>773</v>
      </c>
      <c r="D751" s="209" t="s">
        <v>765</v>
      </c>
      <c r="E751" s="303" t="s">
        <v>914</v>
      </c>
      <c r="F751" s="273" t="s">
        <v>768</v>
      </c>
    </row>
    <row r="752" spans="1:6" x14ac:dyDescent="0.25">
      <c r="B752" s="210" t="s">
        <v>639</v>
      </c>
    </row>
    <row r="753" spans="1:6" ht="12.75" customHeight="1" x14ac:dyDescent="0.25">
      <c r="B753" s="210" t="s">
        <v>265</v>
      </c>
    </row>
    <row r="754" spans="1:6" x14ac:dyDescent="0.25">
      <c r="B754" s="219" t="s">
        <v>610</v>
      </c>
    </row>
    <row r="755" spans="1:6" ht="16.149999999999999" customHeight="1" x14ac:dyDescent="0.25">
      <c r="B755" s="211" t="s">
        <v>640</v>
      </c>
    </row>
    <row r="756" spans="1:6" ht="60" x14ac:dyDescent="0.25">
      <c r="B756" s="226" t="s">
        <v>698</v>
      </c>
    </row>
    <row r="757" spans="1:6" x14ac:dyDescent="0.25">
      <c r="A757" s="206" t="s">
        <v>2</v>
      </c>
      <c r="B757" s="214" t="s">
        <v>699</v>
      </c>
      <c r="C757" s="205">
        <v>143</v>
      </c>
      <c r="D757" s="206" t="s">
        <v>35</v>
      </c>
      <c r="E757" s="304">
        <v>8500</v>
      </c>
      <c r="F757" s="207">
        <f>E757*C757</f>
        <v>1215500</v>
      </c>
    </row>
    <row r="758" spans="1:6" ht="60" x14ac:dyDescent="0.25">
      <c r="B758" s="224" t="s">
        <v>641</v>
      </c>
      <c r="F758" s="289"/>
    </row>
    <row r="759" spans="1:6" ht="30" x14ac:dyDescent="0.25">
      <c r="A759" s="206" t="s">
        <v>4</v>
      </c>
      <c r="B759" s="218" t="s">
        <v>876</v>
      </c>
      <c r="C759" s="205">
        <f>81.7*8</f>
        <v>653.6</v>
      </c>
      <c r="D759" s="206" t="s">
        <v>35</v>
      </c>
      <c r="E759" s="304">
        <f>E761</f>
        <v>12350</v>
      </c>
      <c r="F759" s="207">
        <f t="shared" ref="F759:F767" si="1">E759*C759</f>
        <v>8071960</v>
      </c>
    </row>
    <row r="760" spans="1:6" x14ac:dyDescent="0.25">
      <c r="A760" s="206" t="s">
        <v>5</v>
      </c>
      <c r="B760" s="214" t="s">
        <v>642</v>
      </c>
      <c r="C760" s="205">
        <f>C759*1.1</f>
        <v>718.96</v>
      </c>
      <c r="D760" s="206" t="s">
        <v>22</v>
      </c>
      <c r="E760" s="304">
        <f>E759*0.15</f>
        <v>1852.5</v>
      </c>
      <c r="F760" s="207">
        <f t="shared" si="1"/>
        <v>1331873.4000000001</v>
      </c>
    </row>
    <row r="761" spans="1:6" ht="30" x14ac:dyDescent="0.25">
      <c r="A761" s="206" t="s">
        <v>6</v>
      </c>
      <c r="B761" s="218" t="s">
        <v>907</v>
      </c>
      <c r="C761" s="205">
        <f>22*8</f>
        <v>176</v>
      </c>
      <c r="D761" s="206" t="s">
        <v>35</v>
      </c>
      <c r="E761" s="304">
        <v>12350</v>
      </c>
      <c r="F761" s="207">
        <f>E761*C761</f>
        <v>2173600</v>
      </c>
    </row>
    <row r="762" spans="1:6" x14ac:dyDescent="0.25">
      <c r="A762" s="206" t="s">
        <v>7</v>
      </c>
      <c r="B762" s="214" t="s">
        <v>642</v>
      </c>
      <c r="C762" s="205">
        <f>C761*1.1</f>
        <v>193.60000000000002</v>
      </c>
      <c r="D762" s="206" t="s">
        <v>22</v>
      </c>
      <c r="E762" s="304">
        <f>E761*0.15</f>
        <v>1852.5</v>
      </c>
      <c r="F762" s="207">
        <f>E762*C762</f>
        <v>358644.00000000006</v>
      </c>
    </row>
    <row r="763" spans="1:6" ht="30" x14ac:dyDescent="0.25">
      <c r="A763" s="240" t="s">
        <v>8</v>
      </c>
      <c r="B763" s="218" t="s">
        <v>906</v>
      </c>
      <c r="C763" s="239">
        <f>68*8</f>
        <v>544</v>
      </c>
      <c r="D763" s="240" t="s">
        <v>35</v>
      </c>
      <c r="E763" s="305">
        <f>E761</f>
        <v>12350</v>
      </c>
      <c r="F763" s="241">
        <f t="shared" si="1"/>
        <v>6718400</v>
      </c>
    </row>
    <row r="764" spans="1:6" ht="24" customHeight="1" x14ac:dyDescent="0.25">
      <c r="A764" s="206" t="s">
        <v>9</v>
      </c>
      <c r="B764" s="246" t="s">
        <v>642</v>
      </c>
      <c r="C764" s="205">
        <f>C763*1.1</f>
        <v>598.40000000000009</v>
      </c>
      <c r="D764" s="206" t="s">
        <v>22</v>
      </c>
      <c r="E764" s="304">
        <f>E763*0.15</f>
        <v>1852.5</v>
      </c>
      <c r="F764" s="207">
        <f t="shared" si="1"/>
        <v>1108536.0000000002</v>
      </c>
    </row>
    <row r="765" spans="1:6" ht="9" customHeight="1" x14ac:dyDescent="0.25">
      <c r="B765" s="246"/>
    </row>
    <row r="766" spans="1:6" ht="30" x14ac:dyDescent="0.25">
      <c r="A766" s="206" t="s">
        <v>10</v>
      </c>
      <c r="B766" s="218" t="s">
        <v>904</v>
      </c>
      <c r="C766" s="205">
        <v>95</v>
      </c>
      <c r="D766" s="206" t="s">
        <v>35</v>
      </c>
      <c r="E766" s="304">
        <f>E761</f>
        <v>12350</v>
      </c>
      <c r="F766" s="207">
        <f t="shared" si="1"/>
        <v>1173250</v>
      </c>
    </row>
    <row r="767" spans="1:6" s="236" customFormat="1" ht="27" customHeight="1" x14ac:dyDescent="0.25">
      <c r="A767" s="206" t="s">
        <v>11</v>
      </c>
      <c r="B767" s="214" t="s">
        <v>642</v>
      </c>
      <c r="C767" s="205">
        <f>C766*1.1</f>
        <v>104.50000000000001</v>
      </c>
      <c r="D767" s="206" t="s">
        <v>22</v>
      </c>
      <c r="E767" s="304">
        <f>E766*0.15</f>
        <v>1852.5</v>
      </c>
      <c r="F767" s="207">
        <f t="shared" si="1"/>
        <v>193586.25000000003</v>
      </c>
    </row>
    <row r="768" spans="1:6" s="260" customFormat="1" ht="35.450000000000003" customHeight="1" x14ac:dyDescent="0.25">
      <c r="A768" s="206"/>
      <c r="B768" s="234" t="s">
        <v>644</v>
      </c>
      <c r="C768" s="205"/>
      <c r="D768" s="206"/>
      <c r="E768" s="304"/>
      <c r="F768" s="288"/>
    </row>
    <row r="769" spans="1:6" ht="24" customHeight="1" x14ac:dyDescent="0.25">
      <c r="B769" s="219" t="s">
        <v>645</v>
      </c>
      <c r="F769" s="288"/>
    </row>
    <row r="770" spans="1:6" ht="18.95" customHeight="1" x14ac:dyDescent="0.25">
      <c r="A770" s="206" t="s">
        <v>12</v>
      </c>
      <c r="B770" s="214" t="s">
        <v>646</v>
      </c>
      <c r="C770" s="205">
        <f>C766+C763+C761+C759+C757</f>
        <v>1611.6</v>
      </c>
      <c r="D770" s="206" t="s">
        <v>35</v>
      </c>
      <c r="E770" s="304">
        <v>4200</v>
      </c>
      <c r="F770" s="207">
        <f>E770*C770</f>
        <v>6768720</v>
      </c>
    </row>
    <row r="771" spans="1:6" x14ac:dyDescent="0.25">
      <c r="A771" s="206" t="s">
        <v>13</v>
      </c>
      <c r="B771" s="214" t="s">
        <v>627</v>
      </c>
      <c r="C771" s="205">
        <f>C764+C762+C760+C767</f>
        <v>1615.46</v>
      </c>
      <c r="D771" s="206" t="s">
        <v>22</v>
      </c>
      <c r="E771" s="304">
        <f>E770*0.15</f>
        <v>630</v>
      </c>
      <c r="F771" s="207">
        <f>E771*C771</f>
        <v>1017739.8</v>
      </c>
    </row>
    <row r="772" spans="1:6" ht="4.9000000000000004" customHeight="1" x14ac:dyDescent="0.25"/>
    <row r="773" spans="1:6" ht="15.75" customHeight="1" x14ac:dyDescent="0.25">
      <c r="B773" s="242" t="s">
        <v>628</v>
      </c>
      <c r="F773" s="227"/>
    </row>
    <row r="774" spans="1:6" ht="13.5" customHeight="1" x14ac:dyDescent="0.25">
      <c r="B774" s="224" t="s">
        <v>647</v>
      </c>
      <c r="F774" s="288"/>
    </row>
    <row r="775" spans="1:6" ht="16.5" customHeight="1" x14ac:dyDescent="0.25">
      <c r="B775" s="210" t="s">
        <v>702</v>
      </c>
      <c r="F775" s="227"/>
    </row>
    <row r="776" spans="1:6" ht="30" x14ac:dyDescent="0.25">
      <c r="A776" s="206" t="s">
        <v>14</v>
      </c>
      <c r="B776" s="218" t="s">
        <v>908</v>
      </c>
      <c r="C776" s="205">
        <f>8*8</f>
        <v>64</v>
      </c>
      <c r="D776" s="206" t="s">
        <v>35</v>
      </c>
      <c r="E776" s="304">
        <v>23000</v>
      </c>
      <c r="F776" s="207">
        <f>E776*C776</f>
        <v>1472000</v>
      </c>
    </row>
    <row r="777" spans="1:6" x14ac:dyDescent="0.25">
      <c r="A777" s="206" t="s">
        <v>15</v>
      </c>
      <c r="B777" s="214" t="s">
        <v>642</v>
      </c>
      <c r="C777" s="205">
        <f>C776*1.1</f>
        <v>70.400000000000006</v>
      </c>
      <c r="D777" s="206" t="s">
        <v>22</v>
      </c>
      <c r="E777" s="304">
        <f>E776*0.15</f>
        <v>3450</v>
      </c>
      <c r="F777" s="207">
        <f>E777*C777</f>
        <v>242880.00000000003</v>
      </c>
    </row>
    <row r="778" spans="1:6" ht="33" x14ac:dyDescent="0.25">
      <c r="B778" s="234" t="s">
        <v>648</v>
      </c>
      <c r="F778" s="227"/>
    </row>
    <row r="779" spans="1:6" x14ac:dyDescent="0.25">
      <c r="B779" s="224" t="s">
        <v>645</v>
      </c>
      <c r="F779" s="227"/>
    </row>
    <row r="780" spans="1:6" ht="18.75" customHeight="1" x14ac:dyDescent="0.25">
      <c r="A780" s="206" t="s">
        <v>16</v>
      </c>
      <c r="B780" s="214" t="s">
        <v>649</v>
      </c>
      <c r="C780" s="205">
        <f>C776</f>
        <v>64</v>
      </c>
      <c r="D780" s="206" t="s">
        <v>35</v>
      </c>
      <c r="E780" s="304">
        <f>E770</f>
        <v>4200</v>
      </c>
      <c r="F780" s="207">
        <f>E780*C780</f>
        <v>268800</v>
      </c>
    </row>
    <row r="781" spans="1:6" x14ac:dyDescent="0.25">
      <c r="A781" s="206" t="s">
        <v>17</v>
      </c>
      <c r="B781" s="214" t="s">
        <v>627</v>
      </c>
      <c r="C781" s="205">
        <f>C777</f>
        <v>70.400000000000006</v>
      </c>
      <c r="D781" s="206" t="s">
        <v>22</v>
      </c>
      <c r="E781" s="304">
        <f>E771</f>
        <v>630</v>
      </c>
      <c r="F781" s="207">
        <f>E781*C781</f>
        <v>44352</v>
      </c>
    </row>
    <row r="785" spans="1:6" x14ac:dyDescent="0.25">
      <c r="B785" s="210" t="s">
        <v>265</v>
      </c>
    </row>
    <row r="786" spans="1:6" ht="12.75" customHeight="1" x14ac:dyDescent="0.25">
      <c r="B786" s="220" t="s">
        <v>534</v>
      </c>
      <c r="C786" s="221"/>
      <c r="D786" s="209"/>
      <c r="E786" s="303" t="s">
        <v>15</v>
      </c>
      <c r="F786" s="285">
        <f>SUM(F756:F785)</f>
        <v>32159841.449999999</v>
      </c>
    </row>
    <row r="787" spans="1:6" x14ac:dyDescent="0.25">
      <c r="A787" s="209" t="s">
        <v>796</v>
      </c>
      <c r="B787" s="209"/>
      <c r="C787" s="221" t="s">
        <v>773</v>
      </c>
      <c r="D787" s="209" t="s">
        <v>765</v>
      </c>
      <c r="E787" s="303" t="s">
        <v>914</v>
      </c>
      <c r="F787" s="273" t="s">
        <v>768</v>
      </c>
    </row>
    <row r="788" spans="1:6" ht="12" customHeight="1" x14ac:dyDescent="0.25">
      <c r="B788" s="210" t="s">
        <v>650</v>
      </c>
    </row>
    <row r="789" spans="1:6" ht="12" customHeight="1" x14ac:dyDescent="0.25">
      <c r="B789" s="210"/>
    </row>
    <row r="790" spans="1:6" ht="12" customHeight="1" x14ac:dyDescent="0.25">
      <c r="B790" s="210" t="s">
        <v>281</v>
      </c>
    </row>
    <row r="791" spans="1:6" ht="12" customHeight="1" x14ac:dyDescent="0.25">
      <c r="B791" s="210"/>
    </row>
    <row r="792" spans="1:6" ht="12" customHeight="1" x14ac:dyDescent="0.25">
      <c r="B792" s="210" t="s">
        <v>282</v>
      </c>
    </row>
    <row r="793" spans="1:6" ht="12" customHeight="1" x14ac:dyDescent="0.25">
      <c r="B793" s="210"/>
    </row>
    <row r="794" spans="1:6" ht="12" customHeight="1" x14ac:dyDescent="0.25">
      <c r="B794" s="220" t="s">
        <v>629</v>
      </c>
      <c r="F794" s="289"/>
    </row>
    <row r="795" spans="1:6" x14ac:dyDescent="0.25">
      <c r="B795" s="224" t="s">
        <v>651</v>
      </c>
      <c r="F795" s="289"/>
    </row>
    <row r="796" spans="1:6" x14ac:dyDescent="0.25">
      <c r="A796" s="206" t="s">
        <v>2</v>
      </c>
      <c r="B796" s="214" t="s">
        <v>652</v>
      </c>
      <c r="D796" s="206" t="s">
        <v>35</v>
      </c>
      <c r="E796" s="304">
        <f>E709</f>
        <v>2500</v>
      </c>
      <c r="F796" s="207">
        <f>E796*C796</f>
        <v>0</v>
      </c>
    </row>
    <row r="797" spans="1:6" ht="12" customHeight="1" x14ac:dyDescent="0.25">
      <c r="B797" s="220" t="s">
        <v>614</v>
      </c>
      <c r="F797" s="289"/>
    </row>
    <row r="798" spans="1:6" x14ac:dyDescent="0.25">
      <c r="B798" s="220" t="s">
        <v>687</v>
      </c>
      <c r="F798" s="289"/>
    </row>
    <row r="799" spans="1:6" x14ac:dyDescent="0.25">
      <c r="A799" s="206" t="s">
        <v>4</v>
      </c>
      <c r="B799" s="214" t="s">
        <v>688</v>
      </c>
      <c r="C799" s="205">
        <f>199*8</f>
        <v>1592</v>
      </c>
      <c r="D799" s="206" t="s">
        <v>35</v>
      </c>
      <c r="E799" s="304">
        <v>13200</v>
      </c>
      <c r="F799" s="207">
        <f>E799*C799</f>
        <v>21014400</v>
      </c>
    </row>
    <row r="801" spans="1:6" x14ac:dyDescent="0.25">
      <c r="B801" s="220" t="s">
        <v>653</v>
      </c>
      <c r="F801" s="289"/>
    </row>
    <row r="802" spans="1:6" ht="19.5" customHeight="1" x14ac:dyDescent="0.25">
      <c r="B802" s="272" t="s">
        <v>654</v>
      </c>
    </row>
    <row r="803" spans="1:6" ht="16.5" customHeight="1" x14ac:dyDescent="0.25">
      <c r="A803" s="206" t="s">
        <v>5</v>
      </c>
      <c r="B803" s="214" t="s">
        <v>287</v>
      </c>
      <c r="C803" s="205">
        <f>113*8*3.6</f>
        <v>3254.4</v>
      </c>
      <c r="D803" s="206" t="s">
        <v>22</v>
      </c>
      <c r="E803" s="304">
        <v>400</v>
      </c>
      <c r="F803" s="207">
        <f>E803*C803</f>
        <v>1301760</v>
      </c>
    </row>
    <row r="804" spans="1:6" ht="15.75" customHeight="1" x14ac:dyDescent="0.25">
      <c r="B804" s="220" t="s">
        <v>152</v>
      </c>
      <c r="F804" s="289"/>
    </row>
    <row r="805" spans="1:6" ht="30" x14ac:dyDescent="0.25">
      <c r="B805" s="218" t="s">
        <v>655</v>
      </c>
      <c r="F805" s="289"/>
    </row>
    <row r="806" spans="1:6" ht="17.25" customHeight="1" x14ac:dyDescent="0.25">
      <c r="A806" s="206" t="s">
        <v>6</v>
      </c>
      <c r="B806" s="214" t="s">
        <v>656</v>
      </c>
      <c r="C806" s="205">
        <f>C799+C796</f>
        <v>1592</v>
      </c>
      <c r="D806" s="206" t="s">
        <v>35</v>
      </c>
      <c r="E806" s="304">
        <f>E697</f>
        <v>2200</v>
      </c>
      <c r="F806" s="207">
        <f>E806*C806</f>
        <v>3502400</v>
      </c>
    </row>
    <row r="807" spans="1:6" ht="17.25" customHeight="1" x14ac:dyDescent="0.25"/>
    <row r="808" spans="1:6" ht="17.25" customHeight="1" x14ac:dyDescent="0.25"/>
    <row r="809" spans="1:6" ht="17.25" customHeight="1" x14ac:dyDescent="0.25"/>
    <row r="810" spans="1:6" ht="17.25" customHeight="1" x14ac:dyDescent="0.25"/>
    <row r="811" spans="1:6" ht="17.25" customHeight="1" x14ac:dyDescent="0.25"/>
    <row r="812" spans="1:6" ht="17.25" customHeight="1" x14ac:dyDescent="0.25"/>
    <row r="813" spans="1:6" ht="17.25" customHeight="1" x14ac:dyDescent="0.25"/>
    <row r="814" spans="1:6" ht="17.25" customHeight="1" x14ac:dyDescent="0.25"/>
    <row r="815" spans="1:6" ht="17.25" customHeight="1" x14ac:dyDescent="0.25"/>
    <row r="816" spans="1:6" ht="17.25" customHeight="1" x14ac:dyDescent="0.25"/>
    <row r="817" spans="2:6" ht="17.25" customHeight="1" x14ac:dyDescent="0.25"/>
    <row r="818" spans="2:6" ht="17.25" customHeight="1" x14ac:dyDescent="0.25"/>
    <row r="819" spans="2:6" ht="17.25" customHeight="1" x14ac:dyDescent="0.25"/>
    <row r="820" spans="2:6" ht="17.25" customHeight="1" x14ac:dyDescent="0.25"/>
    <row r="821" spans="2:6" ht="17.25" customHeight="1" x14ac:dyDescent="0.25"/>
    <row r="822" spans="2:6" ht="17.25" customHeight="1" x14ac:dyDescent="0.25"/>
    <row r="823" spans="2:6" ht="17.25" customHeight="1" x14ac:dyDescent="0.25"/>
    <row r="824" spans="2:6" ht="17.25" customHeight="1" x14ac:dyDescent="0.25"/>
    <row r="825" spans="2:6" ht="17.25" customHeight="1" x14ac:dyDescent="0.25"/>
    <row r="826" spans="2:6" x14ac:dyDescent="0.25">
      <c r="B826" s="215"/>
      <c r="F826" s="289"/>
    </row>
    <row r="827" spans="2:6" x14ac:dyDescent="0.25">
      <c r="B827" s="215"/>
      <c r="F827" s="289"/>
    </row>
    <row r="828" spans="2:6" x14ac:dyDescent="0.25">
      <c r="B828" s="215"/>
      <c r="F828" s="289"/>
    </row>
    <row r="829" spans="2:6" x14ac:dyDescent="0.25">
      <c r="B829" s="215"/>
      <c r="F829" s="289"/>
    </row>
    <row r="830" spans="2:6" x14ac:dyDescent="0.25">
      <c r="B830" s="215"/>
      <c r="F830" s="289"/>
    </row>
    <row r="831" spans="2:6" x14ac:dyDescent="0.25">
      <c r="B831" s="210" t="s">
        <v>281</v>
      </c>
      <c r="C831" s="221"/>
      <c r="D831" s="209"/>
      <c r="E831" s="303"/>
      <c r="F831" s="222"/>
    </row>
    <row r="832" spans="2:6" x14ac:dyDescent="0.25">
      <c r="B832" s="220" t="s">
        <v>534</v>
      </c>
      <c r="C832" s="221"/>
      <c r="D832" s="209"/>
      <c r="E832" s="303" t="s">
        <v>15</v>
      </c>
      <c r="F832" s="285">
        <f>SUM(F794:F831)</f>
        <v>25818560</v>
      </c>
    </row>
    <row r="833" spans="1:7" x14ac:dyDescent="0.25">
      <c r="A833" s="209" t="s">
        <v>796</v>
      </c>
      <c r="B833" s="209"/>
      <c r="C833" s="221" t="s">
        <v>773</v>
      </c>
      <c r="D833" s="209" t="s">
        <v>765</v>
      </c>
      <c r="E833" s="303" t="s">
        <v>914</v>
      </c>
      <c r="F833" s="273" t="s">
        <v>768</v>
      </c>
    </row>
    <row r="834" spans="1:7" s="497" customFormat="1" ht="18.75" x14ac:dyDescent="0.3">
      <c r="A834" s="197"/>
      <c r="B834" s="292" t="s">
        <v>792</v>
      </c>
      <c r="C834" s="293"/>
      <c r="D834" s="294"/>
      <c r="E834" s="295"/>
      <c r="F834" s="296"/>
    </row>
    <row r="835" spans="1:7" s="497" customFormat="1" ht="15" customHeight="1" x14ac:dyDescent="0.3">
      <c r="A835" s="197"/>
      <c r="B835" s="292" t="s">
        <v>657</v>
      </c>
      <c r="C835" s="293"/>
      <c r="D835" s="294"/>
      <c r="E835" s="295"/>
      <c r="F835" s="296"/>
    </row>
    <row r="836" spans="1:7" s="497" customFormat="1" ht="15" customHeight="1" x14ac:dyDescent="0.3">
      <c r="A836" s="197"/>
      <c r="B836" s="292"/>
      <c r="C836" s="293"/>
      <c r="D836" s="294"/>
      <c r="E836" s="295"/>
      <c r="F836" s="296"/>
    </row>
    <row r="837" spans="1:7" s="497" customFormat="1" ht="15" customHeight="1" x14ac:dyDescent="0.3">
      <c r="A837" s="197"/>
      <c r="B837" s="292"/>
      <c r="C837" s="293"/>
      <c r="D837" s="294"/>
      <c r="E837" s="295"/>
      <c r="F837" s="296"/>
    </row>
    <row r="838" spans="1:7" s="214" customFormat="1" ht="30" x14ac:dyDescent="0.3">
      <c r="A838" s="206" t="s">
        <v>2</v>
      </c>
      <c r="B838" s="358" t="s">
        <v>985</v>
      </c>
      <c r="C838" s="331"/>
      <c r="D838" s="206"/>
      <c r="E838" s="333"/>
      <c r="F838" s="360">
        <f>2500000*8</f>
        <v>20000000</v>
      </c>
      <c r="G838" s="214">
        <f>F838/8</f>
        <v>2500000</v>
      </c>
    </row>
    <row r="839" spans="1:7" s="214" customFormat="1" x14ac:dyDescent="0.25">
      <c r="A839" s="206"/>
      <c r="B839" s="220"/>
      <c r="C839" s="331"/>
      <c r="D839" s="206"/>
      <c r="E839" s="333"/>
      <c r="F839" s="332"/>
    </row>
    <row r="840" spans="1:7" s="214" customFormat="1" x14ac:dyDescent="0.25">
      <c r="A840" s="206"/>
      <c r="B840" s="220"/>
      <c r="C840" s="331"/>
      <c r="D840" s="206"/>
      <c r="E840" s="333"/>
      <c r="F840" s="332"/>
    </row>
    <row r="841" spans="1:7" s="214" customFormat="1" x14ac:dyDescent="0.25">
      <c r="A841" s="206"/>
      <c r="B841" s="220"/>
      <c r="C841" s="331"/>
      <c r="D841" s="206"/>
      <c r="E841" s="333"/>
      <c r="F841" s="332"/>
    </row>
    <row r="842" spans="1:7" s="214" customFormat="1" x14ac:dyDescent="0.25">
      <c r="A842" s="206"/>
      <c r="B842" s="220"/>
      <c r="C842" s="331"/>
      <c r="D842" s="206"/>
      <c r="E842" s="333"/>
      <c r="F842" s="332"/>
    </row>
    <row r="843" spans="1:7" s="214" customFormat="1" x14ac:dyDescent="0.25">
      <c r="A843" s="206"/>
      <c r="B843" s="220"/>
      <c r="C843" s="331"/>
      <c r="D843" s="206"/>
      <c r="E843" s="333"/>
      <c r="F843" s="332"/>
    </row>
    <row r="844" spans="1:7" s="214" customFormat="1" x14ac:dyDescent="0.25">
      <c r="A844" s="206"/>
      <c r="B844" s="220"/>
      <c r="C844" s="331"/>
      <c r="D844" s="206"/>
      <c r="E844" s="333"/>
      <c r="F844" s="332"/>
    </row>
    <row r="845" spans="1:7" s="214" customFormat="1" x14ac:dyDescent="0.25">
      <c r="A845" s="206"/>
      <c r="B845" s="220"/>
      <c r="C845" s="331"/>
      <c r="D845" s="206"/>
      <c r="E845" s="333"/>
      <c r="F845" s="332"/>
    </row>
    <row r="846" spans="1:7" s="214" customFormat="1" x14ac:dyDescent="0.25">
      <c r="A846" s="206"/>
      <c r="B846" s="220"/>
      <c r="C846" s="331"/>
      <c r="D846" s="206"/>
      <c r="E846" s="333"/>
      <c r="F846" s="332"/>
    </row>
    <row r="847" spans="1:7" s="214" customFormat="1" x14ac:dyDescent="0.25">
      <c r="A847" s="206"/>
      <c r="B847" s="220"/>
      <c r="C847" s="331"/>
      <c r="D847" s="206"/>
      <c r="E847" s="333"/>
      <c r="F847" s="332"/>
    </row>
    <row r="848" spans="1:7" s="214" customFormat="1" x14ac:dyDescent="0.25">
      <c r="A848" s="206"/>
      <c r="B848" s="220"/>
      <c r="C848" s="331"/>
      <c r="D848" s="206"/>
      <c r="E848" s="333"/>
      <c r="F848" s="332"/>
    </row>
    <row r="849" spans="1:6" s="214" customFormat="1" x14ac:dyDescent="0.25">
      <c r="A849" s="206"/>
      <c r="B849" s="220"/>
      <c r="C849" s="331"/>
      <c r="D849" s="206"/>
      <c r="E849" s="333"/>
      <c r="F849" s="332"/>
    </row>
    <row r="850" spans="1:6" s="214" customFormat="1" x14ac:dyDescent="0.25">
      <c r="A850" s="206"/>
      <c r="B850" s="220"/>
      <c r="C850" s="331"/>
      <c r="D850" s="206"/>
      <c r="E850" s="333"/>
      <c r="F850" s="332"/>
    </row>
    <row r="851" spans="1:6" s="214" customFormat="1" x14ac:dyDescent="0.25">
      <c r="A851" s="206"/>
      <c r="B851" s="220"/>
      <c r="C851" s="331"/>
      <c r="D851" s="206"/>
      <c r="E851" s="333"/>
      <c r="F851" s="332"/>
    </row>
    <row r="852" spans="1:6" s="214" customFormat="1" x14ac:dyDescent="0.25">
      <c r="A852" s="206"/>
      <c r="B852" s="220"/>
      <c r="C852" s="331"/>
      <c r="D852" s="206"/>
      <c r="E852" s="333"/>
      <c r="F852" s="332"/>
    </row>
    <row r="853" spans="1:6" s="214" customFormat="1" x14ac:dyDescent="0.25">
      <c r="A853" s="206"/>
      <c r="B853" s="220"/>
      <c r="C853" s="331"/>
      <c r="D853" s="206"/>
      <c r="E853" s="333"/>
      <c r="F853" s="332"/>
    </row>
    <row r="854" spans="1:6" s="214" customFormat="1" x14ac:dyDescent="0.25">
      <c r="A854" s="206"/>
      <c r="B854" s="220"/>
      <c r="C854" s="331"/>
      <c r="D854" s="206"/>
      <c r="E854" s="333"/>
      <c r="F854" s="332"/>
    </row>
    <row r="855" spans="1:6" s="214" customFormat="1" ht="19.149999999999999" customHeight="1" x14ac:dyDescent="0.25">
      <c r="A855" s="206"/>
      <c r="B855" s="231"/>
      <c r="C855" s="311"/>
      <c r="D855" s="209"/>
      <c r="E855" s="333"/>
      <c r="F855" s="313"/>
    </row>
    <row r="856" spans="1:6" s="214" customFormat="1" ht="19.149999999999999" customHeight="1" x14ac:dyDescent="0.25">
      <c r="A856" s="206"/>
      <c r="B856" s="231"/>
      <c r="C856" s="311"/>
      <c r="D856" s="209"/>
      <c r="E856" s="333"/>
      <c r="F856" s="313"/>
    </row>
    <row r="857" spans="1:6" s="214" customFormat="1" ht="19.149999999999999" customHeight="1" x14ac:dyDescent="0.25">
      <c r="A857" s="206"/>
      <c r="B857" s="231"/>
      <c r="C857" s="311"/>
      <c r="D857" s="209"/>
      <c r="E857" s="333"/>
      <c r="F857" s="313"/>
    </row>
    <row r="858" spans="1:6" s="214" customFormat="1" ht="19.149999999999999" customHeight="1" x14ac:dyDescent="0.25">
      <c r="A858" s="206"/>
      <c r="B858" s="231"/>
      <c r="C858" s="311"/>
      <c r="D858" s="209"/>
      <c r="E858" s="333"/>
      <c r="F858" s="313"/>
    </row>
    <row r="859" spans="1:6" s="214" customFormat="1" ht="19.149999999999999" customHeight="1" x14ac:dyDescent="0.25">
      <c r="A859" s="206"/>
      <c r="B859" s="231"/>
      <c r="C859" s="311"/>
      <c r="D859" s="209"/>
      <c r="E859" s="333"/>
      <c r="F859" s="313"/>
    </row>
    <row r="860" spans="1:6" s="214" customFormat="1" ht="19.149999999999999" customHeight="1" x14ac:dyDescent="0.25">
      <c r="A860" s="206"/>
      <c r="B860" s="231"/>
      <c r="C860" s="311"/>
      <c r="D860" s="209"/>
      <c r="E860" s="333"/>
      <c r="F860" s="313"/>
    </row>
    <row r="861" spans="1:6" s="214" customFormat="1" ht="19.149999999999999" customHeight="1" x14ac:dyDescent="0.25">
      <c r="A861" s="206"/>
      <c r="B861" s="231"/>
      <c r="C861" s="311"/>
      <c r="D861" s="209"/>
      <c r="E861" s="333"/>
      <c r="F861" s="313"/>
    </row>
    <row r="862" spans="1:6" s="214" customFormat="1" ht="19.149999999999999" customHeight="1" x14ac:dyDescent="0.25">
      <c r="A862" s="206"/>
      <c r="B862" s="231"/>
      <c r="C862" s="311"/>
      <c r="D862" s="209"/>
      <c r="E862" s="333"/>
      <c r="F862" s="313"/>
    </row>
    <row r="863" spans="1:6" s="214" customFormat="1" ht="17.25" customHeight="1" x14ac:dyDescent="0.25">
      <c r="A863" s="206"/>
      <c r="B863" s="231"/>
      <c r="C863" s="311"/>
      <c r="D863" s="209"/>
      <c r="E863" s="333"/>
      <c r="F863" s="313"/>
    </row>
    <row r="864" spans="1:6" s="214" customFormat="1" ht="17.25" customHeight="1" x14ac:dyDescent="0.25">
      <c r="A864" s="206"/>
      <c r="B864" s="231"/>
      <c r="C864" s="311"/>
      <c r="D864" s="209"/>
      <c r="E864" s="333"/>
      <c r="F864" s="313"/>
    </row>
    <row r="865" spans="1:7" s="214" customFormat="1" ht="17.25" customHeight="1" x14ac:dyDescent="0.25">
      <c r="A865" s="206"/>
      <c r="B865" s="231"/>
      <c r="C865" s="311"/>
      <c r="D865" s="209"/>
      <c r="E865" s="333"/>
      <c r="F865" s="313"/>
    </row>
    <row r="866" spans="1:7" s="214" customFormat="1" ht="17.25" customHeight="1" x14ac:dyDescent="0.25">
      <c r="A866" s="206"/>
      <c r="B866" s="210" t="s">
        <v>658</v>
      </c>
      <c r="C866" s="311"/>
      <c r="D866" s="209"/>
      <c r="E866" s="333"/>
      <c r="F866" s="313"/>
    </row>
    <row r="867" spans="1:7" s="214" customFormat="1" ht="17.25" customHeight="1" x14ac:dyDescent="0.25">
      <c r="A867" s="206"/>
      <c r="B867" s="220" t="s">
        <v>638</v>
      </c>
      <c r="C867" s="311"/>
      <c r="D867" s="209"/>
      <c r="E867" s="312" t="s">
        <v>15</v>
      </c>
      <c r="F867" s="313">
        <f>F838</f>
        <v>20000000</v>
      </c>
    </row>
    <row r="868" spans="1:7" x14ac:dyDescent="0.25">
      <c r="A868" s="209"/>
      <c r="B868" s="209"/>
      <c r="C868" s="221"/>
      <c r="D868" s="209"/>
      <c r="E868" s="303"/>
      <c r="F868" s="273"/>
    </row>
    <row r="869" spans="1:7" s="497" customFormat="1" ht="18.75" x14ac:dyDescent="0.3">
      <c r="A869" s="197"/>
      <c r="B869" s="292" t="s">
        <v>793</v>
      </c>
      <c r="C869" s="202"/>
      <c r="D869" s="197"/>
      <c r="E869" s="299"/>
      <c r="F869" s="201"/>
    </row>
    <row r="870" spans="1:7" s="497" customFormat="1" ht="16.5" customHeight="1" x14ac:dyDescent="0.3">
      <c r="A870" s="197"/>
      <c r="B870" s="202"/>
      <c r="C870" s="202"/>
      <c r="D870" s="197"/>
      <c r="E870" s="299"/>
      <c r="F870" s="201"/>
    </row>
    <row r="871" spans="1:7" s="497" customFormat="1" ht="17.25" customHeight="1" x14ac:dyDescent="0.3">
      <c r="A871" s="197"/>
      <c r="B871" s="300" t="s">
        <v>659</v>
      </c>
      <c r="C871" s="202"/>
      <c r="D871" s="197"/>
      <c r="E871" s="299"/>
      <c r="F871" s="201"/>
    </row>
    <row r="872" spans="1:7" s="497" customFormat="1" ht="17.25" customHeight="1" x14ac:dyDescent="0.3">
      <c r="A872" s="197"/>
      <c r="B872" s="300"/>
      <c r="C872" s="202"/>
      <c r="D872" s="197"/>
      <c r="E872" s="299"/>
      <c r="F872" s="201"/>
    </row>
    <row r="873" spans="1:7" s="534" customFormat="1" ht="17.25" x14ac:dyDescent="0.35">
      <c r="A873" s="354" t="s">
        <v>796</v>
      </c>
      <c r="B873" s="354" t="s">
        <v>764</v>
      </c>
      <c r="C873" s="354" t="s">
        <v>765</v>
      </c>
      <c r="D873" s="354" t="s">
        <v>773</v>
      </c>
      <c r="E873" s="653" t="s">
        <v>767</v>
      </c>
      <c r="F873" s="354" t="s">
        <v>768</v>
      </c>
    </row>
    <row r="874" spans="1:7" s="534" customFormat="1" ht="17.25" x14ac:dyDescent="0.35">
      <c r="A874" s="354"/>
      <c r="B874" s="354"/>
      <c r="C874" s="354"/>
      <c r="D874" s="354"/>
      <c r="E874" s="653"/>
      <c r="F874" s="354"/>
    </row>
    <row r="875" spans="1:7" s="534" customFormat="1" ht="30" x14ac:dyDescent="0.3">
      <c r="A875" s="357" t="s">
        <v>2</v>
      </c>
      <c r="B875" s="358" t="s">
        <v>877</v>
      </c>
      <c r="C875" s="359" t="s">
        <v>36</v>
      </c>
      <c r="E875" s="654"/>
      <c r="F875" s="360">
        <f>3500000*8</f>
        <v>28000000</v>
      </c>
      <c r="G875" s="534">
        <f>F875/8</f>
        <v>3500000</v>
      </c>
    </row>
    <row r="876" spans="1:7" s="534" customFormat="1" x14ac:dyDescent="0.3">
      <c r="A876" s="357"/>
      <c r="B876" s="358"/>
      <c r="C876" s="359"/>
      <c r="E876" s="654"/>
      <c r="F876" s="360"/>
    </row>
    <row r="877" spans="1:7" s="534" customFormat="1" x14ac:dyDescent="0.3">
      <c r="A877" s="357"/>
      <c r="B877" s="358"/>
      <c r="C877" s="359"/>
      <c r="E877" s="654"/>
      <c r="F877" s="360"/>
    </row>
    <row r="878" spans="1:7" s="534" customFormat="1" x14ac:dyDescent="0.3">
      <c r="A878" s="357"/>
      <c r="B878" s="358"/>
      <c r="C878" s="359"/>
      <c r="E878" s="654"/>
      <c r="F878" s="360"/>
    </row>
    <row r="879" spans="1:7" s="534" customFormat="1" x14ac:dyDescent="0.3">
      <c r="A879" s="357"/>
      <c r="B879" s="358"/>
      <c r="C879" s="359"/>
      <c r="E879" s="654"/>
      <c r="F879" s="360"/>
    </row>
    <row r="880" spans="1:7" s="534" customFormat="1" x14ac:dyDescent="0.3">
      <c r="A880" s="357"/>
      <c r="B880" s="358"/>
      <c r="C880" s="359"/>
      <c r="E880" s="654"/>
      <c r="F880" s="360"/>
    </row>
    <row r="881" spans="1:6" s="534" customFormat="1" x14ac:dyDescent="0.3">
      <c r="A881" s="357"/>
      <c r="B881" s="358"/>
      <c r="C881" s="359"/>
      <c r="E881" s="654"/>
      <c r="F881" s="360"/>
    </row>
    <row r="882" spans="1:6" s="534" customFormat="1" x14ac:dyDescent="0.3">
      <c r="A882" s="357"/>
      <c r="B882" s="358"/>
      <c r="C882" s="359"/>
      <c r="E882" s="654"/>
      <c r="F882" s="360"/>
    </row>
    <row r="883" spans="1:6" s="534" customFormat="1" x14ac:dyDescent="0.3">
      <c r="A883" s="357"/>
      <c r="B883" s="358"/>
      <c r="C883" s="359"/>
      <c r="E883" s="654"/>
      <c r="F883" s="360"/>
    </row>
    <row r="884" spans="1:6" s="534" customFormat="1" x14ac:dyDescent="0.3">
      <c r="A884" s="357"/>
      <c r="B884" s="358"/>
      <c r="C884" s="359"/>
      <c r="E884" s="654"/>
      <c r="F884" s="360"/>
    </row>
    <row r="885" spans="1:6" s="534" customFormat="1" x14ac:dyDescent="0.3">
      <c r="A885" s="357"/>
      <c r="B885" s="358"/>
      <c r="C885" s="359"/>
      <c r="E885" s="654"/>
      <c r="F885" s="360"/>
    </row>
    <row r="886" spans="1:6" s="534" customFormat="1" x14ac:dyDescent="0.3">
      <c r="A886" s="357"/>
      <c r="B886" s="358"/>
      <c r="C886" s="359"/>
      <c r="E886" s="654"/>
      <c r="F886" s="360"/>
    </row>
    <row r="887" spans="1:6" s="534" customFormat="1" x14ac:dyDescent="0.3">
      <c r="A887" s="357"/>
      <c r="B887" s="358"/>
      <c r="C887" s="359"/>
      <c r="E887" s="654"/>
      <c r="F887" s="360"/>
    </row>
    <row r="888" spans="1:6" s="534" customFormat="1" x14ac:dyDescent="0.3">
      <c r="A888" s="357"/>
      <c r="B888" s="358"/>
      <c r="C888" s="359"/>
      <c r="E888" s="654"/>
      <c r="F888" s="360"/>
    </row>
    <row r="889" spans="1:6" s="534" customFormat="1" x14ac:dyDescent="0.3">
      <c r="A889" s="357"/>
      <c r="B889" s="358"/>
      <c r="C889" s="359"/>
      <c r="E889" s="654"/>
      <c r="F889" s="360"/>
    </row>
    <row r="890" spans="1:6" s="534" customFormat="1" x14ac:dyDescent="0.3">
      <c r="A890" s="357"/>
      <c r="B890" s="358"/>
      <c r="C890" s="359"/>
      <c r="E890" s="654"/>
      <c r="F890" s="360"/>
    </row>
    <row r="891" spans="1:6" s="534" customFormat="1" x14ac:dyDescent="0.3">
      <c r="A891" s="357"/>
      <c r="B891" s="358"/>
      <c r="C891" s="359"/>
      <c r="E891" s="654"/>
      <c r="F891" s="360"/>
    </row>
    <row r="892" spans="1:6" s="534" customFormat="1" x14ac:dyDescent="0.3">
      <c r="A892" s="357"/>
      <c r="B892" s="358"/>
      <c r="C892" s="359"/>
      <c r="E892" s="654"/>
      <c r="F892" s="360"/>
    </row>
    <row r="893" spans="1:6" s="534" customFormat="1" x14ac:dyDescent="0.3">
      <c r="A893" s="357"/>
      <c r="B893" s="358"/>
      <c r="C893" s="359"/>
      <c r="E893" s="654"/>
      <c r="F893" s="360"/>
    </row>
    <row r="894" spans="1:6" s="534" customFormat="1" x14ac:dyDescent="0.3">
      <c r="A894" s="357"/>
      <c r="B894" s="358"/>
      <c r="C894" s="359"/>
      <c r="E894" s="654"/>
      <c r="F894" s="360"/>
    </row>
    <row r="895" spans="1:6" s="534" customFormat="1" x14ac:dyDescent="0.3">
      <c r="A895" s="357"/>
      <c r="B895" s="358"/>
      <c r="C895" s="359"/>
      <c r="E895" s="654"/>
      <c r="F895" s="360"/>
    </row>
    <row r="896" spans="1:6" s="497" customFormat="1" ht="18.75" x14ac:dyDescent="0.3">
      <c r="A896" s="197"/>
      <c r="B896" s="300" t="s">
        <v>659</v>
      </c>
      <c r="C896" s="202"/>
      <c r="D896" s="197"/>
      <c r="E896" s="299"/>
      <c r="F896" s="201"/>
    </row>
    <row r="897" spans="1:6" s="497" customFormat="1" ht="18" x14ac:dyDescent="0.35">
      <c r="A897" s="297"/>
      <c r="B897" s="293" t="s">
        <v>638</v>
      </c>
      <c r="C897" s="298"/>
      <c r="D897" s="297"/>
      <c r="E897" s="308" t="s">
        <v>15</v>
      </c>
      <c r="F897" s="301">
        <f>SUM(F875:F896)</f>
        <v>28000000</v>
      </c>
    </row>
    <row r="898" spans="1:6" x14ac:dyDescent="0.25">
      <c r="B898" s="211"/>
    </row>
    <row r="899" spans="1:6" x14ac:dyDescent="0.25">
      <c r="B899" s="211"/>
    </row>
    <row r="900" spans="1:6" ht="19.5" customHeight="1" x14ac:dyDescent="0.25">
      <c r="B900" s="211" t="s">
        <v>450</v>
      </c>
    </row>
    <row r="901" spans="1:6" x14ac:dyDescent="0.25">
      <c r="F901" s="273"/>
    </row>
    <row r="902" spans="1:6" ht="15.75" customHeight="1" x14ac:dyDescent="0.25">
      <c r="B902" s="218" t="s">
        <v>533</v>
      </c>
      <c r="E902" s="304">
        <f>F111</f>
        <v>68776740</v>
      </c>
      <c r="F902" s="274"/>
    </row>
    <row r="903" spans="1:6" x14ac:dyDescent="0.25">
      <c r="F903" s="274"/>
    </row>
    <row r="904" spans="1:6" x14ac:dyDescent="0.25">
      <c r="B904" s="214" t="s">
        <v>108</v>
      </c>
      <c r="E904" s="304">
        <f>F156</f>
        <v>39799550</v>
      </c>
      <c r="F904" s="274"/>
    </row>
    <row r="905" spans="1:6" x14ac:dyDescent="0.25">
      <c r="F905" s="274"/>
    </row>
    <row r="906" spans="1:6" x14ac:dyDescent="0.25">
      <c r="B906" s="214" t="s">
        <v>453</v>
      </c>
      <c r="E906" s="304">
        <f>F201</f>
        <v>43609850</v>
      </c>
      <c r="F906" s="274"/>
    </row>
    <row r="907" spans="1:6" x14ac:dyDescent="0.25">
      <c r="C907" s="275"/>
      <c r="D907" s="276"/>
      <c r="F907" s="274"/>
    </row>
    <row r="908" spans="1:6" x14ac:dyDescent="0.25">
      <c r="B908" s="214" t="s">
        <v>125</v>
      </c>
      <c r="E908" s="304">
        <f>F337</f>
        <v>9365480</v>
      </c>
      <c r="F908" s="274"/>
    </row>
    <row r="909" spans="1:6" ht="18" customHeight="1" x14ac:dyDescent="0.25">
      <c r="C909" s="275"/>
      <c r="D909" s="276"/>
      <c r="F909" s="274"/>
    </row>
    <row r="910" spans="1:6" x14ac:dyDescent="0.25">
      <c r="B910" s="214" t="s">
        <v>163</v>
      </c>
      <c r="E910" s="304">
        <f>F472</f>
        <v>42875190</v>
      </c>
      <c r="F910" s="274"/>
    </row>
    <row r="911" spans="1:6" x14ac:dyDescent="0.25">
      <c r="C911" s="275"/>
      <c r="D911" s="276"/>
      <c r="F911" s="274"/>
    </row>
    <row r="912" spans="1:6" x14ac:dyDescent="0.25">
      <c r="B912" s="214" t="s">
        <v>195</v>
      </c>
      <c r="E912" s="304">
        <f>F516</f>
        <v>16425790</v>
      </c>
      <c r="F912" s="274"/>
    </row>
    <row r="913" spans="2:6" x14ac:dyDescent="0.25">
      <c r="F913" s="274"/>
    </row>
    <row r="914" spans="2:6" x14ac:dyDescent="0.25">
      <c r="B914" s="214" t="s">
        <v>602</v>
      </c>
      <c r="E914" s="304">
        <f>F565</f>
        <v>44827926</v>
      </c>
      <c r="F914" s="274"/>
    </row>
    <row r="915" spans="2:6" x14ac:dyDescent="0.25">
      <c r="F915" s="274"/>
    </row>
    <row r="916" spans="2:6" x14ac:dyDescent="0.25">
      <c r="B916" s="214" t="s">
        <v>210</v>
      </c>
      <c r="E916" s="304">
        <f>F610</f>
        <v>19375620</v>
      </c>
      <c r="F916" s="274"/>
    </row>
    <row r="917" spans="2:6" x14ac:dyDescent="0.25">
      <c r="F917" s="274"/>
    </row>
    <row r="918" spans="2:6" x14ac:dyDescent="0.25">
      <c r="B918" s="214" t="s">
        <v>607</v>
      </c>
      <c r="E918" s="304">
        <f>F646</f>
        <v>15913800</v>
      </c>
      <c r="F918" s="274"/>
    </row>
    <row r="919" spans="2:6" x14ac:dyDescent="0.25">
      <c r="C919" s="275"/>
      <c r="D919" s="276"/>
      <c r="F919" s="274"/>
    </row>
    <row r="920" spans="2:6" x14ac:dyDescent="0.25">
      <c r="B920" s="214" t="s">
        <v>905</v>
      </c>
      <c r="E920" s="304">
        <f>F678</f>
        <v>31454000</v>
      </c>
      <c r="F920" s="274"/>
    </row>
    <row r="921" spans="2:6" x14ac:dyDescent="0.25">
      <c r="F921" s="274"/>
    </row>
    <row r="922" spans="2:6" x14ac:dyDescent="0.25">
      <c r="B922" s="214" t="s">
        <v>236</v>
      </c>
      <c r="E922" s="304">
        <f>F714</f>
        <v>40642820</v>
      </c>
      <c r="F922" s="274"/>
    </row>
    <row r="923" spans="2:6" x14ac:dyDescent="0.25">
      <c r="F923" s="274"/>
    </row>
    <row r="924" spans="2:6" x14ac:dyDescent="0.25">
      <c r="B924" s="214" t="s">
        <v>689</v>
      </c>
      <c r="E924" s="304">
        <f>F786</f>
        <v>32159841.449999999</v>
      </c>
      <c r="F924" s="274"/>
    </row>
    <row r="925" spans="2:6" x14ac:dyDescent="0.25">
      <c r="F925" s="274"/>
    </row>
    <row r="926" spans="2:6" x14ac:dyDescent="0.25">
      <c r="B926" s="214" t="s">
        <v>690</v>
      </c>
      <c r="E926" s="304">
        <f>F832</f>
        <v>25818560</v>
      </c>
      <c r="F926" s="274"/>
    </row>
    <row r="927" spans="2:6" x14ac:dyDescent="0.25">
      <c r="F927" s="274"/>
    </row>
    <row r="928" spans="2:6" x14ac:dyDescent="0.25">
      <c r="B928" s="214" t="s">
        <v>658</v>
      </c>
      <c r="E928" s="304">
        <f>F867</f>
        <v>20000000</v>
      </c>
      <c r="F928" s="274"/>
    </row>
    <row r="929" spans="2:6" x14ac:dyDescent="0.25">
      <c r="C929" s="275"/>
      <c r="D929" s="276"/>
      <c r="F929" s="274"/>
    </row>
    <row r="930" spans="2:6" x14ac:dyDescent="0.25">
      <c r="B930" s="214" t="s">
        <v>659</v>
      </c>
      <c r="C930" s="277"/>
      <c r="E930" s="304">
        <f>F897</f>
        <v>28000000</v>
      </c>
      <c r="F930" s="274"/>
    </row>
    <row r="931" spans="2:6" x14ac:dyDescent="0.25">
      <c r="C931" s="277"/>
      <c r="F931" s="274"/>
    </row>
    <row r="932" spans="2:6" x14ac:dyDescent="0.25">
      <c r="B932" s="278" t="s">
        <v>1003</v>
      </c>
      <c r="C932" s="279"/>
      <c r="D932" s="280"/>
      <c r="E932" s="309"/>
      <c r="F932" s="274"/>
    </row>
    <row r="933" spans="2:6" ht="17.25" customHeight="1" x14ac:dyDescent="0.25">
      <c r="B933" s="220" t="s">
        <v>660</v>
      </c>
      <c r="D933" s="276" t="s">
        <v>20</v>
      </c>
      <c r="E933" s="310"/>
      <c r="F933" s="222">
        <f>SUM(E902:E932)</f>
        <v>479045167.44999999</v>
      </c>
    </row>
    <row r="934" spans="2:6" ht="19.5" customHeight="1" x14ac:dyDescent="0.25">
      <c r="B934" s="220" t="s">
        <v>692</v>
      </c>
      <c r="F934" s="281">
        <f>F933*5%</f>
        <v>23952258.372500002</v>
      </c>
    </row>
    <row r="935" spans="2:6" ht="19.5" customHeight="1" x14ac:dyDescent="0.25">
      <c r="B935" s="220" t="s">
        <v>474</v>
      </c>
      <c r="F935" s="222">
        <f>SUM(F933:F934)</f>
        <v>502997425.82249999</v>
      </c>
    </row>
    <row r="936" spans="2:6" ht="19.5" customHeight="1" x14ac:dyDescent="0.25">
      <c r="B936" s="220" t="s">
        <v>693</v>
      </c>
      <c r="F936" s="222">
        <f>F935*5%</f>
        <v>25149871.291125</v>
      </c>
    </row>
    <row r="937" spans="2:6" ht="19.5" customHeight="1" x14ac:dyDescent="0.25">
      <c r="B937" s="220"/>
      <c r="F937" s="282">
        <f>SUM(F935:F936)</f>
        <v>528147297.11362499</v>
      </c>
    </row>
    <row r="938" spans="2:6" x14ac:dyDescent="0.25">
      <c r="B938" s="220" t="s">
        <v>477</v>
      </c>
      <c r="F938" s="281">
        <f>F937*7.5%</f>
        <v>39611047.283521876</v>
      </c>
    </row>
    <row r="939" spans="2:6" ht="17.25" customHeight="1" thickBot="1" x14ac:dyDescent="0.3">
      <c r="B939" s="210" t="s">
        <v>694</v>
      </c>
      <c r="E939" s="303" t="s">
        <v>15</v>
      </c>
      <c r="F939" s="283">
        <f>SUM(F937:F938)</f>
        <v>567758344.39714682</v>
      </c>
    </row>
    <row r="940" spans="2:6" ht="17.25" customHeight="1" thickTop="1" x14ac:dyDescent="0.25">
      <c r="B940" s="220" t="s">
        <v>695</v>
      </c>
    </row>
    <row r="941" spans="2:6" ht="17.25" customHeight="1" x14ac:dyDescent="0.25">
      <c r="B941" s="220"/>
    </row>
    <row r="942" spans="2:6" ht="17.25" customHeight="1" x14ac:dyDescent="0.25"/>
    <row r="943" spans="2:6" ht="20.45" customHeight="1" x14ac:dyDescent="0.25"/>
    <row r="944" spans="2:6" ht="17.25" customHeight="1" x14ac:dyDescent="0.25"/>
    <row r="945" spans="2:7" ht="17.25" customHeight="1" x14ac:dyDescent="0.25"/>
    <row r="946" spans="2:7" ht="17.25" customHeight="1" x14ac:dyDescent="0.25"/>
    <row r="947" spans="2:7" ht="17.25" customHeight="1" x14ac:dyDescent="0.25"/>
    <row r="948" spans="2:7" ht="17.25" customHeight="1" x14ac:dyDescent="0.25"/>
    <row r="949" spans="2:7" ht="17.25" customHeight="1" x14ac:dyDescent="0.25"/>
    <row r="954" spans="2:7" x14ac:dyDescent="0.25">
      <c r="B954" s="206"/>
      <c r="C954" s="220" t="s">
        <v>471</v>
      </c>
      <c r="D954" s="221">
        <v>2002</v>
      </c>
      <c r="E954" s="209" t="s">
        <v>472</v>
      </c>
      <c r="F954" s="304"/>
      <c r="G954" s="207"/>
    </row>
    <row r="955" spans="2:7" x14ac:dyDescent="0.25">
      <c r="B955" s="206"/>
      <c r="C955" s="220" t="s">
        <v>661</v>
      </c>
      <c r="D955" s="205"/>
      <c r="E955" s="206"/>
      <c r="F955" s="303">
        <f>F939/D954</f>
        <v>283595.57662195148</v>
      </c>
      <c r="G955" s="207"/>
    </row>
    <row r="956" spans="2:7" x14ac:dyDescent="0.25">
      <c r="B956" s="206"/>
      <c r="C956" s="220" t="s">
        <v>660</v>
      </c>
      <c r="D956" s="205"/>
      <c r="E956" s="206"/>
      <c r="F956" s="303"/>
      <c r="G956" s="207">
        <f>F939/4</f>
        <v>141939586.09928671</v>
      </c>
    </row>
    <row r="957" spans="2:7" x14ac:dyDescent="0.25">
      <c r="B957" s="206"/>
      <c r="C957" s="220" t="s">
        <v>1036</v>
      </c>
      <c r="D957" s="205"/>
      <c r="E957" s="206"/>
      <c r="F957" s="304"/>
      <c r="G957" s="207">
        <f>F939/8</f>
        <v>70969793.049643353</v>
      </c>
    </row>
    <row r="958" spans="2:7" x14ac:dyDescent="0.25">
      <c r="B958" s="206"/>
      <c r="C958" s="214"/>
      <c r="D958" s="205"/>
      <c r="E958" s="206"/>
      <c r="F958" s="304"/>
      <c r="G958" s="207"/>
    </row>
    <row r="960" spans="2:7" x14ac:dyDescent="0.25">
      <c r="B960" s="214" t="s">
        <v>696</v>
      </c>
    </row>
    <row r="963" spans="1:6" s="223" customFormat="1" x14ac:dyDescent="0.25">
      <c r="A963" s="206"/>
      <c r="B963" s="214"/>
      <c r="C963" s="205"/>
      <c r="D963" s="206"/>
      <c r="E963" s="304"/>
      <c r="F963" s="207"/>
    </row>
    <row r="964" spans="1:6" s="223" customFormat="1" x14ac:dyDescent="0.25">
      <c r="A964" s="206"/>
      <c r="B964" s="214"/>
      <c r="C964" s="205"/>
      <c r="D964" s="206"/>
      <c r="E964" s="304"/>
      <c r="F964" s="207"/>
    </row>
    <row r="965" spans="1:6" s="223" customFormat="1" x14ac:dyDescent="0.25">
      <c r="A965" s="206"/>
      <c r="B965" s="214"/>
      <c r="C965" s="205"/>
      <c r="D965" s="206"/>
      <c r="E965" s="304"/>
      <c r="F965" s="207"/>
    </row>
    <row r="966" spans="1:6" s="223" customFormat="1" x14ac:dyDescent="0.25">
      <c r="A966" s="206"/>
      <c r="B966" s="214"/>
      <c r="C966" s="205"/>
      <c r="D966" s="206"/>
      <c r="E966" s="304"/>
      <c r="F966" s="207"/>
    </row>
    <row r="967" spans="1:6" s="223" customFormat="1" x14ac:dyDescent="0.25">
      <c r="A967" s="206"/>
      <c r="B967" s="214"/>
      <c r="C967" s="205"/>
      <c r="D967" s="206"/>
      <c r="E967" s="304"/>
      <c r="F967" s="207"/>
    </row>
    <row r="968" spans="1:6" s="223" customFormat="1" x14ac:dyDescent="0.25">
      <c r="A968" s="206"/>
      <c r="B968" s="214"/>
      <c r="C968" s="205"/>
      <c r="D968" s="206"/>
      <c r="E968" s="304"/>
      <c r="F968" s="207"/>
    </row>
    <row r="992" spans="1:6" s="223" customFormat="1" x14ac:dyDescent="0.25">
      <c r="A992" s="206"/>
      <c r="B992" s="214"/>
      <c r="C992" s="205"/>
      <c r="D992" s="206"/>
      <c r="E992" s="304"/>
      <c r="F992" s="207"/>
    </row>
    <row r="993" ht="21" customHeight="1" x14ac:dyDescent="0.25"/>
    <row r="1030" spans="1:6" s="223" customFormat="1" x14ac:dyDescent="0.25">
      <c r="A1030" s="206"/>
      <c r="B1030" s="214"/>
      <c r="C1030" s="205"/>
      <c r="D1030" s="206"/>
      <c r="E1030" s="304"/>
      <c r="F1030" s="207"/>
    </row>
    <row r="1031" spans="1:6" s="223" customFormat="1" x14ac:dyDescent="0.25">
      <c r="A1031" s="206"/>
      <c r="B1031" s="214"/>
      <c r="C1031" s="205"/>
      <c r="D1031" s="206"/>
      <c r="E1031" s="304"/>
      <c r="F1031" s="207"/>
    </row>
    <row r="1062" spans="1:6" s="223" customFormat="1" x14ac:dyDescent="0.25">
      <c r="A1062" s="206"/>
      <c r="B1062" s="214"/>
      <c r="C1062" s="205"/>
      <c r="D1062" s="206"/>
      <c r="E1062" s="304"/>
      <c r="F1062" s="207"/>
    </row>
    <row r="1063" spans="1:6" s="223" customFormat="1" x14ac:dyDescent="0.25">
      <c r="A1063" s="206"/>
      <c r="B1063" s="214"/>
      <c r="C1063" s="205"/>
      <c r="D1063" s="206"/>
      <c r="E1063" s="304"/>
      <c r="F1063" s="207"/>
    </row>
  </sheetData>
  <printOptions gridLines="1"/>
  <pageMargins left="0.74803149606299213" right="0.74803149606299213" top="0.98425196850393704" bottom="0.98425196850393704" header="0.51181102362204722" footer="0.51181102362204722"/>
  <pageSetup paperSize="9" scale="71" orientation="portrait" r:id="rId1"/>
  <headerFooter alignWithMargins="0">
    <oddFooter>&amp;R&amp;"Comic Sans MS,Bold Italic"Page /&amp;P</oddFooter>
  </headerFooter>
  <rowBreaks count="22" manualBreakCount="22">
    <brk id="31" max="5" man="1"/>
    <brk id="72" max="5" man="1"/>
    <brk id="111" max="5" man="1"/>
    <brk id="156" max="5" man="1"/>
    <brk id="201" max="5" man="1"/>
    <brk id="247" max="5" man="1"/>
    <brk id="292" max="5" man="1"/>
    <brk id="337" max="5" man="1"/>
    <brk id="383" max="5" man="1"/>
    <brk id="428" max="5" man="1"/>
    <brk id="472" max="5" man="1"/>
    <brk id="516" max="5" man="1"/>
    <brk id="565" max="5" man="1"/>
    <brk id="610" max="5" man="1"/>
    <brk id="646" max="5" man="1"/>
    <brk id="678" max="5" man="1"/>
    <brk id="714" max="5" man="1"/>
    <brk id="750" max="5" man="1"/>
    <brk id="786" max="5" man="1"/>
    <brk id="832" max="5" man="1"/>
    <brk id="867" max="5" man="1"/>
    <brk id="898"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BILL</vt:lpstr>
      <vt:lpstr>BILL (2)</vt:lpstr>
      <vt:lpstr>Cover Page</vt:lpstr>
      <vt:lpstr>Cover page (6bd</vt:lpstr>
      <vt:lpstr>6BD detatched</vt:lpstr>
      <vt:lpstr>Cover page 4bd semi detached</vt:lpstr>
      <vt:lpstr>4BD SEMI-DETACHED</vt:lpstr>
      <vt:lpstr>Cover page (3 bd terrace</vt:lpstr>
      <vt:lpstr>3BD TERRACE</vt:lpstr>
      <vt:lpstr>Cover page 3BD BLK FLAT</vt:lpstr>
      <vt:lpstr>3BD BLK FLAT</vt:lpstr>
      <vt:lpstr>cover page 2BD BLK FLAT</vt:lpstr>
      <vt:lpstr>2BD BLK FLAT </vt:lpstr>
      <vt:lpstr>Cover page site office</vt:lpstr>
      <vt:lpstr>Site office</vt:lpstr>
      <vt:lpstr>Cover page GATEhouse</vt:lpstr>
      <vt:lpstr>GATE HOUSE</vt:lpstr>
      <vt:lpstr>Cover page fence</vt:lpstr>
      <vt:lpstr>Fence work </vt:lpstr>
      <vt:lpstr>INFRASTRUCTURE</vt:lpstr>
      <vt:lpstr>General Summary</vt:lpstr>
      <vt:lpstr>'2BD BLK FLAT '!Print_Area</vt:lpstr>
      <vt:lpstr>'3BD BLK FLAT'!Print_Area</vt:lpstr>
      <vt:lpstr>'3BD TERRACE'!Print_Area</vt:lpstr>
      <vt:lpstr>'4BD SEMI-DETACHED'!Print_Area</vt:lpstr>
      <vt:lpstr>'6BD detatched'!Print_Area</vt:lpstr>
      <vt:lpstr>BILL!Print_Area</vt:lpstr>
      <vt:lpstr>'BILL (2)'!Print_Area</vt:lpstr>
      <vt:lpstr>'Cover Page'!Print_Area</vt:lpstr>
      <vt:lpstr>'Cover page (3 bd terrace'!Print_Area</vt:lpstr>
      <vt:lpstr>'Cover page (6bd'!Print_Area</vt:lpstr>
      <vt:lpstr>'cover page 2BD BLK FLAT'!Print_Area</vt:lpstr>
      <vt:lpstr>'Cover page 3BD BLK FLAT'!Print_Area</vt:lpstr>
      <vt:lpstr>'Cover page 4bd semi detached'!Print_Area</vt:lpstr>
      <vt:lpstr>'Cover page fence'!Print_Area</vt:lpstr>
      <vt:lpstr>'Cover page GATEhouse'!Print_Area</vt:lpstr>
      <vt:lpstr>'Cover page site office'!Print_Area</vt:lpstr>
      <vt:lpstr>'Fence work '!Print_Area</vt:lpstr>
      <vt:lpstr>'GATE HOUSE'!Print_Area</vt:lpstr>
      <vt:lpstr>'General Summary'!Print_Area</vt:lpstr>
      <vt:lpstr>'Site office'!Print_Area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dc:creator>
  <cp:lastModifiedBy>ibrahim Abdulsalam shehu</cp:lastModifiedBy>
  <cp:lastPrinted>2024-03-11T09:50:16Z</cp:lastPrinted>
  <dcterms:created xsi:type="dcterms:W3CDTF">2021-02-18T08:33:09Z</dcterms:created>
  <dcterms:modified xsi:type="dcterms:W3CDTF">2024-07-22T15:33:48Z</dcterms:modified>
</cp:coreProperties>
</file>