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DOULRAZERQ\Desktop\usl\abdulsalam\ABS 2022 WKS\TAKEOFF TEMPLATE\"/>
    </mc:Choice>
  </mc:AlternateContent>
  <xr:revisionPtr revIDLastSave="0" documentId="13_ncr:1_{1456A054-A796-4A6F-A570-8074FEA43F18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COLORADO MAITAMA" sheetId="4" r:id="rId1"/>
    <sheet name="4BD TAKE OFF QUANTITIES" sheetId="2" r:id="rId2"/>
    <sheet name="4BD TAKE OFF QUANTITIES (2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__cbd1" localSheetId="1">'[1]MAIN BLD TAKE OFF'!#REF!</definedName>
    <definedName name="______cbd1" localSheetId="2">'[1]MAIN BLD TAKE OFF'!#REF!</definedName>
    <definedName name="______cbd1">'[1]MAIN BLD TAKE OFF'!#REF!</definedName>
    <definedName name="______cbd2" localSheetId="1">'[1]MAIN BLD TAKE OFF'!#REF!</definedName>
    <definedName name="______cbd2" localSheetId="2">'[1]MAIN BLD TAKE OFF'!#REF!</definedName>
    <definedName name="______cbd2">'[1]MAIN BLD TAKE OFF'!#REF!</definedName>
    <definedName name="______cbd3" localSheetId="1">'[1]MAIN BLD TAKE OFF'!#REF!</definedName>
    <definedName name="______cbd3" localSheetId="2">'[1]MAIN BLD TAKE OFF'!#REF!</definedName>
    <definedName name="______cbd3">'[1]MAIN BLD TAKE OFF'!#REF!</definedName>
    <definedName name="______td2" localSheetId="1">'[1]MAIN BLD TAKE OFF'!#REF!</definedName>
    <definedName name="______td2" localSheetId="2">'[1]MAIN BLD TAKE OFF'!#REF!</definedName>
    <definedName name="______td2">'[1]MAIN BLD TAKE OFF'!#REF!</definedName>
    <definedName name="______tl1" localSheetId="1">'[1]MAIN BLD TAKE OFF'!#REF!</definedName>
    <definedName name="______tl1" localSheetId="2">'[1]MAIN BLD TAKE OFF'!#REF!</definedName>
    <definedName name="______tl1">'[1]MAIN BLD TAKE OFF'!#REF!</definedName>
    <definedName name="______tl2" localSheetId="1">'[1]MAIN BLD TAKE OFF'!#REF!</definedName>
    <definedName name="______tl2" localSheetId="2">'[1]MAIN BLD TAKE OFF'!#REF!</definedName>
    <definedName name="______tl2">'[1]MAIN BLD TAKE OFF'!#REF!</definedName>
    <definedName name="______tw2" localSheetId="1">'[1]MAIN BLD TAKE OFF'!#REF!</definedName>
    <definedName name="______tw2" localSheetId="2">'[1]MAIN BLD TAKE OFF'!#REF!</definedName>
    <definedName name="______tw2">'[1]MAIN BLD TAKE OFF'!#REF!</definedName>
    <definedName name="_____cbd1" localSheetId="1">'[1]MAIN BLD TAKE OFF'!#REF!</definedName>
    <definedName name="_____cbd1" localSheetId="2">'[1]MAIN BLD TAKE OFF'!#REF!</definedName>
    <definedName name="_____cbd1">'[1]MAIN BLD TAKE OFF'!#REF!</definedName>
    <definedName name="_____cbd2" localSheetId="1">'[1]MAIN BLD TAKE OFF'!#REF!</definedName>
    <definedName name="_____cbd2" localSheetId="2">'[1]MAIN BLD TAKE OFF'!#REF!</definedName>
    <definedName name="_____cbd2">'[1]MAIN BLD TAKE OFF'!#REF!</definedName>
    <definedName name="_____cbd3" localSheetId="1">'[1]MAIN BLD TAKE OFF'!#REF!</definedName>
    <definedName name="_____cbd3" localSheetId="2">'[1]MAIN BLD TAKE OFF'!#REF!</definedName>
    <definedName name="_____cbd3">'[1]MAIN BLD TAKE OFF'!#REF!</definedName>
    <definedName name="_____td2" localSheetId="1">'[1]MAIN BLD TAKE OFF'!#REF!</definedName>
    <definedName name="_____td2" localSheetId="2">'[1]MAIN BLD TAKE OFF'!#REF!</definedName>
    <definedName name="_____td2">'[1]MAIN BLD TAKE OFF'!#REF!</definedName>
    <definedName name="_____tl1" localSheetId="1">'[1]MAIN BLD TAKE OFF'!#REF!</definedName>
    <definedName name="_____tl1" localSheetId="2">'[1]MAIN BLD TAKE OFF'!#REF!</definedName>
    <definedName name="_____tl1">'[1]MAIN BLD TAKE OFF'!#REF!</definedName>
    <definedName name="_____tl2" localSheetId="1">'[1]MAIN BLD TAKE OFF'!#REF!</definedName>
    <definedName name="_____tl2" localSheetId="2">'[1]MAIN BLD TAKE OFF'!#REF!</definedName>
    <definedName name="_____tl2">'[1]MAIN BLD TAKE OFF'!#REF!</definedName>
    <definedName name="_____tw1">'[2]MAIN BLD TAKE OFF'!$I$34</definedName>
    <definedName name="_____tw2" localSheetId="1">'[1]MAIN BLD TAKE OFF'!#REF!</definedName>
    <definedName name="_____tw2" localSheetId="2">'[1]MAIN BLD TAKE OFF'!#REF!</definedName>
    <definedName name="_____tw2">'[1]MAIN BLD TAKE OFF'!#REF!</definedName>
    <definedName name="____cbd1" localSheetId="1">'[1]MAIN BLD TAKE OFF'!#REF!</definedName>
    <definedName name="____cbd1" localSheetId="2">'[1]MAIN BLD TAKE OFF'!#REF!</definedName>
    <definedName name="____cbd1">'[1]MAIN BLD TAKE OFF'!#REF!</definedName>
    <definedName name="____cbd2" localSheetId="1">'[1]MAIN BLD TAKE OFF'!#REF!</definedName>
    <definedName name="____cbd2" localSheetId="2">'[1]MAIN BLD TAKE OFF'!#REF!</definedName>
    <definedName name="____cbd2">'[1]MAIN BLD TAKE OFF'!#REF!</definedName>
    <definedName name="____cbd3" localSheetId="1">'[1]MAIN BLD TAKE OFF'!#REF!</definedName>
    <definedName name="____cbd3" localSheetId="2">'[1]MAIN BLD TAKE OFF'!#REF!</definedName>
    <definedName name="____cbd3">'[1]MAIN BLD TAKE OFF'!#REF!</definedName>
    <definedName name="____td2" localSheetId="1">'[1]MAIN BLD TAKE OFF'!#REF!</definedName>
    <definedName name="____td2" localSheetId="2">'[1]MAIN BLD TAKE OFF'!#REF!</definedName>
    <definedName name="____td2">'[1]MAIN BLD TAKE OFF'!#REF!</definedName>
    <definedName name="____tl1" localSheetId="1">'[1]MAIN BLD TAKE OFF'!#REF!</definedName>
    <definedName name="____tl1" localSheetId="2">'[1]MAIN BLD TAKE OFF'!#REF!</definedName>
    <definedName name="____tl1">'[1]MAIN BLD TAKE OFF'!#REF!</definedName>
    <definedName name="____tl2" localSheetId="1">'[1]MAIN BLD TAKE OFF'!#REF!</definedName>
    <definedName name="____tl2" localSheetId="2">'[1]MAIN BLD TAKE OFF'!#REF!</definedName>
    <definedName name="____tl2">'[1]MAIN BLD TAKE OFF'!#REF!</definedName>
    <definedName name="____tw1">'[3]MAIN BLD TAKE OFF'!$I$34</definedName>
    <definedName name="____tw2" localSheetId="1">'[1]MAIN BLD TAKE OFF'!#REF!</definedName>
    <definedName name="____tw2" localSheetId="2">'[1]MAIN BLD TAKE OFF'!#REF!</definedName>
    <definedName name="____tw2">'[1]MAIN BLD TAKE OFF'!#REF!</definedName>
    <definedName name="___cbd1" localSheetId="1">'[1]MAIN BLD TAKE OFF'!#REF!</definedName>
    <definedName name="___cbd1" localSheetId="2">'[1]MAIN BLD TAKE OFF'!#REF!</definedName>
    <definedName name="___cbd1">'[1]MAIN BLD TAKE OFF'!#REF!</definedName>
    <definedName name="___cbd2" localSheetId="1">'[1]MAIN BLD TAKE OFF'!#REF!</definedName>
    <definedName name="___cbd2" localSheetId="2">'[1]MAIN BLD TAKE OFF'!#REF!</definedName>
    <definedName name="___cbd2">'[1]MAIN BLD TAKE OFF'!#REF!</definedName>
    <definedName name="___cbd3" localSheetId="1">'[1]MAIN BLD TAKE OFF'!#REF!</definedName>
    <definedName name="___cbd3" localSheetId="2">'[1]MAIN BLD TAKE OFF'!#REF!</definedName>
    <definedName name="___cbd3">'[1]MAIN BLD TAKE OFF'!#REF!</definedName>
    <definedName name="___td2" localSheetId="1">'[1]MAIN BLD TAKE OFF'!#REF!</definedName>
    <definedName name="___td2" localSheetId="2">'[1]MAIN BLD TAKE OFF'!#REF!</definedName>
    <definedName name="___td2">'[1]MAIN BLD TAKE OFF'!#REF!</definedName>
    <definedName name="___tl1" localSheetId="1">'[1]MAIN BLD TAKE OFF'!#REF!</definedName>
    <definedName name="___tl1" localSheetId="2">'[1]MAIN BLD TAKE OFF'!#REF!</definedName>
    <definedName name="___tl1">'[1]MAIN BLD TAKE OFF'!#REF!</definedName>
    <definedName name="___tl2" localSheetId="1">'[1]MAIN BLD TAKE OFF'!#REF!</definedName>
    <definedName name="___tl2" localSheetId="2">'[1]MAIN BLD TAKE OFF'!#REF!</definedName>
    <definedName name="___tl2">'[1]MAIN BLD TAKE OFF'!#REF!</definedName>
    <definedName name="___tw1">'[2]MAIN BLD TAKE OFF'!$I$34</definedName>
    <definedName name="___tw2" localSheetId="1">'[1]MAIN BLD TAKE OFF'!#REF!</definedName>
    <definedName name="___tw2" localSheetId="2">'[1]MAIN BLD TAKE OFF'!#REF!</definedName>
    <definedName name="___tw2">'[1]MAIN BLD TAKE OFF'!#REF!</definedName>
    <definedName name="__cbd1" localSheetId="1">'[4]MAIN BLD TAKE OFF'!#REF!</definedName>
    <definedName name="__cbd1" localSheetId="2">'[4]MAIN BLD TAKE OFF'!#REF!</definedName>
    <definedName name="__cbd1">'[4]MAIN BLD TAKE OFF'!#REF!</definedName>
    <definedName name="__cbd2" localSheetId="1">'[4]MAIN BLD TAKE OFF'!#REF!</definedName>
    <definedName name="__cbd2" localSheetId="2">'[4]MAIN BLD TAKE OFF'!#REF!</definedName>
    <definedName name="__cbd2">'[4]MAIN BLD TAKE OFF'!#REF!</definedName>
    <definedName name="__cbd3" localSheetId="1">'[4]MAIN BLD TAKE OFF'!#REF!</definedName>
    <definedName name="__cbd3" localSheetId="2">'[4]MAIN BLD TAKE OFF'!#REF!</definedName>
    <definedName name="__cbd3">'[4]MAIN BLD TAKE OFF'!#REF!</definedName>
    <definedName name="__td2" localSheetId="1">'[4]MAIN BLD TAKE OFF'!#REF!</definedName>
    <definedName name="__td2" localSheetId="2">'[4]MAIN BLD TAKE OFF'!#REF!</definedName>
    <definedName name="__td2">'[4]MAIN BLD TAKE OFF'!#REF!</definedName>
    <definedName name="__tl1" localSheetId="1">'[4]MAIN BLD TAKE OFF'!#REF!</definedName>
    <definedName name="__tl1" localSheetId="2">'[4]MAIN BLD TAKE OFF'!#REF!</definedName>
    <definedName name="__tl1">'[4]MAIN BLD TAKE OFF'!#REF!</definedName>
    <definedName name="__tl2" localSheetId="1">'[4]MAIN BLD TAKE OFF'!#REF!</definedName>
    <definedName name="__tl2" localSheetId="2">'[4]MAIN BLD TAKE OFF'!#REF!</definedName>
    <definedName name="__tl2">'[4]MAIN BLD TAKE OFF'!#REF!</definedName>
    <definedName name="__tw1">'[2]MAIN BLD TAKE OFF'!$I$34</definedName>
    <definedName name="__tw2" localSheetId="1">'[4]MAIN BLD TAKE OFF'!#REF!</definedName>
    <definedName name="__tw2" localSheetId="2">'[4]MAIN BLD TAKE OFF'!#REF!</definedName>
    <definedName name="__tw2">'[4]MAIN BLD TAKE OFF'!#REF!</definedName>
    <definedName name="_1_allcaz">[5]_1_allcaz!$A$1:$BN$1974</definedName>
    <definedName name="_3_BEDROOM_SEMI___DETACHED_DUPLEX__134_M2">"5BRM DUPLEX '5BRM DUPLEX (134m2)+'5BRM DUPLEX (134m2)"</definedName>
    <definedName name="_cbd1" localSheetId="1">'[4]MAIN BLD TAKE OFF'!#REF!</definedName>
    <definedName name="_cbd1" localSheetId="2">'[4]MAIN BLD TAKE OFF'!#REF!</definedName>
    <definedName name="_cbd1">'[4]MAIN BLD TAKE OFF'!#REF!</definedName>
    <definedName name="_cbd2" localSheetId="1">'[4]MAIN BLD TAKE OFF'!#REF!</definedName>
    <definedName name="_cbd2" localSheetId="2">'[4]MAIN BLD TAKE OFF'!#REF!</definedName>
    <definedName name="_cbd2">'[4]MAIN BLD TAKE OFF'!#REF!</definedName>
    <definedName name="_cbd3" localSheetId="1">'[4]MAIN BLD TAKE OFF'!#REF!</definedName>
    <definedName name="_cbd3" localSheetId="2">'[4]MAIN BLD TAKE OFF'!#REF!</definedName>
    <definedName name="_cbd3">'[4]MAIN BLD TAKE OFF'!#REF!</definedName>
    <definedName name="_Fill" localSheetId="2" hidden="1">#REF!</definedName>
    <definedName name="_Fill" hidden="1">#REF!</definedName>
    <definedName name="_Order1" hidden="1">255</definedName>
    <definedName name="_Order2" hidden="1">255</definedName>
    <definedName name="_SK1" localSheetId="2">#REF!</definedName>
    <definedName name="_SK1">#REF!</definedName>
    <definedName name="_td2" localSheetId="1">'[4]MAIN BLD TAKE OFF'!#REF!</definedName>
    <definedName name="_td2" localSheetId="2">'[4]MAIN BLD TAKE OFF'!#REF!</definedName>
    <definedName name="_td2">'[4]MAIN BLD TAKE OFF'!#REF!</definedName>
    <definedName name="_tl1" localSheetId="1">'[4]MAIN BLD TAKE OFF'!#REF!</definedName>
    <definedName name="_tl1" localSheetId="2">'[4]MAIN BLD TAKE OFF'!#REF!</definedName>
    <definedName name="_tl1">'[4]MAIN BLD TAKE OFF'!#REF!</definedName>
    <definedName name="_tl2" localSheetId="1">'[4]MAIN BLD TAKE OFF'!#REF!</definedName>
    <definedName name="_tl2" localSheetId="2">'[4]MAIN BLD TAKE OFF'!#REF!</definedName>
    <definedName name="_tl2">'[4]MAIN BLD TAKE OFF'!#REF!</definedName>
    <definedName name="_tw1">'[2]MAIN BLD TAKE OFF'!$I$34</definedName>
    <definedName name="_tw2" localSheetId="1">'[4]MAIN BLD TAKE OFF'!#REF!</definedName>
    <definedName name="_tw2" localSheetId="2">'[4]MAIN BLD TAKE OFF'!#REF!</definedName>
    <definedName name="_tw2">'[4]MAIN BLD TAKE OFF'!#REF!</definedName>
    <definedName name="A" localSheetId="1">#REF!</definedName>
    <definedName name="A" localSheetId="2">#REF!</definedName>
    <definedName name="a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A">#REF!</definedName>
    <definedName name="a1a1a" localSheetId="1">{#N/A,#N/A,FALSE,"Cashflow"}</definedName>
    <definedName name="a1a1a" localSheetId="2">{#N/A,#N/A,FALSE,"Cashflow"}</definedName>
    <definedName name="a1a1a">{#N/A,#N/A,FALSE,"Cashflow"}</definedName>
    <definedName name="a1a1a1a1" localSheetId="1">{#N/A,#N/A,FALSE,"Capacity"}</definedName>
    <definedName name="a1a1a1a1" localSheetId="2">{#N/A,#N/A,FALSE,"Capacity"}</definedName>
    <definedName name="a1a1a1a1">{#N/A,#N/A,FALSE,"Capacity"}</definedName>
    <definedName name="aa" localSheetId="1">{#N/A,#N/A,FALSE,"Cashflow"}</definedName>
    <definedName name="aa" localSheetId="2">{#N/A,#N/A,FALSE,"Cashflow"}</definedName>
    <definedName name="aa" localSheetId="0" hidden="1">{#N/A,#N/A,FALSE,"II-2 POP.HH";#N/A,#N/A,FALSE,"II-3 AGE.DIST";#N/A,#N/A,FALSE,"II-4 HH.DIST";#N/A,#N/A,FALSE,"II-5 EMP.INDUS"}</definedName>
    <definedName name="aa">{#N/A,#N/A,FALSE,"Cashflow"}</definedName>
    <definedName name="AAA" localSheetId="1" hidden="1">{#N/A,#N/A,FALSE,"AFR-ELC"}</definedName>
    <definedName name="AAA" localSheetId="2" hidden="1">{#N/A,#N/A,FALSE,"AFR-ELC"}</definedName>
    <definedName name="AAA" hidden="1">{#N/A,#N/A,FALSE,"AFR-ELC"}</definedName>
    <definedName name="aaaa" localSheetId="1">'[6]MAIN BLD TAKE OFF'!#REF!</definedName>
    <definedName name="aaaa" localSheetId="2">'[6]MAIN BLD TAKE OFF'!#REF!</definedName>
    <definedName name="aaaa">'[6]MAIN BLD TAKE OFF'!#REF!</definedName>
    <definedName name="aaaaa" localSheetId="1">{#N/A,#N/A,FALSE,"Variables";#N/A,#N/A,FALSE,"NPV Cashflows NZ$";#N/A,#N/A,FALSE,"Cashflows NZ$"}</definedName>
    <definedName name="aaaaa" localSheetId="2">{#N/A,#N/A,FALSE,"Variables";#N/A,#N/A,FALSE,"NPV Cashflows NZ$";#N/A,#N/A,FALSE,"Cashflows NZ$"}</definedName>
    <definedName name="aaaaa">{#N/A,#N/A,FALSE,"Variables";#N/A,#N/A,FALSE,"NPV Cashflows NZ$";#N/A,#N/A,FALSE,"Cashflows NZ$"}</definedName>
    <definedName name="aaaaaaa" localSheetId="1">{#N/A,#N/A,FALSE,"Cashflow"}</definedName>
    <definedName name="aaaaaaa" localSheetId="2">{#N/A,#N/A,FALSE,"Cashflow"}</definedName>
    <definedName name="aaaaaaa">{#N/A,#N/A,FALSE,"Cashflow"}</definedName>
    <definedName name="aaaaaaaaaa" localSheetId="1">{#N/A,#N/A,FALSE,"Cashflow"}</definedName>
    <definedName name="aaaaaaaaaa" localSheetId="2">{#N/A,#N/A,FALSE,"Cashflow"}</definedName>
    <definedName name="aaaaaaaaaa">{#N/A,#N/A,FALSE,"Cashflow"}</definedName>
    <definedName name="ABU" localSheetId="1">'[6]MAIN BLD TAKE OFF'!#REF!</definedName>
    <definedName name="ABU" localSheetId="2">'[6]MAIN BLD TAKE OFF'!#REF!</definedName>
    <definedName name="ABU">'[6]MAIN BLD TAKE OFF'!#REF!</definedName>
    <definedName name="AccessDatabase" hidden="1">"H:\MDEVLIN\mdevlin general\Blank BCIS Tender Master.mdb"</definedName>
    <definedName name="ad" localSheetId="1">{0,0,0,0;0,0,0,0;0,0,0,0}</definedName>
    <definedName name="ad" localSheetId="2">{0,0,0,0;0,0,0,0;0,0,0,0}</definedName>
    <definedName name="ad">{0,0,0,0;0,0,0,0;0,0,0,0}</definedName>
    <definedName name="all" localSheetId="1">'[7]Materials on site'!#REF!</definedName>
    <definedName name="all" localSheetId="2">'[7]Materials on site'!#REF!</definedName>
    <definedName name="all">'[7]Materials on site'!#REF!</definedName>
    <definedName name="ALTV">'[8]Base case - condos'!$H$6</definedName>
    <definedName name="anscount" hidden="1">1</definedName>
    <definedName name="aq" localSheetId="2">#REF!</definedName>
    <definedName name="aq">#REF!</definedName>
    <definedName name="Area">'[9]Exhibit VI-8'!$A$1:$IV$11</definedName>
    <definedName name="AS2DocOpenMode" hidden="1">"AS2DocumentEdit"</definedName>
    <definedName name="asdfasfasd" localSheetId="1">{0,0,0,0;0,0,0,0;0,0,0,0}</definedName>
    <definedName name="asdfasfasd" localSheetId="2">{0,0,0,0;0,0,0,0;0,0,0,0}</definedName>
    <definedName name="asdfasfasd">{0,0,0,0;0,0,0,0;0,0,0,0}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1T" localSheetId="2">#REF!</definedName>
    <definedName name="B1T">#REF!</definedName>
    <definedName name="B2T" localSheetId="2">#REF!</definedName>
    <definedName name="B2T">#REF!</definedName>
    <definedName name="B3T" localSheetId="2">#REF!</definedName>
    <definedName name="B3T">#REF!</definedName>
    <definedName name="B4T" localSheetId="2">#REF!</definedName>
    <definedName name="B4T">#REF!</definedName>
    <definedName name="BACK" localSheetId="1" hidden="1">{#N/A,#N/A,FALSE,"AFR-ELC"}</definedName>
    <definedName name="BACK" localSheetId="2" hidden="1">{#N/A,#N/A,FALSE,"AFR-ELC"}</definedName>
    <definedName name="BACK" hidden="1">{#N/A,#N/A,FALSE,"AFR-ELC"}</definedName>
    <definedName name="BALL" localSheetId="1">{#N/A,#N/A,FALSE,"AFR-ELC"}</definedName>
    <definedName name="BALL" localSheetId="2">{#N/A,#N/A,FALSE,"AFR-ELC"}</definedName>
    <definedName name="BALL">{#N/A,#N/A,FALSE,"AFR-ELC"}</definedName>
    <definedName name="bank" localSheetId="1">{#N/A,#N/A,FALSE,"AFR-ELC"}</definedName>
    <definedName name="bank" localSheetId="2">{#N/A,#N/A,FALSE,"AFR-ELC"}</definedName>
    <definedName name="bank">{#N/A,#N/A,FALSE,"AFR-ELC"}</definedName>
    <definedName name="Barracks" localSheetId="1" hidden="1">{#N/A,#N/A,FALSE,"AFR-ELC"}</definedName>
    <definedName name="Barracks" localSheetId="2" hidden="1">{#N/A,#N/A,FALSE,"AFR-ELC"}</definedName>
    <definedName name="Barracks" hidden="1">{#N/A,#N/A,FALSE,"AFR-ELC"}</definedName>
    <definedName name="Beg_Bal" localSheetId="2">#REF!</definedName>
    <definedName name="Beg_Bal">#REF!</definedName>
    <definedName name="BILL1" localSheetId="2">#REF!</definedName>
    <definedName name="BILL1">#REF!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 localSheetId="1">'[10]Materials on site'!#REF!</definedName>
    <definedName name="building" localSheetId="2">'[10]Materials on site'!#REF!</definedName>
    <definedName name="building">'[10]Materials on site'!#REF!</definedName>
    <definedName name="cf" localSheetId="1">{#N/A,#N/A,FALSE,"AFR-ELC"}</definedName>
    <definedName name="cf" localSheetId="2">{#N/A,#N/A,FALSE,"AFR-ELC"}</definedName>
    <definedName name="cf">{#N/A,#N/A,FALSE,"AFR-ELC"}</definedName>
    <definedName name="CLTV">'[8]Base case - condos'!$H$7</definedName>
    <definedName name="cogtaz_Query_from_wizard" localSheetId="2">#REF!</definedName>
    <definedName name="cogtaz_Query_from_wizard">#REF!</definedName>
    <definedName name="conv">[11]Assumptions!$C$9</definedName>
    <definedName name="Cover" localSheetId="1" hidden="1">{#N/A,#N/A,FALSE,"Aging Summary";#N/A,#N/A,FALSE,"Ratio Analysis";#N/A,#N/A,FALSE,"Test 120 Day Accts";#N/A,#N/A,FALSE,"Tickmarks"}</definedName>
    <definedName name="Cover" localSheetId="2" hidden="1">{#N/A,#N/A,FALSE,"Aging Summary";#N/A,#N/A,FALSE,"Ratio Analysis";#N/A,#N/A,FALSE,"Test 120 Day Accts";#N/A,#N/A,FALSE,"Tickmarks"}</definedName>
    <definedName name="Cover" hidden="1">{#N/A,#N/A,FALSE,"Aging Summary";#N/A,#N/A,FALSE,"Ratio Analysis";#N/A,#N/A,FALSE,"Test 120 Day Accts";#N/A,#N/A,FALSE,"Tickmarks"}</definedName>
    <definedName name="Cum_Int" localSheetId="2">#REF!</definedName>
    <definedName name="Cum_Int">#REF!</definedName>
    <definedName name="Data" localSheetId="2">#REF!</definedName>
    <definedName name="Data">#REF!</definedName>
    <definedName name="_xlnm.Database" localSheetId="2">#REF!</definedName>
    <definedName name="_xlnm.Database">#REF!</definedName>
    <definedName name="dfr" localSheetId="1">'[6]MAIN BLD TAKE OFF'!#REF!</definedName>
    <definedName name="dfr" localSheetId="2">'[6]MAIN BLD TAKE OFF'!#REF!</definedName>
    <definedName name="dfr">'[6]MAIN BLD TAKE OFF'!#REF!</definedName>
    <definedName name="Division" localSheetId="2">#REF!</definedName>
    <definedName name="Division">#REF!</definedName>
    <definedName name="don" localSheetId="1">{#N/A,#N/A,FALSE,"AFR-ELC"}</definedName>
    <definedName name="don" localSheetId="2">{#N/A,#N/A,FALSE,"AFR-ELC"}</definedName>
    <definedName name="don">{#N/A,#N/A,FALSE,"AFR-ELC"}</definedName>
    <definedName name="dsa" localSheetId="1" hidden="1">{#N/A,#N/A,FALSE,"AFR-ELC"}</definedName>
    <definedName name="dsa" localSheetId="2" hidden="1">{#N/A,#N/A,FALSE,"AFR-ELC"}</definedName>
    <definedName name="dsa" hidden="1">{#N/A,#N/A,FALSE,"AFR-ELC"}</definedName>
    <definedName name="e" localSheetId="1">{#N/A,#N/A,FALSE,"Variables";#N/A,#N/A,FALSE,"NPV Cashflows NZ$";#N/A,#N/A,FALSE,"Cashflows NZ$"}</definedName>
    <definedName name="e" localSheetId="2">{#N/A,#N/A,FALSE,"Variables";#N/A,#N/A,FALSE,"NPV Cashflows NZ$";#N/A,#N/A,FALSE,"Cashflows NZ$"}</definedName>
    <definedName name="e">{#N/A,#N/A,FALSE,"Variables";#N/A,#N/A,FALSE,"NPV Cashflows NZ$";#N/A,#N/A,FALSE,"Cashflows NZ$"}</definedName>
    <definedName name="EFFIONG" localSheetId="1" hidden="1">{#N/A,#N/A,FALSE,"AFR-ELC"}</definedName>
    <definedName name="EFFIONG" localSheetId="2" hidden="1">{#N/A,#N/A,FALSE,"AFR-ELC"}</definedName>
    <definedName name="EFFIONG" hidden="1">{#N/A,#N/A,FALSE,"AFR-ELC"}</definedName>
    <definedName name="End_Bal" localSheetId="2">#REF!</definedName>
    <definedName name="End_Bal">#REF!</definedName>
    <definedName name="EXHIBIT" localSheetId="2">#REF!</definedName>
    <definedName name="EXHIBIT">#REF!</definedName>
    <definedName name="Extra_Pay" localSheetId="2">#REF!</definedName>
    <definedName name="Extra_Pay">#REF!</definedName>
    <definedName name="fac" localSheetId="2">#REF!</definedName>
    <definedName name="fac">#REF!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ill" localSheetId="2" hidden="1">#REF!</definedName>
    <definedName name="Fill" hidden="1">#REF!</definedName>
    <definedName name="Fixed_Costs">[12]BEP!$C$8</definedName>
    <definedName name="fl" localSheetId="1">{#N/A,#N/A,FALSE,"Variables";#N/A,#N/A,FALSE,"NPV Cashflows NZ$";#N/A,#N/A,FALSE,"Cashflows NZ$"}</definedName>
    <definedName name="fl" localSheetId="2">{#N/A,#N/A,FALSE,"Variables";#N/A,#N/A,FALSE,"NPV Cashflows NZ$";#N/A,#N/A,FALSE,"Cashflows NZ$"}</definedName>
    <definedName name="fl">{#N/A,#N/A,FALSE,"Variables";#N/A,#N/A,FALSE,"NPV Cashflows NZ$";#N/A,#N/A,FALSE,"Cashflows NZ$"}</definedName>
    <definedName name="FOIL" localSheetId="1">{#N/A,#N/A,FALSE,"AFR-ELC"}</definedName>
    <definedName name="FOIL" localSheetId="2">{#N/A,#N/A,FALSE,"AFR-ELC"}</definedName>
    <definedName name="FOIL">{#N/A,#N/A,FALSE,"AFR-ELC"}</definedName>
    <definedName name="Full_Print" localSheetId="2">#REF!</definedName>
    <definedName name="Full_Print">#REF!</definedName>
    <definedName name="GAME" localSheetId="1">{#N/A,#N/A,FALSE,"AFR-ELC"}</definedName>
    <definedName name="GAME" localSheetId="2">{#N/A,#N/A,FALSE,"AFR-ELC"}</definedName>
    <definedName name="GAME">{#N/A,#N/A,FALSE,"AFR-ELC"}</definedName>
    <definedName name="gas" localSheetId="1">{#N/A,#N/A,FALSE,"AFR-ELC"}</definedName>
    <definedName name="gas" localSheetId="2">{#N/A,#N/A,FALSE,"AFR-ELC"}</definedName>
    <definedName name="gas">{#N/A,#N/A,FALSE,"AFR-ELC"}</definedName>
    <definedName name="globref">INDIRECT("rc",FALSE)</definedName>
    <definedName name="Gross_Margin">[12]BEP!$C$11</definedName>
    <definedName name="Header_Row" localSheetId="2">ROW(#REF!)</definedName>
    <definedName name="Header_Row">ROW(#REF!)</definedName>
    <definedName name="HTML_CodePage" hidden="1">1252</definedName>
    <definedName name="HTML_Control" localSheetId="1" hidden="1">{"'Final Summary'!$A$1:$G$86"}</definedName>
    <definedName name="HTML_Control" localSheetId="2" hidden="1">{"'Final Summary'!$A$1:$G$86"}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nflation">[13]Summary!$C$31</definedName>
    <definedName name="Int" localSheetId="2">#REF!</definedName>
    <definedName name="Int">#REF!</definedName>
    <definedName name="Interest_Rate" localSheetId="2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"10/27/2016 13:42:33"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>3000</definedName>
    <definedName name="IQ_YTDMONTH" hidden="1">130000</definedName>
    <definedName name="IQ_Z_SCORE" hidden="1">"c1339"</definedName>
    <definedName name="jamb" localSheetId="1" hidden="1">{#N/A,#N/A,FALSE,"AFR-ELC"}</definedName>
    <definedName name="jamb" localSheetId="2" hidden="1">{#N/A,#N/A,FALSE,"AFR-ELC"}</definedName>
    <definedName name="jamb" hidden="1">{#N/A,#N/A,FALSE,"AFR-ELC"}</definedName>
    <definedName name="Land_Residual" localSheetId="2">#REF!</definedName>
    <definedName name="Land_Residual">#REF!</definedName>
    <definedName name="Last_Row" localSheetId="2">IF('4BD TAKE OFF QUANTITIES (2)'!Values_Entered,'4BD TAKE OFF QUANTITIES (2)'!Header_Row+'4BD TAKE OFF QUANTITIES (2)'!Number_of_Payments,'4BD TAKE OFF QUANTITIES (2)'!Header_Row)</definedName>
    <definedName name="Last_Row">IF(Values_Entered,Header_Row+Number_of_Payments,Header_Row)</definedName>
    <definedName name="lastcell" localSheetId="1">'[14]Oct-99'!#REF!</definedName>
    <definedName name="lastcell" localSheetId="2">'[14]Oct-99'!#REF!</definedName>
    <definedName name="lastcell">'[14]Oct-99'!#REF!</definedName>
    <definedName name="Loan_Amount" localSheetId="2">#REF!</definedName>
    <definedName name="Loan_Amount">#REF!</definedName>
    <definedName name="Loan_Start" localSheetId="2">#REF!</definedName>
    <definedName name="Loan_Start">#REF!</definedName>
    <definedName name="Loan_Years" localSheetId="2">#REF!</definedName>
    <definedName name="Loan_Years">#REF!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ame1">[11]Assumptions!$B$15</definedName>
    <definedName name="name2">[11]Assumptions!$B$17</definedName>
    <definedName name="Name3">[11]Assumptions!$B$20</definedName>
    <definedName name="ngfng" localSheetId="1" hidden="1">{#N/A,#N/A,FALSE,"Aging Summary";#N/A,#N/A,FALSE,"Ratio Analysis";#N/A,#N/A,FALSE,"Test 120 Day Accts";#N/A,#N/A,FALSE,"Tickmarks"}</definedName>
    <definedName name="ngfng" localSheetId="2" hidden="1">{#N/A,#N/A,FALSE,"Aging Summary";#N/A,#N/A,FALSE,"Ratio Analysis";#N/A,#N/A,FALSE,"Test 120 Day Accts";#N/A,#N/A,FALSE,"Tickmarks"}</definedName>
    <definedName name="ngfng" hidden="1">{#N/A,#N/A,FALSE,"Aging Summary";#N/A,#N/A,FALSE,"Ratio Analysis";#N/A,#N/A,FALSE,"Test 120 Day Accts";#N/A,#N/A,FALSE,"Tickmarks"}</definedName>
    <definedName name="nnnnnnn" localSheetId="1" hidden="1">{#N/A,#N/A,FALSE,"AFR-ELC"}</definedName>
    <definedName name="nnnnnnn" localSheetId="2" hidden="1">{#N/A,#N/A,FALSE,"AFR-ELC"}</definedName>
    <definedName name="nnnnnnn" hidden="1">{#N/A,#N/A,FALSE,"AFR-ELC"}</definedName>
    <definedName name="NONE" localSheetId="1">'[15]#REF'!#REF!</definedName>
    <definedName name="NONE" localSheetId="2">'[15]#REF'!#REF!</definedName>
    <definedName name="NONE">'[15]#REF'!#REF!</definedName>
    <definedName name="NSF">'[8]Condo Pricing'!$F$15</definedName>
    <definedName name="Num_Pmt_Per_Year" localSheetId="2">#REF!</definedName>
    <definedName name="Num_Pmt_Per_Year">#REF!</definedName>
    <definedName name="Number_of_Payments" localSheetId="2">MATCH(0.01,'4BD TAKE OFF QUANTITIES (2)'!End_Bal,-1)+1</definedName>
    <definedName name="Number_of_Payments">MATCH(0.01,End_Bal,-1)+1</definedName>
    <definedName name="NWC" localSheetId="1" hidden="1">{#N/A,#N/A,FALSE,"AFR-ELC"}</definedName>
    <definedName name="NWC" localSheetId="2" hidden="1">{#N/A,#N/A,FALSE,"AFR-ELC"}</definedName>
    <definedName name="NWC" hidden="1">{#N/A,#N/A,FALSE,"AFR-ELC"}</definedName>
    <definedName name="OLTV">'[8]Base case - condos'!$H$8</definedName>
    <definedName name="pay" localSheetId="1">'[7]Materials on site'!#REF!</definedName>
    <definedName name="pay" localSheetId="2">'[7]Materials on site'!#REF!</definedName>
    <definedName name="pay">'[7]Materials on site'!#REF!</definedName>
    <definedName name="Pay_Date" localSheetId="2">#REF!</definedName>
    <definedName name="Pay_Date">#REF!</definedName>
    <definedName name="Pay_Num" localSheetId="2">#REF!</definedName>
    <definedName name="Pay_Num">#REF!</definedName>
    <definedName name="Payment_Date" localSheetId="2">DATE(YEAR('4BD TAKE OFF QUANTITIES (2)'!Loan_Start),MONTH('4BD TAKE OFF QUANTITIES (2)'!Loan_Start)+Payment_Number,DAY('4BD TAKE OFF QUANTITIES (2)'!Loan_Start))</definedName>
    <definedName name="Payment_Date">DATE(YEAR(Loan_Start),MONTH(Loan_Start)+Payment_Number,DAY(Loan_Start))</definedName>
    <definedName name="Price_per_Unit">[12]BEP!$C$4</definedName>
    <definedName name="Princ" localSheetId="2">#REF!</definedName>
    <definedName name="Princ">#REF!</definedName>
    <definedName name="Print">'[9]Exhibit VI-8'!$A$12:$G$21</definedName>
    <definedName name="_xlnm.Print_Area" localSheetId="2">#REF!</definedName>
    <definedName name="_xlnm.Print_Area" localSheetId="0">'COLORADO MAITAMA'!$A$1:$F$329</definedName>
    <definedName name="_xlnm.Print_Area">#REF!</definedName>
    <definedName name="Print_Area_Reset" localSheetId="2">OFFSET('4BD TAKE OFF QUANTITIES (2)'!Full_Print,0,0,'4BD TAKE OFF QUANTITIES (2)'!Last_Row)</definedName>
    <definedName name="Print_Area_Reset">OFFSET(Full_Print,0,0,Last_Row)</definedName>
    <definedName name="_xlnm.Print_Titles" localSheetId="2">[16]Model!#REF!</definedName>
    <definedName name="_xlnm.Print_Titles">[16]Model!#REF!</definedName>
    <definedName name="ProjectName">{"Client Name or Project Name"}</definedName>
    <definedName name="ProjectName2">{"Client Name or Project Name"}</definedName>
    <definedName name="ProjectName3">{"Client Name or Project Name"}</definedName>
    <definedName name="q" localSheetId="2">#REF!</definedName>
    <definedName name="q">#REF!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RAT" localSheetId="1" hidden="1">{#N/A,#N/A,FALSE,"AFR-ELC"}</definedName>
    <definedName name="RAT" localSheetId="2" hidden="1">{#N/A,#N/A,FALSE,"AFR-ELC"}</definedName>
    <definedName name="RAT" hidden="1">{#N/A,#N/A,FALSE,"AFR-ELC"}</definedName>
    <definedName name="RATE" localSheetId="1" hidden="1">{#N/A,#N/A,FALSE,"AFR-ELC"}</definedName>
    <definedName name="RATE" localSheetId="2" hidden="1">{#N/A,#N/A,FALSE,"AFR-ELC"}</definedName>
    <definedName name="RATE" localSheetId="0">[17]ex.!#REF!</definedName>
    <definedName name="RATE" hidden="1">{#N/A,#N/A,FALSE,"AFR-ELC"}</definedName>
    <definedName name="RCLCo_Products">'[18]TCG PRODUCT MENU'!$A$48:$R$67</definedName>
    <definedName name="row" localSheetId="1" hidden="1">{#N/A,#N/A,FALSE,"AFR-ELC"}</definedName>
    <definedName name="row" localSheetId="2" hidden="1">{#N/A,#N/A,FALSE,"AFR-ELC"}</definedName>
    <definedName name="row" hidden="1">{#N/A,#N/A,FALSE,"AFR-ELC"}</definedName>
    <definedName name="rr" localSheetId="2">#REF!</definedName>
    <definedName name="rr">#REF!</definedName>
    <definedName name="rrrr" localSheetId="1">'[15]#REF'!#REF!</definedName>
    <definedName name="rrrr" localSheetId="2">'[15]#REF'!#REF!</definedName>
    <definedName name="rrrr">'[15]#REF'!#REF!</definedName>
    <definedName name="s1s1s" localSheetId="1">{#N/A,#N/A,FALSE,"Capacity"}</definedName>
    <definedName name="s1s1s" localSheetId="2">{#N/A,#N/A,FALSE,"Capacity"}</definedName>
    <definedName name="s1s1s">{#N/A,#N/A,FALSE,"Capacity"}</definedName>
    <definedName name="sa" localSheetId="1">{#N/A,#N/A,FALSE,"AFR-ELC"}</definedName>
    <definedName name="sa" localSheetId="2">{#N/A,#N/A,FALSE,"AFR-ELC"}</definedName>
    <definedName name="sa">{#N/A,#N/A,FALSE,"AFR-ELC"}</definedName>
    <definedName name="Sched_Pay" localSheetId="2">#REF!</definedName>
    <definedName name="Sched_Pay">#REF!</definedName>
    <definedName name="Scheduled_Extra_Payments" localSheetId="2">#REF!</definedName>
    <definedName name="Scheduled_Extra_Payments">#REF!</definedName>
    <definedName name="Scheduled_Interest_Rate" localSheetId="2">#REF!</definedName>
    <definedName name="Scheduled_Interest_Rate">#REF!</definedName>
    <definedName name="Scheduled_Monthly_Payment" localSheetId="2">#REF!</definedName>
    <definedName name="Scheduled_Monthly_Payment">#REF!</definedName>
    <definedName name="sd" localSheetId="1" hidden="1">{#N/A,#N/A,FALSE,"AFR-ELC"}</definedName>
    <definedName name="sd" localSheetId="2" hidden="1">{#N/A,#N/A,FALSE,"AFR-ELC"}</definedName>
    <definedName name="sd" hidden="1">{#N/A,#N/A,FALSE,"AFR-ELC"}</definedName>
    <definedName name="SDER" localSheetId="1" hidden="1">{#N/A,#N/A,FALSE,"AFR-ELC"}</definedName>
    <definedName name="SDER" localSheetId="2" hidden="1">{#N/A,#N/A,FALSE,"AFR-ELC"}</definedName>
    <definedName name="SDER" hidden="1">{#N/A,#N/A,FALSE,"AFR-ELC"}</definedName>
    <definedName name="sencount" hidden="1">2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ss" localSheetId="2">#REF!</definedName>
    <definedName name="sss">#REF!</definedName>
    <definedName name="ssss2" localSheetId="1">{#N/A,#N/A,FALSE,"Revenue (Annual)";"Revenue _ First 5 years Quarterly",#N/A,FALSE,"Revenue (Qtr)"}</definedName>
    <definedName name="ssss2" localSheetId="2">{#N/A,#N/A,FALSE,"Revenue (Annual)";"Revenue _ First 5 years Quarterly",#N/A,FALSE,"Revenue (Qtr)"}</definedName>
    <definedName name="ssss2">{#N/A,#N/A,FALSE,"Revenue (Annual)";"Revenue _ First 5 years Quarterly",#N/A,FALSE,"Revenue (Qtr)"}</definedName>
    <definedName name="test" localSheetId="1" hidden="1">{#N/A,#N/A,FALSE,"Aging Summary";#N/A,#N/A,FALSE,"Ratio Analysis";#N/A,#N/A,FALSE,"Test 120 Day Accts";#N/A,#N/A,FALSE,"Tickmarks"}</definedName>
    <definedName name="test" localSheetId="2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otal_Interest" localSheetId="2">#REF!</definedName>
    <definedName name="Total_Interest">#REF!</definedName>
    <definedName name="Total_Pay" localSheetId="2">#REF!</definedName>
    <definedName name="Total_Pay">#REF!</definedName>
    <definedName name="Total_Payment" localSheetId="2">Scheduled_Payment+Extra_Payment</definedName>
    <definedName name="Total_Payment">Scheduled_Payment+Extra_Payment</definedName>
    <definedName name="totalsf">'[19]Unit Mix'!$K$26</definedName>
    <definedName name="totalunits">'[19]Unit Mix'!$G$26</definedName>
    <definedName name="tsadu" localSheetId="2">#REF!</definedName>
    <definedName name="tsadu">#REF!</definedName>
    <definedName name="tsadu1" localSheetId="2">#REF!</definedName>
    <definedName name="tsadu1">#REF!</definedName>
    <definedName name="TTLE" localSheetId="1">{#N/A,#N/A,FALSE,"AFR-ELC"}</definedName>
    <definedName name="TTLE" localSheetId="2">{#N/A,#N/A,FALSE,"AFR-ELC"}</definedName>
    <definedName name="TTLE">{#N/A,#N/A,FALSE,"AFR-ELC"}</definedName>
    <definedName name="TTLET" localSheetId="1" hidden="1">{#N/A,#N/A,FALSE,"AFR-ELC"}</definedName>
    <definedName name="TTLET" localSheetId="2" hidden="1">{#N/A,#N/A,FALSE,"AFR-ELC"}</definedName>
    <definedName name="TTLET" hidden="1">{#N/A,#N/A,FALSE,"AFR-ELC"}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_Margin">[12]BEP!$C$10</definedName>
    <definedName name="Units" localSheetId="0">'[8]Construction Details'!$H$4</definedName>
    <definedName name="Units">[12]BEP!$C$13</definedName>
    <definedName name="Units_Sold">[12]BEP!$C$5</definedName>
    <definedName name="Values_Entered" localSheetId="2">IF('4BD TAKE OFF QUANTITIES (2)'!Loan_Amount*'4BD TAKE OFF QUANTITIES (2)'!Interest_Rate*'4BD TAKE OFF QUANTITIES (2)'!Loan_Years*'4BD TAKE OFF QUANTITIES (2)'!Loan_Start&gt;0,1,0)</definedName>
    <definedName name="Values_Entered">IF(Loan_Amount*Interest_Rate*Loan_Years*Loan_Start&gt;0,1,0)</definedName>
    <definedName name="Varcosts" localSheetId="2">#REF!</definedName>
    <definedName name="Varcosts">#REF!</definedName>
    <definedName name="Variable_Costs">[12]BEP!$C$7</definedName>
    <definedName name="VAT" localSheetId="1">{#N/A,#N/A,FALSE,"AFR-ELC"}</definedName>
    <definedName name="VAT" localSheetId="2">{#N/A,#N/A,FALSE,"AFR-ELC"}</definedName>
    <definedName name="VAT">{#N/A,#N/A,FALSE,"AFR-ELC"}</definedName>
    <definedName name="Vibrated_Reinforced_Concrete__1_2_4___19mm__aggregate__in">"5 BRM DUPLEX "</definedName>
    <definedName name="vvvvv" localSheetId="1" hidden="1">{#N/A,#N/A,FALSE,"AFR-ELC"}</definedName>
    <definedName name="vvvvv" localSheetId="2" hidden="1">{#N/A,#N/A,FALSE,"AFR-ELC"}</definedName>
    <definedName name="vvvvv" hidden="1">{#N/A,#N/A,FALSE,"AFR-ELC"}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 localSheetId="1">{#N/A,#N/A,FALSE,"AFR-ELC"}</definedName>
    <definedName name="was" localSheetId="2">{#N/A,#N/A,FALSE,"AFR-ELC"}</definedName>
    <definedName name="was">{#N/A,#N/A,FALSE,"AFR-ELC"}</definedName>
    <definedName name="WHAT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 localSheetId="1">#REF!</definedName>
    <definedName name="win" localSheetId="2">#REF!</definedName>
    <definedName name="win">#REF!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localSheetId="1" hidden="1">{#N/A,#N/A,FALSE,"AFR-ELC"}</definedName>
    <definedName name="wrn.ABUBAKAR._.RIMI._.KAD." localSheetId="2" hidden="1">{#N/A,#N/A,FALSE,"AFR-ELC"}</definedName>
    <definedName name="wrn.ABUBAKAR._.RIMI._.KAD." hidden="1">{#N/A,#N/A,FALSE,"AFR-ELC"}</definedName>
    <definedName name="wrn.AFRIBANK._.ELECTRICAL._.BILL._.by._.Effiong._.A.._.Uko." localSheetId="1" hidden="1">{#N/A,#N/A,FALSE,"AFR-ELC"}</definedName>
    <definedName name="wrn.AFRIBANK._.ELECTRICAL._.BILL._.by._.Effiong._.A.._.Uko." localSheetId="2" hidden="1">{#N/A,#N/A,FALSE,"AFR-ELC"}</definedName>
    <definedName name="wrn.AFRIBANK._.ELECTRICAL._.BILL._.by._.Effiong._.A.._.Uko." hidden="1">{#N/A,#N/A,FALSE,"AFR-ELC"}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JDSuite." localSheetId="1" hidden="1">{"AJD",#N/A,TRUE,"Summary";"AJD",#N/A,TRUE,"CFCONC-outputs";"AJD",#N/A,TRUE,"P&amp;LCONC-outputs";"AJD",#N/A,TRUE,"BSCONC-outputs";"AJD",#N/A,TRUE,"FSCONC-outputs"}</definedName>
    <definedName name="wrn.AJDSuite." localSheetId="2" hidden="1">{"AJD",#N/A,TRUE,"Summary";"AJD",#N/A,TRUE,"CFCONC-outputs";"AJD",#N/A,TRUE,"P&amp;LCONC-outputs";"AJD",#N/A,TRUE,"BSCONC-outputs";"AJD",#N/A,TRUE,"FSCONC-outputs"}</definedName>
    <definedName name="wrn.AJDSuite." hidden="1">{"AJD",#N/A,TRUE,"Summary";"AJD",#N/A,TRUE,"CFCONC-outputs";"AJD",#N/A,TRUE,"P&amp;LCONC-outputs";"AJD",#N/A,TRUE,"BSCONC-outputs";"AJD",#N/A,TRUE,"FSCONC-outputs"}</definedName>
    <definedName name="wrn.All._.Sheets." localSheetId="1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All._.Sheets." localSheetId="2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All._.Sheets.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Construction._.Costs." localSheetId="1" hidden="1">{"Const Costs Dev",#N/A,FALSE,"Construction Cost Inputs";"Const Costs orig ccy",#N/A,FALSE,"Construction Cost Inputs";"Const Costs USD",#N/A,FALSE,"Construction Cost Inputs"}</definedName>
    <definedName name="wrn.Construction._.Costs." localSheetId="2" hidden="1">{"Const Costs Dev",#N/A,FALSE,"Construction Cost Inputs";"Const Costs orig ccy",#N/A,FALSE,"Construction Cost Inputs";"Const Costs USD",#N/A,FALSE,"Construction Cost Inputs"}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hidden="1">{#N/A,#N/A,FALSE,"pop.hh";#N/A,#N/A,FALSE,"age.dist";#N/A,#N/A,FALSE,"hh.income";#N/A,#N/A,FALSE,"hh.chars"}</definedName>
    <definedName name="wrn.Demos." hidden="1">{#N/A,#N/A,FALSE,"II-2 POP.HH";#N/A,#N/A,FALSE,"II-3 AGE.DIST";#N/A,#N/A,FALSE,"II-4 HH.DIST";#N/A,#N/A,FALSE,"II-5 EMP.INDUS"}</definedName>
    <definedName name="wrn.Financing._.Inputs." localSheetId="1" hidden="1">{"BuildIn 2 Funding Assump",#N/A,FALSE,"Building Inputs";"BuildIn Capex plus Extras",#N/A,FALSE,"Building Inputs"}</definedName>
    <definedName name="wrn.Financing._.Inputs." localSheetId="2" hidden="1">{"BuildIn 2 Funding Assump",#N/A,FALSE,"Building Inputs";"BuildIn Capex plus Extras",#N/A,FALSE,"Building Inputs"}</definedName>
    <definedName name="wrn.Financing._.Inputs." hidden="1">{"BuildIn 2 Funding Assump",#N/A,FALSE,"Building Inputs";"BuildIn Capex plus Extras",#N/A,FALSE,"Building Inputs"}</definedName>
    <definedName name="wrn.Inputs._.outputs." localSheetId="1" hidden="1">{"key inputs",#N/A,FALSE,"Key Inputs";"key outputs",#N/A,FALSE,"Outputs";"Other inputs",#N/A,FALSE,"Other Inputs";"cashflow",#N/A,FALSE,"Statemnts"}</definedName>
    <definedName name="wrn.Inputs._.outputs." localSheetId="2" hidden="1">{"key inputs",#N/A,FALSE,"Key Inputs";"key outputs",#N/A,FALSE,"Outputs";"Other inputs",#N/A,FALSE,"Other Inputs";"cashflow",#N/A,FALSE,"Statemnts"}</definedName>
    <definedName name="wrn.Inputs._.outputs." hidden="1">{"key inputs",#N/A,FALSE,"Key Inputs";"key outputs",#N/A,FALSE,"Outputs";"Other inputs",#N/A,FALSE,"Other Inputs";"cashflow",#N/A,FALSE,"Statemnts"}</definedName>
    <definedName name="wrn.OpCostIn." localSheetId="1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OpCostIn." localSheetId="2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hidden="1">{#N/A,#N/A,FALSE,"Cover";#N/A,#N/A,FALSE,"Stack";#N/A,#N/A,FALSE,"Cost S";#N/A,#N/A,FALSE," CF";#N/A,#N/A,FALSE,"Investor"}</definedName>
    <definedName name="wrn.Summary._.results." localSheetId="1" hidden="1">{"key inputs",#N/A,TRUE,"Key Inputs";"key outputs",#N/A,TRUE,"Outputs";"Other inputs",#N/A,TRUE,"Other Inputs";"Revenue",#N/A,TRUE,"Rev"}</definedName>
    <definedName name="wrn.Summary._.results." localSheetId="2" hidden="1">{"key inputs",#N/A,TRUE,"Key Inputs";"key outputs",#N/A,TRUE,"Outputs";"Other inputs",#N/A,TRUE,"Other Inputs";"Revenue",#N/A,TRUE,"Rev"}</definedName>
    <definedName name="wrn.Summary._.results." hidden="1">{"key inputs",#N/A,TRUE,"Key Inputs";"key outputs",#N/A,TRUE,"Outputs";"Other inputs",#N/A,TRUE,"Other Inputs";"Revenue",#N/A,TRUE,"Rev"}</definedName>
    <definedName name="xxx" localSheetId="2">#REF!</definedName>
    <definedName name="xxx">#REF!</definedName>
    <definedName name="YUOR" localSheetId="1">{#N/A,#N/A,FALSE,"AFR-ELC"}</definedName>
    <definedName name="YUOR" localSheetId="2">{#N/A,#N/A,FALSE,"AFR-ELC"}</definedName>
    <definedName name="YUOR">{#N/A,#N/A,FALSE,"AFR-ELC"}</definedName>
    <definedName name="ZX">"Best Answer Data - v1.5"</definedName>
    <definedName name="ZXA000" localSheetId="2">#REF!</definedName>
    <definedName name="ZXA000">#REF!</definedName>
    <definedName name="ZXA001" localSheetId="2">#REF!</definedName>
    <definedName name="ZXA001">#REF!</definedName>
    <definedName name="ZXC000" localSheetId="2">#REF!</definedName>
    <definedName name="ZXC000">#REF!</definedName>
    <definedName name="ZXC001" localSheetId="2">#REF!</definedName>
    <definedName name="ZXC001">#REF!</definedName>
    <definedName name="ZXC002" localSheetId="2">#REF!</definedName>
    <definedName name="ZXC002">#REF!</definedName>
    <definedName name="ZXC003" localSheetId="2">#REF!</definedName>
    <definedName name="ZXC003">#REF!</definedName>
    <definedName name="ZXC004" localSheetId="2">#REF!</definedName>
    <definedName name="ZXC004">#REF!</definedName>
    <definedName name="ZXC005" localSheetId="2">#REF!</definedName>
    <definedName name="ZXC005">#REF!</definedName>
    <definedName name="ZXC006" localSheetId="2">#REF!</definedName>
    <definedName name="ZXC006">#REF!</definedName>
    <definedName name="ZXC007" localSheetId="2">#REF!</definedName>
    <definedName name="ZXC007">#REF!</definedName>
    <definedName name="ZXC008" localSheetId="2">#REF!</definedName>
    <definedName name="ZXC008">#REF!</definedName>
    <definedName name="ZXJ000" localSheetId="2">#REF!</definedName>
    <definedName name="ZXJ000">#REF!</definedName>
    <definedName name="ZXJ001" localSheetId="2">#REF!</definedName>
    <definedName name="ZXJ00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0" i="5" l="1"/>
  <c r="V375" i="5"/>
  <c r="V374" i="5"/>
  <c r="T378" i="5"/>
  <c r="T380" i="5" s="1"/>
  <c r="T375" i="5"/>
  <c r="T374" i="5"/>
  <c r="V363" i="5"/>
  <c r="V366" i="5" s="1"/>
  <c r="T363" i="5"/>
  <c r="T366" i="5" s="1"/>
  <c r="V355" i="5"/>
  <c r="V350" i="5"/>
  <c r="T355" i="5"/>
  <c r="T350" i="5"/>
  <c r="J361" i="5"/>
  <c r="H361" i="5"/>
  <c r="F913" i="5"/>
  <c r="F915" i="5" s="1"/>
  <c r="G915" i="5" s="1"/>
  <c r="G911" i="5"/>
  <c r="I911" i="5" s="1"/>
  <c r="G910" i="5"/>
  <c r="I910" i="5" s="1"/>
  <c r="G909" i="5"/>
  <c r="I909" i="5" s="1"/>
  <c r="M904" i="5" s="1"/>
  <c r="G908" i="5"/>
  <c r="I908" i="5" s="1"/>
  <c r="G907" i="5"/>
  <c r="I907" i="5" s="1"/>
  <c r="G906" i="5"/>
  <c r="I906" i="5" s="1"/>
  <c r="K908" i="5" s="1"/>
  <c r="G905" i="5"/>
  <c r="I905" i="5" s="1"/>
  <c r="K905" i="5" s="1"/>
  <c r="F898" i="5"/>
  <c r="F897" i="5"/>
  <c r="F896" i="5"/>
  <c r="F893" i="5"/>
  <c r="F895" i="5" s="1"/>
  <c r="M892" i="5"/>
  <c r="M891" i="5"/>
  <c r="M890" i="5"/>
  <c r="M889" i="5"/>
  <c r="F888" i="5"/>
  <c r="F887" i="5"/>
  <c r="F886" i="5"/>
  <c r="F885" i="5"/>
  <c r="X884" i="5"/>
  <c r="S884" i="5"/>
  <c r="S883" i="5"/>
  <c r="S882" i="5"/>
  <c r="S881" i="5"/>
  <c r="S885" i="5" s="1"/>
  <c r="F881" i="5"/>
  <c r="F880" i="5"/>
  <c r="I879" i="5"/>
  <c r="H879" i="5"/>
  <c r="J879" i="5" s="1"/>
  <c r="F879" i="5"/>
  <c r="I878" i="5"/>
  <c r="H878" i="5"/>
  <c r="G878" i="5"/>
  <c r="F878" i="5"/>
  <c r="H877" i="5"/>
  <c r="G877" i="5"/>
  <c r="J877" i="5" s="1"/>
  <c r="F877" i="5"/>
  <c r="I876" i="5"/>
  <c r="H876" i="5"/>
  <c r="G876" i="5"/>
  <c r="J876" i="5" s="1"/>
  <c r="F876" i="5"/>
  <c r="I875" i="5"/>
  <c r="H875" i="5"/>
  <c r="G875" i="5"/>
  <c r="F875" i="5"/>
  <c r="I874" i="5"/>
  <c r="H874" i="5"/>
  <c r="G874" i="5"/>
  <c r="J874" i="5" s="1"/>
  <c r="F874" i="5"/>
  <c r="Y873" i="5"/>
  <c r="I873" i="5"/>
  <c r="H873" i="5"/>
  <c r="G873" i="5"/>
  <c r="J873" i="5" s="1"/>
  <c r="F873" i="5"/>
  <c r="I872" i="5"/>
  <c r="H872" i="5"/>
  <c r="G872" i="5"/>
  <c r="F872" i="5"/>
  <c r="Z871" i="5"/>
  <c r="AA871" i="5" s="1"/>
  <c r="I871" i="5"/>
  <c r="H871" i="5"/>
  <c r="G871" i="5"/>
  <c r="J871" i="5" s="1"/>
  <c r="F871" i="5"/>
  <c r="I870" i="5"/>
  <c r="H870" i="5"/>
  <c r="G870" i="5"/>
  <c r="F870" i="5"/>
  <c r="I869" i="5"/>
  <c r="H869" i="5"/>
  <c r="G869" i="5"/>
  <c r="J869" i="5" s="1"/>
  <c r="F869" i="5"/>
  <c r="Y867" i="5"/>
  <c r="Z867" i="5" s="1"/>
  <c r="Y866" i="5"/>
  <c r="Z866" i="5" s="1"/>
  <c r="X863" i="5"/>
  <c r="X862" i="5"/>
  <c r="X865" i="5" s="1"/>
  <c r="I860" i="5"/>
  <c r="I859" i="5"/>
  <c r="I858" i="5"/>
  <c r="N857" i="5"/>
  <c r="N859" i="5" s="1"/>
  <c r="L857" i="5"/>
  <c r="L860" i="5" s="1"/>
  <c r="I857" i="5"/>
  <c r="P854" i="5"/>
  <c r="H852" i="5"/>
  <c r="G852" i="5"/>
  <c r="R847" i="5"/>
  <c r="I842" i="5"/>
  <c r="I841" i="5"/>
  <c r="I840" i="5"/>
  <c r="I839" i="5"/>
  <c r="I838" i="5"/>
  <c r="I837" i="5"/>
  <c r="N836" i="5"/>
  <c r="I836" i="5"/>
  <c r="N835" i="5"/>
  <c r="H831" i="5"/>
  <c r="G831" i="5"/>
  <c r="F830" i="5"/>
  <c r="E830" i="5"/>
  <c r="E851" i="5" s="1"/>
  <c r="E852" i="5" s="1"/>
  <c r="N828" i="5"/>
  <c r="I825" i="5"/>
  <c r="I824" i="5"/>
  <c r="I823" i="5"/>
  <c r="I822" i="5"/>
  <c r="I821" i="5"/>
  <c r="I820" i="5"/>
  <c r="I819" i="5"/>
  <c r="I818" i="5"/>
  <c r="I817" i="5"/>
  <c r="I816" i="5"/>
  <c r="N815" i="5"/>
  <c r="I815" i="5"/>
  <c r="N814" i="5"/>
  <c r="I814" i="5"/>
  <c r="I826" i="5" s="1"/>
  <c r="L814" i="5" s="1"/>
  <c r="H808" i="5"/>
  <c r="H809" i="5" s="1"/>
  <c r="G808" i="5"/>
  <c r="G809" i="5" s="1"/>
  <c r="F808" i="5"/>
  <c r="F809" i="5" s="1"/>
  <c r="E808" i="5"/>
  <c r="E809" i="5" s="1"/>
  <c r="N807" i="5"/>
  <c r="I799" i="5"/>
  <c r="I798" i="5"/>
  <c r="I797" i="5"/>
  <c r="I796" i="5"/>
  <c r="I795" i="5"/>
  <c r="I794" i="5"/>
  <c r="I793" i="5"/>
  <c r="I792" i="5"/>
  <c r="I791" i="5"/>
  <c r="I790" i="5"/>
  <c r="N789" i="5"/>
  <c r="I789" i="5"/>
  <c r="N788" i="5"/>
  <c r="I788" i="5"/>
  <c r="I787" i="5"/>
  <c r="J786" i="5"/>
  <c r="I786" i="5"/>
  <c r="J785" i="5"/>
  <c r="I785" i="5"/>
  <c r="J784" i="5"/>
  <c r="I784" i="5"/>
  <c r="J783" i="5"/>
  <c r="I783" i="5"/>
  <c r="J782" i="5"/>
  <c r="I782" i="5"/>
  <c r="N781" i="5"/>
  <c r="J781" i="5"/>
  <c r="I781" i="5"/>
  <c r="J780" i="5"/>
  <c r="I780" i="5"/>
  <c r="H775" i="5"/>
  <c r="G775" i="5"/>
  <c r="F775" i="5"/>
  <c r="E775" i="5"/>
  <c r="E777" i="5" s="1"/>
  <c r="M766" i="5"/>
  <c r="L766" i="5"/>
  <c r="L769" i="5" s="1"/>
  <c r="I765" i="5"/>
  <c r="F761" i="5"/>
  <c r="N759" i="5"/>
  <c r="N758" i="5"/>
  <c r="G756" i="5"/>
  <c r="G755" i="5"/>
  <c r="E752" i="5"/>
  <c r="G752" i="5" s="1"/>
  <c r="B752" i="5" s="1"/>
  <c r="G749" i="5"/>
  <c r="L748" i="5"/>
  <c r="M749" i="5" s="1"/>
  <c r="N749" i="5" s="1"/>
  <c r="I748" i="5"/>
  <c r="J749" i="5" s="1"/>
  <c r="K749" i="5" s="1"/>
  <c r="G748" i="5"/>
  <c r="G750" i="5" s="1"/>
  <c r="G751" i="5" s="1"/>
  <c r="P745" i="5"/>
  <c r="L745" i="5"/>
  <c r="M745" i="5" s="1"/>
  <c r="M746" i="5" s="1"/>
  <c r="N746" i="5" s="1"/>
  <c r="I745" i="5"/>
  <c r="J745" i="5" s="1"/>
  <c r="J746" i="5" s="1"/>
  <c r="K746" i="5" s="1"/>
  <c r="N740" i="5" s="1"/>
  <c r="G745" i="5"/>
  <c r="B755" i="5" s="1"/>
  <c r="D743" i="5"/>
  <c r="C743" i="5"/>
  <c r="B743" i="5"/>
  <c r="H742" i="5"/>
  <c r="G742" i="5"/>
  <c r="N741" i="5"/>
  <c r="I741" i="5"/>
  <c r="G741" i="5"/>
  <c r="K740" i="5"/>
  <c r="G740" i="5"/>
  <c r="F740" i="5"/>
  <c r="F743" i="5" s="1"/>
  <c r="E740" i="5"/>
  <c r="E743" i="5" s="1"/>
  <c r="I731" i="5"/>
  <c r="G729" i="5"/>
  <c r="G731" i="5" s="1"/>
  <c r="G732" i="5" s="1"/>
  <c r="I724" i="5"/>
  <c r="G724" i="5"/>
  <c r="H725" i="5" s="1"/>
  <c r="I726" i="5" s="1"/>
  <c r="B719" i="5"/>
  <c r="G718" i="5"/>
  <c r="G719" i="5" s="1"/>
  <c r="K719" i="5" s="1"/>
  <c r="D714" i="5"/>
  <c r="D719" i="5" s="1"/>
  <c r="I709" i="5"/>
  <c r="G709" i="5"/>
  <c r="D709" i="5"/>
  <c r="G708" i="5"/>
  <c r="D708" i="5"/>
  <c r="I708" i="5" s="1"/>
  <c r="T707" i="5"/>
  <c r="U707" i="5" s="1"/>
  <c r="D707" i="5"/>
  <c r="B707" i="5"/>
  <c r="B711" i="5" s="1"/>
  <c r="T706" i="5"/>
  <c r="U706" i="5" s="1"/>
  <c r="U708" i="5" s="1"/>
  <c r="U709" i="5" s="1"/>
  <c r="B704" i="5"/>
  <c r="J703" i="5"/>
  <c r="D703" i="5"/>
  <c r="G702" i="5"/>
  <c r="G701" i="5"/>
  <c r="D700" i="5"/>
  <c r="G700" i="5" s="1"/>
  <c r="B698" i="5"/>
  <c r="R697" i="5"/>
  <c r="J697" i="5"/>
  <c r="D697" i="5"/>
  <c r="R696" i="5"/>
  <c r="I696" i="5"/>
  <c r="G696" i="5"/>
  <c r="R695" i="5"/>
  <c r="I695" i="5"/>
  <c r="G695" i="5"/>
  <c r="R694" i="5"/>
  <c r="M694" i="5"/>
  <c r="M695" i="5" s="1"/>
  <c r="M684" i="5" s="1"/>
  <c r="I694" i="5"/>
  <c r="D694" i="5"/>
  <c r="R693" i="5"/>
  <c r="I693" i="5"/>
  <c r="R692" i="5"/>
  <c r="L692" i="5"/>
  <c r="M686" i="5" s="1"/>
  <c r="R691" i="5"/>
  <c r="F691" i="5"/>
  <c r="D691" i="5"/>
  <c r="B691" i="5"/>
  <c r="R690" i="5"/>
  <c r="R689" i="5"/>
  <c r="R698" i="5" s="1"/>
  <c r="M685" i="5" s="1"/>
  <c r="M678" i="5"/>
  <c r="G678" i="5"/>
  <c r="M677" i="5"/>
  <c r="F677" i="5"/>
  <c r="M676" i="5"/>
  <c r="G676" i="5"/>
  <c r="M675" i="5"/>
  <c r="F675" i="5"/>
  <c r="M674" i="5"/>
  <c r="F674" i="5"/>
  <c r="M673" i="5"/>
  <c r="F673" i="5"/>
  <c r="M672" i="5"/>
  <c r="G672" i="5"/>
  <c r="M671" i="5"/>
  <c r="F671" i="5"/>
  <c r="M670" i="5"/>
  <c r="G670" i="5"/>
  <c r="M669" i="5"/>
  <c r="F669" i="5"/>
  <c r="M668" i="5"/>
  <c r="F668" i="5"/>
  <c r="M667" i="5"/>
  <c r="G667" i="5"/>
  <c r="M666" i="5"/>
  <c r="F666" i="5"/>
  <c r="M665" i="5"/>
  <c r="F665" i="5"/>
  <c r="M664" i="5"/>
  <c r="F664" i="5"/>
  <c r="M663" i="5"/>
  <c r="F663" i="5"/>
  <c r="M662" i="5"/>
  <c r="G662" i="5"/>
  <c r="F662" i="5"/>
  <c r="M661" i="5"/>
  <c r="F661" i="5"/>
  <c r="M660" i="5"/>
  <c r="G660" i="5"/>
  <c r="M659" i="5"/>
  <c r="F659" i="5"/>
  <c r="M658" i="5"/>
  <c r="F658" i="5"/>
  <c r="M657" i="5"/>
  <c r="F657" i="5"/>
  <c r="M656" i="5"/>
  <c r="G656" i="5"/>
  <c r="F656" i="5"/>
  <c r="M655" i="5"/>
  <c r="F655" i="5"/>
  <c r="M654" i="5"/>
  <c r="F654" i="5"/>
  <c r="M653" i="5"/>
  <c r="F653" i="5"/>
  <c r="M652" i="5"/>
  <c r="F652" i="5"/>
  <c r="M651" i="5"/>
  <c r="F651" i="5"/>
  <c r="M650" i="5"/>
  <c r="G650" i="5"/>
  <c r="M649" i="5"/>
  <c r="F649" i="5"/>
  <c r="M648" i="5"/>
  <c r="F648" i="5"/>
  <c r="F679" i="5" s="1"/>
  <c r="F680" i="5" s="1"/>
  <c r="M647" i="5"/>
  <c r="M679" i="5" s="1"/>
  <c r="M680" i="5" s="1"/>
  <c r="G647" i="5"/>
  <c r="G646" i="5"/>
  <c r="G679" i="5" s="1"/>
  <c r="G680" i="5" s="1"/>
  <c r="F644" i="5" s="1"/>
  <c r="F641" i="5"/>
  <c r="F640" i="5"/>
  <c r="L637" i="5"/>
  <c r="F637" i="5"/>
  <c r="F633" i="5"/>
  <c r="J631" i="5"/>
  <c r="L631" i="5" s="1"/>
  <c r="N627" i="5"/>
  <c r="M627" i="5"/>
  <c r="L627" i="5"/>
  <c r="K627" i="5"/>
  <c r="J627" i="5"/>
  <c r="I627" i="5"/>
  <c r="H627" i="5"/>
  <c r="G627" i="5"/>
  <c r="F627" i="5"/>
  <c r="E627" i="5"/>
  <c r="D627" i="5"/>
  <c r="B627" i="5"/>
  <c r="AW626" i="5"/>
  <c r="AW627" i="5" s="1"/>
  <c r="AV626" i="5"/>
  <c r="AV627" i="5" s="1"/>
  <c r="AU626" i="5"/>
  <c r="AU627" i="5" s="1"/>
  <c r="AT626" i="5"/>
  <c r="AT627" i="5" s="1"/>
  <c r="AR626" i="5"/>
  <c r="AR627" i="5" s="1"/>
  <c r="AQ626" i="5"/>
  <c r="AQ627" i="5" s="1"/>
  <c r="AP626" i="5"/>
  <c r="AP627" i="5" s="1"/>
  <c r="AO626" i="5"/>
  <c r="AO627" i="5" s="1"/>
  <c r="AM626" i="5"/>
  <c r="AM627" i="5" s="1"/>
  <c r="AL626" i="5"/>
  <c r="AL627" i="5" s="1"/>
  <c r="AK626" i="5"/>
  <c r="AK627" i="5" s="1"/>
  <c r="AJ626" i="5"/>
  <c r="AJ627" i="5" s="1"/>
  <c r="AI626" i="5"/>
  <c r="AI627" i="5" s="1"/>
  <c r="AH626" i="5"/>
  <c r="AH627" i="5" s="1"/>
  <c r="AG626" i="5"/>
  <c r="AG627" i="5" s="1"/>
  <c r="AF626" i="5"/>
  <c r="AF627" i="5" s="1"/>
  <c r="AE626" i="5"/>
  <c r="AE627" i="5" s="1"/>
  <c r="AD626" i="5"/>
  <c r="AD627" i="5" s="1"/>
  <c r="AC626" i="5"/>
  <c r="AC627" i="5" s="1"/>
  <c r="AB626" i="5"/>
  <c r="AB627" i="5" s="1"/>
  <c r="AA626" i="5"/>
  <c r="AA627" i="5" s="1"/>
  <c r="Z626" i="5"/>
  <c r="Z627" i="5" s="1"/>
  <c r="Y626" i="5"/>
  <c r="Y627" i="5" s="1"/>
  <c r="X626" i="5"/>
  <c r="X627" i="5" s="1"/>
  <c r="W626" i="5"/>
  <c r="W627" i="5" s="1"/>
  <c r="V626" i="5"/>
  <c r="V627" i="5" s="1"/>
  <c r="U626" i="5"/>
  <c r="U627" i="5" s="1"/>
  <c r="T626" i="5"/>
  <c r="T627" i="5" s="1"/>
  <c r="S626" i="5"/>
  <c r="S627" i="5" s="1"/>
  <c r="R626" i="5"/>
  <c r="R627" i="5" s="1"/>
  <c r="Q626" i="5"/>
  <c r="Q627" i="5" s="1"/>
  <c r="P626" i="5"/>
  <c r="P627" i="5" s="1"/>
  <c r="O626" i="5"/>
  <c r="O627" i="5" s="1"/>
  <c r="C626" i="5"/>
  <c r="C627" i="5" s="1"/>
  <c r="BA624" i="5"/>
  <c r="AZ624" i="5"/>
  <c r="AY624" i="5"/>
  <c r="AX624" i="5"/>
  <c r="AS624" i="5"/>
  <c r="AN624" i="5"/>
  <c r="R624" i="5"/>
  <c r="Q624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J621" i="5"/>
  <c r="L621" i="5" s="1"/>
  <c r="G608" i="5" s="1"/>
  <c r="N615" i="5"/>
  <c r="M615" i="5"/>
  <c r="K615" i="5"/>
  <c r="J615" i="5"/>
  <c r="I615" i="5"/>
  <c r="H615" i="5"/>
  <c r="G615" i="5"/>
  <c r="F615" i="5"/>
  <c r="D615" i="5"/>
  <c r="C615" i="5"/>
  <c r="B615" i="5"/>
  <c r="M614" i="5"/>
  <c r="L614" i="5"/>
  <c r="I614" i="5"/>
  <c r="E614" i="5"/>
  <c r="J619" i="5" s="1"/>
  <c r="L619" i="5" s="1"/>
  <c r="E613" i="5"/>
  <c r="J618" i="5" s="1"/>
  <c r="L618" i="5" s="1"/>
  <c r="G605" i="5" s="1"/>
  <c r="G610" i="5"/>
  <c r="G606" i="5"/>
  <c r="AW601" i="5"/>
  <c r="AV601" i="5"/>
  <c r="AU601" i="5"/>
  <c r="AT601" i="5"/>
  <c r="AR601" i="5"/>
  <c r="AQ601" i="5"/>
  <c r="AP601" i="5"/>
  <c r="AO601" i="5"/>
  <c r="AM601" i="5"/>
  <c r="AL601" i="5"/>
  <c r="AK601" i="5"/>
  <c r="AJ601" i="5"/>
  <c r="AI601" i="5"/>
  <c r="AH601" i="5"/>
  <c r="AG601" i="5"/>
  <c r="AF601" i="5"/>
  <c r="AE601" i="5"/>
  <c r="AD601" i="5"/>
  <c r="AC601" i="5"/>
  <c r="AB601" i="5"/>
  <c r="AA601" i="5"/>
  <c r="Z601" i="5"/>
  <c r="Y601" i="5"/>
  <c r="X601" i="5"/>
  <c r="W601" i="5"/>
  <c r="V601" i="5"/>
  <c r="U601" i="5"/>
  <c r="T601" i="5"/>
  <c r="S601" i="5"/>
  <c r="Q601" i="5"/>
  <c r="P601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AW600" i="5"/>
  <c r="AV600" i="5"/>
  <c r="AU600" i="5"/>
  <c r="AT600" i="5"/>
  <c r="AR600" i="5"/>
  <c r="AQ600" i="5"/>
  <c r="AP600" i="5"/>
  <c r="AO600" i="5"/>
  <c r="J600" i="5"/>
  <c r="I600" i="5"/>
  <c r="B600" i="5"/>
  <c r="A600" i="5"/>
  <c r="AW599" i="5"/>
  <c r="AW602" i="5" s="1"/>
  <c r="AV599" i="5"/>
  <c r="AV602" i="5" s="1"/>
  <c r="AU599" i="5"/>
  <c r="AU602" i="5" s="1"/>
  <c r="AT599" i="5"/>
  <c r="AT602" i="5" s="1"/>
  <c r="AR599" i="5"/>
  <c r="AR602" i="5" s="1"/>
  <c r="AQ599" i="5"/>
  <c r="AQ602" i="5" s="1"/>
  <c r="AP599" i="5"/>
  <c r="AP602" i="5" s="1"/>
  <c r="AO599" i="5"/>
  <c r="AO602" i="5" s="1"/>
  <c r="AM599" i="5"/>
  <c r="AL599" i="5"/>
  <c r="AK599" i="5"/>
  <c r="AJ599" i="5"/>
  <c r="AI599" i="5"/>
  <c r="AH599" i="5"/>
  <c r="AG599" i="5"/>
  <c r="AF599" i="5"/>
  <c r="AE599" i="5"/>
  <c r="AD599" i="5"/>
  <c r="AC599" i="5"/>
  <c r="AB599" i="5"/>
  <c r="AA599" i="5"/>
  <c r="Z599" i="5"/>
  <c r="Y599" i="5"/>
  <c r="X599" i="5"/>
  <c r="W599" i="5"/>
  <c r="V599" i="5"/>
  <c r="U599" i="5"/>
  <c r="T599" i="5"/>
  <c r="S599" i="5"/>
  <c r="Q599" i="5"/>
  <c r="P599" i="5"/>
  <c r="O599" i="5"/>
  <c r="A599" i="5"/>
  <c r="AW598" i="5"/>
  <c r="AW612" i="5" s="1"/>
  <c r="AW624" i="5" s="1"/>
  <c r="AV598" i="5"/>
  <c r="AV612" i="5" s="1"/>
  <c r="AV624" i="5" s="1"/>
  <c r="AU598" i="5"/>
  <c r="AU612" i="5" s="1"/>
  <c r="AU624" i="5" s="1"/>
  <c r="AT598" i="5"/>
  <c r="AT612" i="5" s="1"/>
  <c r="AT624" i="5" s="1"/>
  <c r="AR598" i="5"/>
  <c r="AR612" i="5" s="1"/>
  <c r="AR624" i="5" s="1"/>
  <c r="AQ598" i="5"/>
  <c r="AQ612" i="5" s="1"/>
  <c r="AQ624" i="5" s="1"/>
  <c r="AP598" i="5"/>
  <c r="AP612" i="5" s="1"/>
  <c r="AP624" i="5" s="1"/>
  <c r="AO598" i="5"/>
  <c r="AO612" i="5" s="1"/>
  <c r="AO624" i="5" s="1"/>
  <c r="AM598" i="5"/>
  <c r="AM612" i="5" s="1"/>
  <c r="AM624" i="5" s="1"/>
  <c r="AL598" i="5"/>
  <c r="AL612" i="5" s="1"/>
  <c r="AL624" i="5" s="1"/>
  <c r="AK598" i="5"/>
  <c r="AK612" i="5" s="1"/>
  <c r="AK624" i="5" s="1"/>
  <c r="AJ598" i="5"/>
  <c r="AJ612" i="5" s="1"/>
  <c r="AJ624" i="5" s="1"/>
  <c r="AI598" i="5"/>
  <c r="AI612" i="5" s="1"/>
  <c r="AI624" i="5" s="1"/>
  <c r="AH598" i="5"/>
  <c r="AH612" i="5" s="1"/>
  <c r="AH624" i="5" s="1"/>
  <c r="AG598" i="5"/>
  <c r="AG612" i="5" s="1"/>
  <c r="AG624" i="5" s="1"/>
  <c r="AF598" i="5"/>
  <c r="AF612" i="5" s="1"/>
  <c r="AF624" i="5" s="1"/>
  <c r="AE598" i="5"/>
  <c r="AE612" i="5" s="1"/>
  <c r="AE624" i="5" s="1"/>
  <c r="AD598" i="5"/>
  <c r="AD612" i="5" s="1"/>
  <c r="AD624" i="5" s="1"/>
  <c r="AC598" i="5"/>
  <c r="AC612" i="5" s="1"/>
  <c r="AC624" i="5" s="1"/>
  <c r="AB598" i="5"/>
  <c r="AB612" i="5" s="1"/>
  <c r="AB624" i="5" s="1"/>
  <c r="AA598" i="5"/>
  <c r="AA612" i="5" s="1"/>
  <c r="AA624" i="5" s="1"/>
  <c r="Z598" i="5"/>
  <c r="Z612" i="5" s="1"/>
  <c r="Z624" i="5" s="1"/>
  <c r="Y598" i="5"/>
  <c r="Y612" i="5" s="1"/>
  <c r="Y624" i="5" s="1"/>
  <c r="X598" i="5"/>
  <c r="X612" i="5" s="1"/>
  <c r="X624" i="5" s="1"/>
  <c r="W598" i="5"/>
  <c r="W612" i="5" s="1"/>
  <c r="W624" i="5" s="1"/>
  <c r="V598" i="5"/>
  <c r="V612" i="5" s="1"/>
  <c r="V624" i="5" s="1"/>
  <c r="U598" i="5"/>
  <c r="U612" i="5" s="1"/>
  <c r="U624" i="5" s="1"/>
  <c r="T598" i="5"/>
  <c r="T612" i="5" s="1"/>
  <c r="T624" i="5" s="1"/>
  <c r="S598" i="5"/>
  <c r="S612" i="5" s="1"/>
  <c r="S624" i="5" s="1"/>
  <c r="Q598" i="5"/>
  <c r="P598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W595" i="5"/>
  <c r="AV595" i="5"/>
  <c r="AU595" i="5"/>
  <c r="AT595" i="5"/>
  <c r="AR595" i="5"/>
  <c r="AQ595" i="5"/>
  <c r="AP595" i="5"/>
  <c r="AO595" i="5"/>
  <c r="K593" i="5"/>
  <c r="C593" i="5"/>
  <c r="N592" i="5"/>
  <c r="M592" i="5"/>
  <c r="M599" i="5" s="1"/>
  <c r="L592" i="5"/>
  <c r="K592" i="5"/>
  <c r="J592" i="5"/>
  <c r="I592" i="5"/>
  <c r="I599" i="5" s="1"/>
  <c r="I602" i="5" s="1"/>
  <c r="H592" i="5"/>
  <c r="G592" i="5"/>
  <c r="G599" i="5" s="1"/>
  <c r="F592" i="5"/>
  <c r="F599" i="5" s="1"/>
  <c r="E592" i="5"/>
  <c r="D592" i="5"/>
  <c r="D599" i="5" s="1"/>
  <c r="C592" i="5"/>
  <c r="C595" i="5" s="1"/>
  <c r="B592" i="5"/>
  <c r="D588" i="5"/>
  <c r="E588" i="5" s="1"/>
  <c r="D579" i="5"/>
  <c r="E579" i="5" s="1"/>
  <c r="D570" i="5"/>
  <c r="E570" i="5" s="1"/>
  <c r="E560" i="5" s="1"/>
  <c r="E556" i="5"/>
  <c r="E555" i="5"/>
  <c r="E545" i="5"/>
  <c r="E544" i="5"/>
  <c r="D533" i="5"/>
  <c r="E533" i="5" s="1"/>
  <c r="F521" i="5" s="1"/>
  <c r="F525" i="5"/>
  <c r="G518" i="5"/>
  <c r="G553" i="5" s="1"/>
  <c r="F518" i="5"/>
  <c r="F553" i="5" s="1"/>
  <c r="E518" i="5"/>
  <c r="E553" i="5" s="1"/>
  <c r="E584" i="5" s="1"/>
  <c r="E585" i="5" s="1"/>
  <c r="D518" i="5"/>
  <c r="D553" i="5" s="1"/>
  <c r="C518" i="5"/>
  <c r="C553" i="5" s="1"/>
  <c r="B518" i="5"/>
  <c r="B553" i="5" s="1"/>
  <c r="G517" i="5"/>
  <c r="F517" i="5"/>
  <c r="E517" i="5"/>
  <c r="D517" i="5"/>
  <c r="G516" i="5"/>
  <c r="F516" i="5"/>
  <c r="E516" i="5"/>
  <c r="D516" i="5"/>
  <c r="G515" i="5"/>
  <c r="F515" i="5"/>
  <c r="E515" i="5"/>
  <c r="D515" i="5"/>
  <c r="A513" i="5"/>
  <c r="A547" i="5" s="1"/>
  <c r="A580" i="5" s="1"/>
  <c r="G510" i="5"/>
  <c r="G542" i="5" s="1"/>
  <c r="F510" i="5"/>
  <c r="F542" i="5" s="1"/>
  <c r="E510" i="5"/>
  <c r="E542" i="5" s="1"/>
  <c r="E543" i="5" s="1"/>
  <c r="D510" i="5"/>
  <c r="D542" i="5" s="1"/>
  <c r="C510" i="5"/>
  <c r="C542" i="5" s="1"/>
  <c r="B510" i="5"/>
  <c r="B542" i="5" s="1"/>
  <c r="G509" i="5"/>
  <c r="F509" i="5"/>
  <c r="D509" i="5"/>
  <c r="C509" i="5"/>
  <c r="B509" i="5"/>
  <c r="G508" i="5"/>
  <c r="F508" i="5"/>
  <c r="E508" i="5"/>
  <c r="D508" i="5"/>
  <c r="C508" i="5"/>
  <c r="B508" i="5"/>
  <c r="G507" i="5"/>
  <c r="F507" i="5"/>
  <c r="E507" i="5"/>
  <c r="D507" i="5"/>
  <c r="C507" i="5"/>
  <c r="B507" i="5"/>
  <c r="A505" i="5"/>
  <c r="A536" i="5" s="1"/>
  <c r="A571" i="5" s="1"/>
  <c r="G502" i="5"/>
  <c r="G531" i="5" s="1"/>
  <c r="F502" i="5"/>
  <c r="F531" i="5" s="1"/>
  <c r="E502" i="5"/>
  <c r="E531" i="5" s="1"/>
  <c r="D502" i="5"/>
  <c r="D531" i="5" s="1"/>
  <c r="D532" i="5" s="1"/>
  <c r="C502" i="5"/>
  <c r="C531" i="5" s="1"/>
  <c r="C566" i="5" s="1"/>
  <c r="C567" i="5" s="1"/>
  <c r="B502" i="5"/>
  <c r="B531" i="5" s="1"/>
  <c r="G501" i="5"/>
  <c r="F501" i="5"/>
  <c r="E501" i="5"/>
  <c r="D501" i="5"/>
  <c r="C501" i="5"/>
  <c r="B501" i="5"/>
  <c r="G500" i="5"/>
  <c r="F500" i="5"/>
  <c r="E500" i="5"/>
  <c r="D500" i="5"/>
  <c r="C500" i="5"/>
  <c r="B500" i="5"/>
  <c r="G499" i="5"/>
  <c r="F499" i="5"/>
  <c r="E499" i="5"/>
  <c r="D499" i="5"/>
  <c r="C499" i="5"/>
  <c r="B499" i="5"/>
  <c r="G498" i="5"/>
  <c r="G527" i="5" s="1"/>
  <c r="F498" i="5"/>
  <c r="F527" i="5" s="1"/>
  <c r="F538" i="5" s="1"/>
  <c r="E498" i="5"/>
  <c r="E527" i="5" s="1"/>
  <c r="D498" i="5"/>
  <c r="D527" i="5" s="1"/>
  <c r="C498" i="5"/>
  <c r="C527" i="5" s="1"/>
  <c r="B498" i="5"/>
  <c r="B527" i="5" s="1"/>
  <c r="B563" i="5" s="1"/>
  <c r="B572" i="5" s="1"/>
  <c r="B581" i="5" s="1"/>
  <c r="A497" i="5"/>
  <c r="A525" i="5" s="1"/>
  <c r="A562" i="5" s="1"/>
  <c r="G492" i="5"/>
  <c r="F492" i="5"/>
  <c r="E492" i="5"/>
  <c r="D492" i="5"/>
  <c r="C490" i="5"/>
  <c r="C517" i="5" s="1"/>
  <c r="B490" i="5"/>
  <c r="B517" i="5" s="1"/>
  <c r="C489" i="5"/>
  <c r="C516" i="5" s="1"/>
  <c r="B489" i="5"/>
  <c r="B516" i="5" s="1"/>
  <c r="C488" i="5"/>
  <c r="B488" i="5"/>
  <c r="B515" i="5" s="1"/>
  <c r="G484" i="5"/>
  <c r="F484" i="5"/>
  <c r="D484" i="5"/>
  <c r="C484" i="5"/>
  <c r="B484" i="5"/>
  <c r="E482" i="5"/>
  <c r="E509" i="5" s="1"/>
  <c r="E511" i="5" s="1"/>
  <c r="G479" i="5"/>
  <c r="F479" i="5"/>
  <c r="F506" i="5" s="1"/>
  <c r="E479" i="5"/>
  <c r="D479" i="5"/>
  <c r="D506" i="5" s="1"/>
  <c r="C479" i="5"/>
  <c r="B479" i="5"/>
  <c r="B506" i="5" s="1"/>
  <c r="G476" i="5"/>
  <c r="F476" i="5"/>
  <c r="E476" i="5"/>
  <c r="D476" i="5"/>
  <c r="C476" i="5"/>
  <c r="B476" i="5"/>
  <c r="F470" i="5"/>
  <c r="E459" i="5"/>
  <c r="E443" i="5"/>
  <c r="J441" i="5"/>
  <c r="I441" i="5"/>
  <c r="H441" i="5"/>
  <c r="G441" i="5"/>
  <c r="F441" i="5"/>
  <c r="E441" i="5"/>
  <c r="D441" i="5"/>
  <c r="C441" i="5"/>
  <c r="B441" i="5"/>
  <c r="R440" i="5"/>
  <c r="M440" i="5"/>
  <c r="M441" i="5" s="1"/>
  <c r="L440" i="5"/>
  <c r="L441" i="5" s="1"/>
  <c r="K440" i="5"/>
  <c r="K441" i="5" s="1"/>
  <c r="E432" i="5"/>
  <c r="H430" i="5"/>
  <c r="G430" i="5"/>
  <c r="F430" i="5"/>
  <c r="E430" i="5"/>
  <c r="D430" i="5"/>
  <c r="C430" i="5"/>
  <c r="B430" i="5"/>
  <c r="D433" i="5" s="1"/>
  <c r="E433" i="5" s="1"/>
  <c r="R429" i="5"/>
  <c r="M429" i="5"/>
  <c r="M430" i="5" s="1"/>
  <c r="L429" i="5"/>
  <c r="L430" i="5" s="1"/>
  <c r="K429" i="5"/>
  <c r="K430" i="5" s="1"/>
  <c r="J429" i="5"/>
  <c r="J430" i="5" s="1"/>
  <c r="D431" i="5" s="1"/>
  <c r="E431" i="5" s="1"/>
  <c r="I429" i="5"/>
  <c r="I430" i="5" s="1"/>
  <c r="E421" i="5"/>
  <c r="H419" i="5"/>
  <c r="G419" i="5"/>
  <c r="F419" i="5"/>
  <c r="E419" i="5"/>
  <c r="D419" i="5"/>
  <c r="C419" i="5"/>
  <c r="B419" i="5"/>
  <c r="D422" i="5" s="1"/>
  <c r="E422" i="5" s="1"/>
  <c r="R418" i="5"/>
  <c r="M418" i="5"/>
  <c r="M419" i="5" s="1"/>
  <c r="L418" i="5"/>
  <c r="L419" i="5" s="1"/>
  <c r="K418" i="5"/>
  <c r="K419" i="5" s="1"/>
  <c r="J418" i="5"/>
  <c r="J419" i="5" s="1"/>
  <c r="I418" i="5"/>
  <c r="I419" i="5" s="1"/>
  <c r="E412" i="5"/>
  <c r="E410" i="5"/>
  <c r="R406" i="5"/>
  <c r="Q398" i="5"/>
  <c r="P398" i="5"/>
  <c r="O398" i="5"/>
  <c r="N398" i="5"/>
  <c r="M398" i="5"/>
  <c r="M406" i="5" s="1"/>
  <c r="L398" i="5"/>
  <c r="L406" i="5" s="1"/>
  <c r="K398" i="5"/>
  <c r="K406" i="5" s="1"/>
  <c r="J398" i="5"/>
  <c r="J406" i="5" s="1"/>
  <c r="I398" i="5"/>
  <c r="I406" i="5" s="1"/>
  <c r="H398" i="5"/>
  <c r="H406" i="5" s="1"/>
  <c r="G398" i="5"/>
  <c r="G406" i="5" s="1"/>
  <c r="F398" i="5"/>
  <c r="F406" i="5" s="1"/>
  <c r="E398" i="5"/>
  <c r="E406" i="5" s="1"/>
  <c r="D398" i="5"/>
  <c r="D406" i="5" s="1"/>
  <c r="C398" i="5"/>
  <c r="C406" i="5" s="1"/>
  <c r="B398" i="5"/>
  <c r="B406" i="5" s="1"/>
  <c r="J397" i="5"/>
  <c r="B397" i="5"/>
  <c r="M396" i="5"/>
  <c r="L396" i="5"/>
  <c r="K396" i="5"/>
  <c r="J396" i="5"/>
  <c r="G396" i="5"/>
  <c r="E396" i="5"/>
  <c r="C396" i="5"/>
  <c r="B396" i="5"/>
  <c r="Q395" i="5"/>
  <c r="O395" i="5"/>
  <c r="N395" i="5"/>
  <c r="M395" i="5"/>
  <c r="K395" i="5"/>
  <c r="J395" i="5"/>
  <c r="I395" i="5"/>
  <c r="G395" i="5"/>
  <c r="F395" i="5"/>
  <c r="E395" i="5"/>
  <c r="D395" i="5"/>
  <c r="C395" i="5"/>
  <c r="B395" i="5"/>
  <c r="J389" i="5"/>
  <c r="B389" i="5"/>
  <c r="K387" i="5"/>
  <c r="K389" i="5" s="1"/>
  <c r="C387" i="5"/>
  <c r="P386" i="5"/>
  <c r="N386" i="5"/>
  <c r="H386" i="5"/>
  <c r="F386" i="5"/>
  <c r="F396" i="5" s="1"/>
  <c r="D386" i="5"/>
  <c r="L385" i="5"/>
  <c r="L395" i="5" s="1"/>
  <c r="H385" i="5"/>
  <c r="H395" i="5" s="1"/>
  <c r="R379" i="5"/>
  <c r="P379" i="5"/>
  <c r="N379" i="5"/>
  <c r="L379" i="5"/>
  <c r="J379" i="5"/>
  <c r="H379" i="5"/>
  <c r="F379" i="5"/>
  <c r="D379" i="5"/>
  <c r="B379" i="5"/>
  <c r="R378" i="5"/>
  <c r="L378" i="5"/>
  <c r="J378" i="5"/>
  <c r="H378" i="5"/>
  <c r="F378" i="5"/>
  <c r="D378" i="5"/>
  <c r="B378" i="5"/>
  <c r="R377" i="5"/>
  <c r="H377" i="5"/>
  <c r="D377" i="5"/>
  <c r="B377" i="5"/>
  <c r="R376" i="5"/>
  <c r="P376" i="5"/>
  <c r="N376" i="5"/>
  <c r="L376" i="5"/>
  <c r="J376" i="5"/>
  <c r="H376" i="5"/>
  <c r="F376" i="5"/>
  <c r="D376" i="5"/>
  <c r="B376" i="5"/>
  <c r="B380" i="5" s="1"/>
  <c r="R375" i="5"/>
  <c r="P375" i="5"/>
  <c r="N375" i="5"/>
  <c r="L375" i="5"/>
  <c r="J375" i="5"/>
  <c r="H375" i="5"/>
  <c r="F375" i="5"/>
  <c r="D375" i="5"/>
  <c r="B375" i="5"/>
  <c r="R374" i="5"/>
  <c r="P374" i="5"/>
  <c r="N374" i="5"/>
  <c r="L374" i="5"/>
  <c r="J374" i="5"/>
  <c r="E369" i="5"/>
  <c r="E368" i="5"/>
  <c r="R363" i="5"/>
  <c r="J363" i="5"/>
  <c r="H363" i="5"/>
  <c r="P362" i="5"/>
  <c r="N362" i="5"/>
  <c r="F362" i="5"/>
  <c r="B362" i="5"/>
  <c r="P361" i="5"/>
  <c r="N361" i="5"/>
  <c r="N363" i="5" s="1"/>
  <c r="N366" i="5" s="1"/>
  <c r="L361" i="5"/>
  <c r="L363" i="5" s="1"/>
  <c r="L366" i="5" s="1"/>
  <c r="F361" i="5"/>
  <c r="D361" i="5"/>
  <c r="D363" i="5" s="1"/>
  <c r="B361" i="5"/>
  <c r="B363" i="5" s="1"/>
  <c r="R354" i="5"/>
  <c r="R364" i="5" s="1"/>
  <c r="P354" i="5"/>
  <c r="P364" i="5" s="1"/>
  <c r="N354" i="5"/>
  <c r="L354" i="5"/>
  <c r="J354" i="5"/>
  <c r="J364" i="5" s="1"/>
  <c r="H354" i="5"/>
  <c r="H364" i="5" s="1"/>
  <c r="F354" i="5"/>
  <c r="F364" i="5" s="1"/>
  <c r="D354" i="5"/>
  <c r="D364" i="5" s="1"/>
  <c r="B354" i="5"/>
  <c r="B364" i="5" s="1"/>
  <c r="P378" i="5"/>
  <c r="R352" i="5"/>
  <c r="H352" i="5"/>
  <c r="D352" i="5"/>
  <c r="B352" i="5"/>
  <c r="R351" i="5"/>
  <c r="P351" i="5"/>
  <c r="N351" i="5"/>
  <c r="L351" i="5"/>
  <c r="J351" i="5"/>
  <c r="H351" i="5"/>
  <c r="H355" i="5" s="1"/>
  <c r="F351" i="5"/>
  <c r="D351" i="5"/>
  <c r="B351" i="5"/>
  <c r="B355" i="5" s="1"/>
  <c r="R350" i="5"/>
  <c r="P350" i="5"/>
  <c r="N350" i="5"/>
  <c r="L350" i="5"/>
  <c r="J350" i="5"/>
  <c r="H350" i="5"/>
  <c r="F350" i="5"/>
  <c r="D350" i="5"/>
  <c r="B350" i="5"/>
  <c r="E343" i="5"/>
  <c r="B338" i="5"/>
  <c r="B337" i="5"/>
  <c r="B340" i="5" s="1"/>
  <c r="F336" i="5" s="1"/>
  <c r="R333" i="5"/>
  <c r="P333" i="5"/>
  <c r="N333" i="5"/>
  <c r="L333" i="5"/>
  <c r="J333" i="5"/>
  <c r="H333" i="5"/>
  <c r="F333" i="5"/>
  <c r="D333" i="5"/>
  <c r="B333" i="5"/>
  <c r="R332" i="5"/>
  <c r="H332" i="5"/>
  <c r="D332" i="5"/>
  <c r="B332" i="5"/>
  <c r="R331" i="5"/>
  <c r="R334" i="5" s="1"/>
  <c r="P331" i="5"/>
  <c r="N331" i="5"/>
  <c r="L331" i="5"/>
  <c r="J331" i="5"/>
  <c r="H331" i="5"/>
  <c r="H334" i="5" s="1"/>
  <c r="F331" i="5"/>
  <c r="D331" i="5"/>
  <c r="D334" i="5" s="1"/>
  <c r="B331" i="5"/>
  <c r="B334" i="5" s="1"/>
  <c r="R330" i="5"/>
  <c r="P330" i="5"/>
  <c r="N330" i="5"/>
  <c r="L330" i="5"/>
  <c r="J330" i="5"/>
  <c r="H330" i="5"/>
  <c r="F330" i="5"/>
  <c r="D330" i="5"/>
  <c r="B330" i="5"/>
  <c r="R323" i="5"/>
  <c r="P323" i="5"/>
  <c r="N323" i="5"/>
  <c r="L323" i="5"/>
  <c r="J323" i="5"/>
  <c r="H323" i="5"/>
  <c r="F323" i="5"/>
  <c r="D323" i="5"/>
  <c r="B323" i="5"/>
  <c r="S322" i="5"/>
  <c r="R322" i="5"/>
  <c r="D322" i="5"/>
  <c r="B322" i="5"/>
  <c r="T321" i="5"/>
  <c r="S321" i="5"/>
  <c r="S324" i="5" s="1"/>
  <c r="R321" i="5"/>
  <c r="P321" i="5"/>
  <c r="N321" i="5"/>
  <c r="L321" i="5"/>
  <c r="J321" i="5"/>
  <c r="H321" i="5"/>
  <c r="F321" i="5"/>
  <c r="D321" i="5"/>
  <c r="D324" i="5" s="1"/>
  <c r="B321" i="5"/>
  <c r="R320" i="5"/>
  <c r="P320" i="5"/>
  <c r="N320" i="5"/>
  <c r="L320" i="5"/>
  <c r="J320" i="5"/>
  <c r="H320" i="5"/>
  <c r="F320" i="5"/>
  <c r="D320" i="5"/>
  <c r="B320" i="5"/>
  <c r="Q316" i="5"/>
  <c r="O316" i="5"/>
  <c r="M316" i="5"/>
  <c r="K316" i="5"/>
  <c r="I316" i="5"/>
  <c r="G316" i="5"/>
  <c r="E316" i="5"/>
  <c r="C316" i="5"/>
  <c r="B316" i="5"/>
  <c r="H313" i="5"/>
  <c r="B313" i="5"/>
  <c r="T316" i="5" s="1"/>
  <c r="V312" i="5"/>
  <c r="T312" i="5"/>
  <c r="Q312" i="5"/>
  <c r="O312" i="5"/>
  <c r="M312" i="5"/>
  <c r="K312" i="5"/>
  <c r="I312" i="5"/>
  <c r="G312" i="5"/>
  <c r="E312" i="5"/>
  <c r="C312" i="5"/>
  <c r="B312" i="5"/>
  <c r="H309" i="5"/>
  <c r="B309" i="5"/>
  <c r="J309" i="5" s="1"/>
  <c r="N308" i="5"/>
  <c r="E305" i="5"/>
  <c r="B303" i="5"/>
  <c r="P301" i="5"/>
  <c r="H301" i="5"/>
  <c r="H312" i="5" s="1"/>
  <c r="D301" i="5"/>
  <c r="P322" i="5"/>
  <c r="N300" i="5"/>
  <c r="N316" i="5" s="1"/>
  <c r="L300" i="5"/>
  <c r="H322" i="5"/>
  <c r="F300" i="5"/>
  <c r="F316" i="5" s="1"/>
  <c r="G276" i="5"/>
  <c r="E276" i="5"/>
  <c r="C276" i="5"/>
  <c r="G274" i="5"/>
  <c r="E274" i="5"/>
  <c r="C274" i="5"/>
  <c r="G272" i="5"/>
  <c r="E272" i="5"/>
  <c r="C272" i="5"/>
  <c r="G270" i="5"/>
  <c r="E270" i="5"/>
  <c r="C270" i="5"/>
  <c r="B258" i="5"/>
  <c r="A258" i="5"/>
  <c r="B257" i="5"/>
  <c r="A257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B252" i="5"/>
  <c r="C251" i="5"/>
  <c r="C250" i="5"/>
  <c r="AP235" i="5"/>
  <c r="AO235" i="5"/>
  <c r="AM235" i="5"/>
  <c r="AL235" i="5"/>
  <c r="AK235" i="5"/>
  <c r="AJ235" i="5"/>
  <c r="AI235" i="5"/>
  <c r="AG235" i="5"/>
  <c r="AF235" i="5"/>
  <c r="AE235" i="5"/>
  <c r="AD235" i="5"/>
  <c r="AC235" i="5"/>
  <c r="AB235" i="5"/>
  <c r="AA235" i="5"/>
  <c r="Z235" i="5"/>
  <c r="Y235" i="5"/>
  <c r="X235" i="5"/>
  <c r="V235" i="5"/>
  <c r="T235" i="5"/>
  <c r="S235" i="5"/>
  <c r="P235" i="5"/>
  <c r="O235" i="5"/>
  <c r="N235" i="5"/>
  <c r="M235" i="5"/>
  <c r="L235" i="5"/>
  <c r="K235" i="5"/>
  <c r="J235" i="5"/>
  <c r="I235" i="5"/>
  <c r="F235" i="5"/>
  <c r="E235" i="5"/>
  <c r="D235" i="5"/>
  <c r="B235" i="5"/>
  <c r="A235" i="5"/>
  <c r="AP234" i="5"/>
  <c r="AO234" i="5"/>
  <c r="AN234" i="5"/>
  <c r="AM234" i="5"/>
  <c r="AL234" i="5"/>
  <c r="AK234" i="5"/>
  <c r="AJ234" i="5"/>
  <c r="AI234" i="5"/>
  <c r="AG234" i="5"/>
  <c r="AF234" i="5"/>
  <c r="AE234" i="5"/>
  <c r="AD234" i="5"/>
  <c r="AC234" i="5"/>
  <c r="AB234" i="5"/>
  <c r="Z234" i="5"/>
  <c r="Y234" i="5"/>
  <c r="X234" i="5"/>
  <c r="W234" i="5"/>
  <c r="V234" i="5"/>
  <c r="T234" i="5"/>
  <c r="S234" i="5"/>
  <c r="R234" i="5"/>
  <c r="P234" i="5"/>
  <c r="O234" i="5"/>
  <c r="N234" i="5"/>
  <c r="M234" i="5"/>
  <c r="L234" i="5"/>
  <c r="K234" i="5"/>
  <c r="J234" i="5"/>
  <c r="I234" i="5"/>
  <c r="F234" i="5"/>
  <c r="E234" i="5"/>
  <c r="D234" i="5"/>
  <c r="B234" i="5"/>
  <c r="A234" i="5"/>
  <c r="AP233" i="5"/>
  <c r="AO233" i="5"/>
  <c r="AO236" i="5" s="1"/>
  <c r="AN233" i="5"/>
  <c r="AM233" i="5"/>
  <c r="AM236" i="5" s="1"/>
  <c r="AL233" i="5"/>
  <c r="AK233" i="5"/>
  <c r="AK236" i="5" s="1"/>
  <c r="AJ233" i="5"/>
  <c r="AH233" i="5"/>
  <c r="AF233" i="5"/>
  <c r="AE233" i="5"/>
  <c r="AE236" i="5" s="1"/>
  <c r="AD233" i="5"/>
  <c r="AC233" i="5"/>
  <c r="AC236" i="5" s="1"/>
  <c r="AB233" i="5"/>
  <c r="Z233" i="5"/>
  <c r="Z236" i="5" s="1"/>
  <c r="Y233" i="5"/>
  <c r="Y236" i="5" s="1"/>
  <c r="X233" i="5"/>
  <c r="X236" i="5" s="1"/>
  <c r="W233" i="5"/>
  <c r="V233" i="5"/>
  <c r="V236" i="5" s="1"/>
  <c r="U233" i="5"/>
  <c r="T233" i="5"/>
  <c r="T236" i="5" s="1"/>
  <c r="R233" i="5"/>
  <c r="Q233" i="5"/>
  <c r="P233" i="5"/>
  <c r="O233" i="5"/>
  <c r="O236" i="5" s="1"/>
  <c r="N233" i="5"/>
  <c r="M233" i="5"/>
  <c r="M236" i="5" s="1"/>
  <c r="L233" i="5"/>
  <c r="K233" i="5"/>
  <c r="K236" i="5" s="1"/>
  <c r="J233" i="5"/>
  <c r="I233" i="5"/>
  <c r="I236" i="5" s="1"/>
  <c r="H233" i="5"/>
  <c r="G233" i="5"/>
  <c r="F233" i="5"/>
  <c r="E233" i="5"/>
  <c r="E236" i="5" s="1"/>
  <c r="D233" i="5"/>
  <c r="C233" i="5"/>
  <c r="B233" i="5"/>
  <c r="A233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P229" i="5"/>
  <c r="AO229" i="5"/>
  <c r="AM229" i="5"/>
  <c r="AL229" i="5"/>
  <c r="AK229" i="5"/>
  <c r="AJ229" i="5"/>
  <c r="AF229" i="5"/>
  <c r="AE229" i="5"/>
  <c r="AD229" i="5"/>
  <c r="AC229" i="5"/>
  <c r="AB229" i="5"/>
  <c r="Z229" i="5"/>
  <c r="Y229" i="5"/>
  <c r="X229" i="5"/>
  <c r="V229" i="5"/>
  <c r="T229" i="5"/>
  <c r="P229" i="5"/>
  <c r="O229" i="5"/>
  <c r="N229" i="5"/>
  <c r="M229" i="5"/>
  <c r="L229" i="5"/>
  <c r="K229" i="5"/>
  <c r="J229" i="5"/>
  <c r="I229" i="5"/>
  <c r="F229" i="5"/>
  <c r="E229" i="5"/>
  <c r="D229" i="5"/>
  <c r="B229" i="5"/>
  <c r="AN228" i="5"/>
  <c r="AH228" i="5"/>
  <c r="AH235" i="5" s="1"/>
  <c r="W228" i="5"/>
  <c r="W235" i="5" s="1"/>
  <c r="W236" i="5" s="1"/>
  <c r="U228" i="5"/>
  <c r="U235" i="5" s="1"/>
  <c r="Q228" i="5"/>
  <c r="G228" i="5"/>
  <c r="C228" i="5"/>
  <c r="C235" i="5" s="1"/>
  <c r="AH227" i="5"/>
  <c r="AA227" i="5"/>
  <c r="AA234" i="5" s="1"/>
  <c r="U227" i="5"/>
  <c r="Q227" i="5"/>
  <c r="Q234" i="5" s="1"/>
  <c r="G227" i="5"/>
  <c r="C227" i="5"/>
  <c r="AI226" i="5"/>
  <c r="AI233" i="5" s="1"/>
  <c r="AI236" i="5" s="1"/>
  <c r="AG226" i="5"/>
  <c r="AA226" i="5"/>
  <c r="AA233" i="5" s="1"/>
  <c r="AA236" i="5" s="1"/>
  <c r="S226" i="5"/>
  <c r="AQ212" i="5"/>
  <c r="AO212" i="5"/>
  <c r="AM212" i="5"/>
  <c r="AL212" i="5"/>
  <c r="AK212" i="5"/>
  <c r="AI212" i="5"/>
  <c r="AH212" i="5"/>
  <c r="AG212" i="5"/>
  <c r="AF212" i="5"/>
  <c r="AE212" i="5"/>
  <c r="AB212" i="5"/>
  <c r="Z212" i="5"/>
  <c r="Y212" i="5"/>
  <c r="P212" i="5"/>
  <c r="O212" i="5"/>
  <c r="L212" i="5"/>
  <c r="K212" i="5"/>
  <c r="H212" i="5"/>
  <c r="G212" i="5"/>
  <c r="F212" i="5"/>
  <c r="D212" i="5"/>
  <c r="C212" i="5"/>
  <c r="B212" i="5"/>
  <c r="A212" i="5"/>
  <c r="AR211" i="5"/>
  <c r="AQ211" i="5"/>
  <c r="AP211" i="5"/>
  <c r="AO211" i="5"/>
  <c r="AN211" i="5"/>
  <c r="AM211" i="5"/>
  <c r="AL211" i="5"/>
  <c r="AK211" i="5"/>
  <c r="AI211" i="5"/>
  <c r="AH211" i="5"/>
  <c r="AG211" i="5"/>
  <c r="AF211" i="5"/>
  <c r="AE211" i="5"/>
  <c r="AD211" i="5"/>
  <c r="AB211" i="5"/>
  <c r="Z211" i="5"/>
  <c r="Y211" i="5"/>
  <c r="P211" i="5"/>
  <c r="O211" i="5"/>
  <c r="L211" i="5"/>
  <c r="K211" i="5"/>
  <c r="H211" i="5"/>
  <c r="G211" i="5"/>
  <c r="F211" i="5"/>
  <c r="E211" i="5"/>
  <c r="D211" i="5"/>
  <c r="C211" i="5"/>
  <c r="B211" i="5"/>
  <c r="A211" i="5"/>
  <c r="AR210" i="5"/>
  <c r="AQ210" i="5"/>
  <c r="AQ213" i="5" s="1"/>
  <c r="AP210" i="5"/>
  <c r="AO210" i="5"/>
  <c r="AN210" i="5"/>
  <c r="AM210" i="5"/>
  <c r="AM213" i="5" s="1"/>
  <c r="AL210" i="5"/>
  <c r="AL213" i="5" s="1"/>
  <c r="AK210" i="5"/>
  <c r="AK213" i="5" s="1"/>
  <c r="AJ210" i="5"/>
  <c r="AI210" i="5"/>
  <c r="AH210" i="5"/>
  <c r="AH213" i="5" s="1"/>
  <c r="AG210" i="5"/>
  <c r="AF210" i="5"/>
  <c r="AF213" i="5" s="1"/>
  <c r="AE210" i="5"/>
  <c r="AD210" i="5"/>
  <c r="AC210" i="5"/>
  <c r="AB210" i="5"/>
  <c r="AB213" i="5" s="1"/>
  <c r="AA210" i="5"/>
  <c r="Z210" i="5"/>
  <c r="Z213" i="5" s="1"/>
  <c r="Y210" i="5"/>
  <c r="X210" i="5"/>
  <c r="W210" i="5"/>
  <c r="V210" i="5"/>
  <c r="U210" i="5"/>
  <c r="T210" i="5"/>
  <c r="S210" i="5"/>
  <c r="R210" i="5"/>
  <c r="Q210" i="5"/>
  <c r="P210" i="5"/>
  <c r="P213" i="5" s="1"/>
  <c r="O210" i="5"/>
  <c r="N210" i="5"/>
  <c r="M210" i="5"/>
  <c r="L210" i="5"/>
  <c r="L213" i="5" s="1"/>
  <c r="K210" i="5"/>
  <c r="K213" i="5" s="1"/>
  <c r="J210" i="5"/>
  <c r="I210" i="5"/>
  <c r="H210" i="5"/>
  <c r="H213" i="5" s="1"/>
  <c r="G210" i="5"/>
  <c r="G213" i="5" s="1"/>
  <c r="F210" i="5"/>
  <c r="F213" i="5" s="1"/>
  <c r="E210" i="5"/>
  <c r="D210" i="5"/>
  <c r="D213" i="5" s="1"/>
  <c r="C210" i="5"/>
  <c r="C213" i="5" s="1"/>
  <c r="B210" i="5"/>
  <c r="B213" i="5" s="1"/>
  <c r="A210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Q206" i="5"/>
  <c r="AO206" i="5"/>
  <c r="AM206" i="5"/>
  <c r="AL206" i="5"/>
  <c r="AK206" i="5"/>
  <c r="AI206" i="5"/>
  <c r="AH206" i="5"/>
  <c r="AG206" i="5"/>
  <c r="AF206" i="5"/>
  <c r="AE206" i="5"/>
  <c r="AB206" i="5"/>
  <c r="Z206" i="5"/>
  <c r="Y206" i="5"/>
  <c r="P206" i="5"/>
  <c r="O206" i="5"/>
  <c r="L206" i="5"/>
  <c r="K206" i="5"/>
  <c r="H206" i="5"/>
  <c r="G206" i="5"/>
  <c r="F206" i="5"/>
  <c r="D206" i="5"/>
  <c r="C206" i="5"/>
  <c r="B206" i="5"/>
  <c r="AR205" i="5"/>
  <c r="AP205" i="5"/>
  <c r="AP212" i="5" s="1"/>
  <c r="AN205" i="5"/>
  <c r="AJ205" i="5"/>
  <c r="AJ212" i="5" s="1"/>
  <c r="AC205" i="5"/>
  <c r="AA205" i="5"/>
  <c r="AA212" i="5" s="1"/>
  <c r="Q205" i="5"/>
  <c r="R205" i="5" s="1"/>
  <c r="M205" i="5"/>
  <c r="N205" i="5" s="1"/>
  <c r="N212" i="5" s="1"/>
  <c r="I205" i="5"/>
  <c r="J205" i="5" s="1"/>
  <c r="J212" i="5" s="1"/>
  <c r="E205" i="5"/>
  <c r="AJ204" i="5"/>
  <c r="AC204" i="5"/>
  <c r="AA204" i="5"/>
  <c r="Q204" i="5"/>
  <c r="M204" i="5"/>
  <c r="I204" i="5"/>
  <c r="D197" i="5"/>
  <c r="D195" i="5"/>
  <c r="D194" i="5"/>
  <c r="D193" i="5"/>
  <c r="D198" i="5" s="1"/>
  <c r="F192" i="5" s="1"/>
  <c r="BR189" i="5"/>
  <c r="BM189" i="5"/>
  <c r="BL189" i="5"/>
  <c r="BH189" i="5"/>
  <c r="BG189" i="5"/>
  <c r="AZ189" i="5"/>
  <c r="AY189" i="5"/>
  <c r="AW189" i="5"/>
  <c r="AV189" i="5"/>
  <c r="AU189" i="5"/>
  <c r="AE189" i="5"/>
  <c r="AC189" i="5"/>
  <c r="AB189" i="5"/>
  <c r="AA189" i="5"/>
  <c r="Z189" i="5"/>
  <c r="Y189" i="5"/>
  <c r="X189" i="5"/>
  <c r="W189" i="5"/>
  <c r="V189" i="5"/>
  <c r="U189" i="5"/>
  <c r="T189" i="5"/>
  <c r="S189" i="5"/>
  <c r="P189" i="5"/>
  <c r="O189" i="5"/>
  <c r="M189" i="5"/>
  <c r="F189" i="5"/>
  <c r="D189" i="5"/>
  <c r="C189" i="5"/>
  <c r="B189" i="5"/>
  <c r="A189" i="5"/>
  <c r="BR188" i="5"/>
  <c r="BQ188" i="5"/>
  <c r="BP188" i="5"/>
  <c r="BO188" i="5"/>
  <c r="BM188" i="5"/>
  <c r="BK188" i="5"/>
  <c r="BH188" i="5"/>
  <c r="BG188" i="5"/>
  <c r="AZ188" i="5"/>
  <c r="AY188" i="5"/>
  <c r="AW188" i="5"/>
  <c r="AV188" i="5"/>
  <c r="AU188" i="5"/>
  <c r="AL188" i="5"/>
  <c r="AI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S188" i="5"/>
  <c r="R188" i="5"/>
  <c r="P188" i="5"/>
  <c r="O188" i="5"/>
  <c r="M188" i="5"/>
  <c r="G188" i="5"/>
  <c r="F188" i="5"/>
  <c r="E188" i="5"/>
  <c r="D188" i="5"/>
  <c r="C188" i="5"/>
  <c r="B188" i="5"/>
  <c r="A188" i="5"/>
  <c r="BR187" i="5"/>
  <c r="BR190" i="5" s="1"/>
  <c r="BQ187" i="5"/>
  <c r="BP187" i="5"/>
  <c r="BO187" i="5"/>
  <c r="BN187" i="5"/>
  <c r="BM187" i="5"/>
  <c r="BM190" i="5" s="1"/>
  <c r="BL187" i="5"/>
  <c r="BK187" i="5"/>
  <c r="BJ187" i="5"/>
  <c r="BI187" i="5"/>
  <c r="BH187" i="5"/>
  <c r="BH190" i="5" s="1"/>
  <c r="BE187" i="5"/>
  <c r="BD187" i="5"/>
  <c r="BC187" i="5"/>
  <c r="BB187" i="5"/>
  <c r="BA187" i="5"/>
  <c r="AZ187" i="5"/>
  <c r="AZ190" i="5" s="1"/>
  <c r="AY187" i="5"/>
  <c r="AX187" i="5"/>
  <c r="AW187" i="5"/>
  <c r="AV187" i="5"/>
  <c r="AV190" i="5" s="1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C190" i="5" s="1"/>
  <c r="AB187" i="5"/>
  <c r="AB190" i="5" s="1"/>
  <c r="AA187" i="5"/>
  <c r="AA190" i="5" s="1"/>
  <c r="Z187" i="5"/>
  <c r="Z190" i="5" s="1"/>
  <c r="Y187" i="5"/>
  <c r="Y190" i="5" s="1"/>
  <c r="X187" i="5"/>
  <c r="X190" i="5" s="1"/>
  <c r="W187" i="5"/>
  <c r="W190" i="5" s="1"/>
  <c r="V187" i="5"/>
  <c r="V190" i="5" s="1"/>
  <c r="S187" i="5"/>
  <c r="R187" i="5"/>
  <c r="Q187" i="5"/>
  <c r="P187" i="5"/>
  <c r="P190" i="5" s="1"/>
  <c r="O187" i="5"/>
  <c r="N187" i="5"/>
  <c r="M187" i="5"/>
  <c r="M190" i="5" s="1"/>
  <c r="L187" i="5"/>
  <c r="K187" i="5"/>
  <c r="J187" i="5"/>
  <c r="I187" i="5"/>
  <c r="H187" i="5"/>
  <c r="G187" i="5"/>
  <c r="F187" i="5"/>
  <c r="F190" i="5" s="1"/>
  <c r="E187" i="5"/>
  <c r="D187" i="5"/>
  <c r="D190" i="5" s="1"/>
  <c r="C187" i="5"/>
  <c r="C190" i="5" s="1"/>
  <c r="B187" i="5"/>
  <c r="B190" i="5" s="1"/>
  <c r="A187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D186" i="5"/>
  <c r="BC186" i="5"/>
  <c r="BB186" i="5"/>
  <c r="BA186" i="5"/>
  <c r="AZ186" i="5"/>
  <c r="AY186" i="5"/>
  <c r="AX186" i="5"/>
  <c r="AW186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BR183" i="5"/>
  <c r="BM183" i="5"/>
  <c r="BH183" i="5"/>
  <c r="AZ183" i="5"/>
  <c r="AY183" i="5"/>
  <c r="AW183" i="5"/>
  <c r="AV183" i="5"/>
  <c r="AU183" i="5"/>
  <c r="AE183" i="5"/>
  <c r="AC183" i="5"/>
  <c r="AB183" i="5"/>
  <c r="AA183" i="5"/>
  <c r="Z183" i="5"/>
  <c r="Y183" i="5"/>
  <c r="X183" i="5"/>
  <c r="W183" i="5"/>
  <c r="V183" i="5"/>
  <c r="S183" i="5"/>
  <c r="P183" i="5"/>
  <c r="O183" i="5"/>
  <c r="M183" i="5"/>
  <c r="F183" i="5"/>
  <c r="D183" i="5"/>
  <c r="C183" i="5"/>
  <c r="B183" i="5"/>
  <c r="BN182" i="5"/>
  <c r="BI182" i="5"/>
  <c r="BA182" i="5"/>
  <c r="AX182" i="5"/>
  <c r="AX189" i="5" s="1"/>
  <c r="AF182" i="5"/>
  <c r="AD182" i="5"/>
  <c r="AD189" i="5" s="1"/>
  <c r="AD190" i="5" s="1"/>
  <c r="Q182" i="5"/>
  <c r="N182" i="5"/>
  <c r="N189" i="5" s="1"/>
  <c r="G182" i="5"/>
  <c r="E182" i="5"/>
  <c r="BN181" i="5"/>
  <c r="BL181" i="5"/>
  <c r="BL188" i="5" s="1"/>
  <c r="BI181" i="5"/>
  <c r="BA181" i="5"/>
  <c r="AX181" i="5"/>
  <c r="AM181" i="5"/>
  <c r="AJ181" i="5"/>
  <c r="AG181" i="5"/>
  <c r="T181" i="5"/>
  <c r="T188" i="5" s="1"/>
  <c r="Q181" i="5"/>
  <c r="N181" i="5"/>
  <c r="N188" i="5" s="1"/>
  <c r="N190" i="5" s="1"/>
  <c r="H181" i="5"/>
  <c r="BG180" i="5"/>
  <c r="BF180" i="5"/>
  <c r="U180" i="5"/>
  <c r="T180" i="5"/>
  <c r="D175" i="5"/>
  <c r="F169" i="5" s="1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AU166" i="5"/>
  <c r="AR166" i="5"/>
  <c r="AQ166" i="5"/>
  <c r="AP166" i="5"/>
  <c r="AO166" i="5"/>
  <c r="AN166" i="5"/>
  <c r="AM166" i="5"/>
  <c r="AL166" i="5"/>
  <c r="AK166" i="5"/>
  <c r="AI166" i="5"/>
  <c r="AH166" i="5"/>
  <c r="AG166" i="5"/>
  <c r="AD166" i="5"/>
  <c r="AC166" i="5"/>
  <c r="Z166" i="5"/>
  <c r="Y166" i="5"/>
  <c r="V166" i="5"/>
  <c r="U166" i="5"/>
  <c r="S166" i="5"/>
  <c r="Q166" i="5"/>
  <c r="P166" i="5"/>
  <c r="O166" i="5"/>
  <c r="L166" i="5"/>
  <c r="J166" i="5"/>
  <c r="I166" i="5"/>
  <c r="G166" i="5"/>
  <c r="F166" i="5"/>
  <c r="E166" i="5"/>
  <c r="D166" i="5"/>
  <c r="C166" i="5"/>
  <c r="B166" i="5"/>
  <c r="A166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J165" i="5"/>
  <c r="AH165" i="5"/>
  <c r="AF165" i="5"/>
  <c r="AE165" i="5"/>
  <c r="AD165" i="5"/>
  <c r="AA165" i="5"/>
  <c r="Z165" i="5"/>
  <c r="Y165" i="5"/>
  <c r="W165" i="5"/>
  <c r="V165" i="5"/>
  <c r="U165" i="5"/>
  <c r="S165" i="5"/>
  <c r="R165" i="5"/>
  <c r="Q165" i="5"/>
  <c r="P165" i="5"/>
  <c r="O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BU164" i="5"/>
  <c r="BU167" i="5" s="1"/>
  <c r="BT164" i="5"/>
  <c r="BT167" i="5" s="1"/>
  <c r="BS164" i="5"/>
  <c r="BS167" i="5" s="1"/>
  <c r="BR164" i="5"/>
  <c r="BR167" i="5" s="1"/>
  <c r="BQ164" i="5"/>
  <c r="BQ167" i="5" s="1"/>
  <c r="BP164" i="5"/>
  <c r="BP167" i="5" s="1"/>
  <c r="BO164" i="5"/>
  <c r="BO167" i="5" s="1"/>
  <c r="BN164" i="5"/>
  <c r="BN167" i="5" s="1"/>
  <c r="BM164" i="5"/>
  <c r="BM167" i="5" s="1"/>
  <c r="BL164" i="5"/>
  <c r="BL167" i="5" s="1"/>
  <c r="BK164" i="5"/>
  <c r="BK167" i="5" s="1"/>
  <c r="BJ164" i="5"/>
  <c r="BJ167" i="5" s="1"/>
  <c r="BI164" i="5"/>
  <c r="BI167" i="5" s="1"/>
  <c r="BH164" i="5"/>
  <c r="BH167" i="5" s="1"/>
  <c r="BG164" i="5"/>
  <c r="BG167" i="5" s="1"/>
  <c r="BF164" i="5"/>
  <c r="BF167" i="5" s="1"/>
  <c r="BE164" i="5"/>
  <c r="BE167" i="5" s="1"/>
  <c r="BD164" i="5"/>
  <c r="BD167" i="5" s="1"/>
  <c r="BC164" i="5"/>
  <c r="BC167" i="5" s="1"/>
  <c r="BB164" i="5"/>
  <c r="BB167" i="5" s="1"/>
  <c r="BA164" i="5"/>
  <c r="BA167" i="5" s="1"/>
  <c r="AZ164" i="5"/>
  <c r="AZ167" i="5" s="1"/>
  <c r="AY164" i="5"/>
  <c r="AY167" i="5" s="1"/>
  <c r="AX164" i="5"/>
  <c r="AX167" i="5" s="1"/>
  <c r="AW164" i="5"/>
  <c r="AW167" i="5" s="1"/>
  <c r="AV164" i="5"/>
  <c r="AV167" i="5" s="1"/>
  <c r="AU164" i="5"/>
  <c r="AU167" i="5" s="1"/>
  <c r="AT164" i="5"/>
  <c r="AS164" i="5"/>
  <c r="AR164" i="5"/>
  <c r="AR167" i="5" s="1"/>
  <c r="AQ164" i="5"/>
  <c r="AP164" i="5"/>
  <c r="AP167" i="5" s="1"/>
  <c r="AO164" i="5"/>
  <c r="AN164" i="5"/>
  <c r="AN167" i="5" s="1"/>
  <c r="AM164" i="5"/>
  <c r="AL164" i="5"/>
  <c r="AL167" i="5" s="1"/>
  <c r="AK164" i="5"/>
  <c r="AJ164" i="5"/>
  <c r="AI164" i="5"/>
  <c r="AH164" i="5"/>
  <c r="AH167" i="5" s="1"/>
  <c r="AG164" i="5"/>
  <c r="AF164" i="5"/>
  <c r="AE164" i="5"/>
  <c r="AD164" i="5"/>
  <c r="AD167" i="5" s="1"/>
  <c r="AC164" i="5"/>
  <c r="AB164" i="5"/>
  <c r="AA164" i="5"/>
  <c r="Z164" i="5"/>
  <c r="Z167" i="5" s="1"/>
  <c r="Y164" i="5"/>
  <c r="Y167" i="5" s="1"/>
  <c r="W164" i="5"/>
  <c r="V164" i="5"/>
  <c r="U164" i="5"/>
  <c r="U167" i="5" s="1"/>
  <c r="T164" i="5"/>
  <c r="S164" i="5"/>
  <c r="S167" i="5" s="1"/>
  <c r="R164" i="5"/>
  <c r="Q164" i="5"/>
  <c r="Q167" i="5" s="1"/>
  <c r="P164" i="5"/>
  <c r="O164" i="5"/>
  <c r="O167" i="5" s="1"/>
  <c r="N164" i="5"/>
  <c r="M164" i="5"/>
  <c r="L164" i="5"/>
  <c r="L167" i="5" s="1"/>
  <c r="K164" i="5"/>
  <c r="J164" i="5"/>
  <c r="J167" i="5" s="1"/>
  <c r="I164" i="5"/>
  <c r="I167" i="5" s="1"/>
  <c r="H164" i="5"/>
  <c r="G164" i="5"/>
  <c r="G167" i="5" s="1"/>
  <c r="F164" i="5"/>
  <c r="F167" i="5" s="1"/>
  <c r="E164" i="5"/>
  <c r="E167" i="5" s="1"/>
  <c r="D164" i="5"/>
  <c r="D167" i="5" s="1"/>
  <c r="C164" i="5"/>
  <c r="C167" i="5" s="1"/>
  <c r="B164" i="5"/>
  <c r="B167" i="5" s="1"/>
  <c r="A164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AU160" i="5"/>
  <c r="AR160" i="5"/>
  <c r="AQ160" i="5"/>
  <c r="AP160" i="5"/>
  <c r="AO160" i="5"/>
  <c r="AN160" i="5"/>
  <c r="AM160" i="5"/>
  <c r="AL160" i="5"/>
  <c r="AH160" i="5"/>
  <c r="AD160" i="5"/>
  <c r="Z160" i="5"/>
  <c r="Y160" i="5"/>
  <c r="V160" i="5"/>
  <c r="U160" i="5"/>
  <c r="S160" i="5"/>
  <c r="Q160" i="5"/>
  <c r="P160" i="5"/>
  <c r="O160" i="5"/>
  <c r="L160" i="5"/>
  <c r="J160" i="5"/>
  <c r="I160" i="5"/>
  <c r="G160" i="5"/>
  <c r="F160" i="5"/>
  <c r="E160" i="5"/>
  <c r="D160" i="5"/>
  <c r="C160" i="5"/>
  <c r="B160" i="5"/>
  <c r="AS159" i="5"/>
  <c r="AJ159" i="5"/>
  <c r="AE159" i="5"/>
  <c r="AA159" i="5"/>
  <c r="AB159" i="5" s="1"/>
  <c r="AB166" i="5" s="1"/>
  <c r="W159" i="5"/>
  <c r="T159" i="5"/>
  <c r="T166" i="5" s="1"/>
  <c r="R159" i="5"/>
  <c r="M159" i="5"/>
  <c r="N159" i="5" s="1"/>
  <c r="N166" i="5" s="1"/>
  <c r="K159" i="5"/>
  <c r="H159" i="5"/>
  <c r="AK158" i="5"/>
  <c r="AI158" i="5"/>
  <c r="AI165" i="5" s="1"/>
  <c r="AG158" i="5"/>
  <c r="AB158" i="5"/>
  <c r="X158" i="5"/>
  <c r="X165" i="5" s="1"/>
  <c r="T158" i="5"/>
  <c r="M158" i="5"/>
  <c r="X157" i="5"/>
  <c r="D151" i="5"/>
  <c r="D149" i="5"/>
  <c r="D148" i="5"/>
  <c r="D147" i="5"/>
  <c r="BG143" i="5"/>
  <c r="BB143" i="5"/>
  <c r="AY143" i="5"/>
  <c r="AX143" i="5"/>
  <c r="AW143" i="5"/>
  <c r="AV143" i="5"/>
  <c r="AU143" i="5"/>
  <c r="AS143" i="5"/>
  <c r="AR143" i="5"/>
  <c r="AQ143" i="5"/>
  <c r="AP143" i="5"/>
  <c r="AO143" i="5"/>
  <c r="AN143" i="5"/>
  <c r="AM143" i="5"/>
  <c r="AL143" i="5"/>
  <c r="AK143" i="5"/>
  <c r="AI143" i="5"/>
  <c r="AG143" i="5"/>
  <c r="AC143" i="5"/>
  <c r="AA143" i="5"/>
  <c r="Z143" i="5"/>
  <c r="Y143" i="5"/>
  <c r="X143" i="5"/>
  <c r="U143" i="5"/>
  <c r="S143" i="5"/>
  <c r="P143" i="5"/>
  <c r="C143" i="5"/>
  <c r="B143" i="5"/>
  <c r="A143" i="5"/>
  <c r="BL142" i="5"/>
  <c r="BK142" i="5"/>
  <c r="BG142" i="5"/>
  <c r="BC142" i="5"/>
  <c r="BB142" i="5"/>
  <c r="BA142" i="5"/>
  <c r="AY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I142" i="5"/>
  <c r="AG142" i="5"/>
  <c r="AF142" i="5"/>
  <c r="AE142" i="5"/>
  <c r="AD142" i="5"/>
  <c r="AC142" i="5"/>
  <c r="AB142" i="5"/>
  <c r="AA142" i="5"/>
  <c r="Z142" i="5"/>
  <c r="Y142" i="5"/>
  <c r="W142" i="5"/>
  <c r="V142" i="5"/>
  <c r="U142" i="5"/>
  <c r="S142" i="5"/>
  <c r="R142" i="5"/>
  <c r="Q142" i="5"/>
  <c r="P142" i="5"/>
  <c r="C142" i="5"/>
  <c r="B142" i="5"/>
  <c r="A142" i="5"/>
  <c r="BP141" i="5"/>
  <c r="BO141" i="5"/>
  <c r="BN141" i="5"/>
  <c r="BM141" i="5"/>
  <c r="BL141" i="5"/>
  <c r="BK141" i="5"/>
  <c r="BJ141" i="5"/>
  <c r="BI141" i="5"/>
  <c r="BH141" i="5"/>
  <c r="BG141" i="5"/>
  <c r="BG144" i="5" s="1"/>
  <c r="BF141" i="5"/>
  <c r="BE141" i="5"/>
  <c r="BD141" i="5"/>
  <c r="BC141" i="5"/>
  <c r="BB141" i="5"/>
  <c r="BB144" i="5" s="1"/>
  <c r="BA141" i="5"/>
  <c r="AZ141" i="5"/>
  <c r="AY141" i="5"/>
  <c r="AY144" i="5" s="1"/>
  <c r="AX141" i="5"/>
  <c r="AW141" i="5"/>
  <c r="AW144" i="5" s="1"/>
  <c r="AV141" i="5"/>
  <c r="AV144" i="5" s="1"/>
  <c r="AU141" i="5"/>
  <c r="AU144" i="5" s="1"/>
  <c r="AR141" i="5"/>
  <c r="AR144" i="5" s="1"/>
  <c r="AQ141" i="5"/>
  <c r="AP141" i="5"/>
  <c r="AP144" i="5" s="1"/>
  <c r="AO141" i="5"/>
  <c r="AN141" i="5"/>
  <c r="AN144" i="5" s="1"/>
  <c r="AM141" i="5"/>
  <c r="AL141" i="5"/>
  <c r="AL144" i="5" s="1"/>
  <c r="AJ141" i="5"/>
  <c r="AI141" i="5"/>
  <c r="AI144" i="5" s="1"/>
  <c r="AH141" i="5"/>
  <c r="AG141" i="5"/>
  <c r="AF141" i="5"/>
  <c r="AE141" i="5"/>
  <c r="AD141" i="5"/>
  <c r="AC141" i="5"/>
  <c r="AB141" i="5"/>
  <c r="AA141" i="5"/>
  <c r="Z141" i="5"/>
  <c r="Z144" i="5" s="1"/>
  <c r="Y141" i="5"/>
  <c r="X141" i="5"/>
  <c r="W141" i="5"/>
  <c r="V141" i="5"/>
  <c r="U141" i="5"/>
  <c r="T141" i="5"/>
  <c r="S141" i="5"/>
  <c r="Q141" i="5"/>
  <c r="P141" i="5"/>
  <c r="P144" i="5" s="1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C144" i="5" s="1"/>
  <c r="B141" i="5"/>
  <c r="B144" i="5" s="1"/>
  <c r="A141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BG137" i="5"/>
  <c r="BB137" i="5"/>
  <c r="AY137" i="5"/>
  <c r="AW137" i="5"/>
  <c r="AV137" i="5"/>
  <c r="AU137" i="5"/>
  <c r="AR137" i="5"/>
  <c r="AQ137" i="5"/>
  <c r="AP137" i="5"/>
  <c r="AO137" i="5"/>
  <c r="AN137" i="5"/>
  <c r="AM137" i="5"/>
  <c r="AL137" i="5"/>
  <c r="AI137" i="5"/>
  <c r="AG137" i="5"/>
  <c r="AC137" i="5"/>
  <c r="AA137" i="5"/>
  <c r="Z137" i="5"/>
  <c r="Y137" i="5"/>
  <c r="U137" i="5"/>
  <c r="S137" i="5"/>
  <c r="P137" i="5"/>
  <c r="C137" i="5"/>
  <c r="B137" i="5"/>
  <c r="BH136" i="5"/>
  <c r="BC136" i="5"/>
  <c r="AZ136" i="5"/>
  <c r="AT136" i="5"/>
  <c r="AT143" i="5" s="1"/>
  <c r="AJ136" i="5"/>
  <c r="AJ143" i="5" s="1"/>
  <c r="AH136" i="5"/>
  <c r="AH143" i="5" s="1"/>
  <c r="AD136" i="5"/>
  <c r="AB136" i="5"/>
  <c r="AB143" i="5" s="1"/>
  <c r="AB144" i="5" s="1"/>
  <c r="V136" i="5"/>
  <c r="T136" i="5"/>
  <c r="T143" i="5" s="1"/>
  <c r="Q136" i="5"/>
  <c r="R136" i="5" s="1"/>
  <c r="R143" i="5" s="1"/>
  <c r="D136" i="5"/>
  <c r="BM135" i="5"/>
  <c r="BN135" i="5" s="1"/>
  <c r="BH135" i="5"/>
  <c r="BD135" i="5"/>
  <c r="AZ135" i="5"/>
  <c r="AZ142" i="5" s="1"/>
  <c r="AX135" i="5"/>
  <c r="AJ135" i="5"/>
  <c r="AJ142" i="5" s="1"/>
  <c r="AH135" i="5"/>
  <c r="X135" i="5"/>
  <c r="X142" i="5" s="1"/>
  <c r="T135" i="5"/>
  <c r="D135" i="5"/>
  <c r="AT134" i="5"/>
  <c r="AT141" i="5" s="1"/>
  <c r="AT144" i="5" s="1"/>
  <c r="AS134" i="5"/>
  <c r="AS141" i="5" s="1"/>
  <c r="AS144" i="5" s="1"/>
  <c r="AK134" i="5"/>
  <c r="R134" i="5"/>
  <c r="I127" i="5"/>
  <c r="G125" i="5"/>
  <c r="G127" i="5" s="1"/>
  <c r="H129" i="5" s="1"/>
  <c r="I130" i="5" s="1"/>
  <c r="I120" i="5"/>
  <c r="G120" i="5"/>
  <c r="H121" i="5" s="1"/>
  <c r="I122" i="5" s="1"/>
  <c r="B115" i="5"/>
  <c r="G114" i="5"/>
  <c r="G115" i="5" s="1"/>
  <c r="K115" i="5" s="1"/>
  <c r="D110" i="5"/>
  <c r="D115" i="5" s="1"/>
  <c r="B107" i="5"/>
  <c r="I105" i="5"/>
  <c r="G105" i="5"/>
  <c r="D105" i="5"/>
  <c r="G104" i="5"/>
  <c r="D104" i="5"/>
  <c r="T103" i="5"/>
  <c r="U103" i="5" s="1"/>
  <c r="I103" i="5"/>
  <c r="G103" i="5"/>
  <c r="T102" i="5"/>
  <c r="U102" i="5" s="1"/>
  <c r="U104" i="5" s="1"/>
  <c r="U105" i="5" s="1"/>
  <c r="B100" i="5"/>
  <c r="D99" i="5"/>
  <c r="J98" i="5"/>
  <c r="I98" i="5"/>
  <c r="G98" i="5"/>
  <c r="J97" i="5"/>
  <c r="I97" i="5"/>
  <c r="G97" i="5"/>
  <c r="I96" i="5"/>
  <c r="D96" i="5"/>
  <c r="B94" i="5"/>
  <c r="R93" i="5"/>
  <c r="J93" i="5"/>
  <c r="D93" i="5"/>
  <c r="R92" i="5"/>
  <c r="I92" i="5"/>
  <c r="G92" i="5"/>
  <c r="R91" i="5"/>
  <c r="I91" i="5"/>
  <c r="G91" i="5"/>
  <c r="R90" i="5"/>
  <c r="I90" i="5"/>
  <c r="D90" i="5"/>
  <c r="G90" i="5" s="1"/>
  <c r="R89" i="5"/>
  <c r="I89" i="5"/>
  <c r="R88" i="5"/>
  <c r="L88" i="5"/>
  <c r="R87" i="5"/>
  <c r="M87" i="5"/>
  <c r="F87" i="5"/>
  <c r="D87" i="5"/>
  <c r="B87" i="5"/>
  <c r="R86" i="5"/>
  <c r="M86" i="5"/>
  <c r="M91" i="5" s="1"/>
  <c r="R85" i="5"/>
  <c r="M82" i="5"/>
  <c r="M80" i="5"/>
  <c r="M76" i="5"/>
  <c r="B76" i="5"/>
  <c r="G75" i="5"/>
  <c r="G74" i="5"/>
  <c r="N73" i="5"/>
  <c r="D73" i="5"/>
  <c r="M71" i="5"/>
  <c r="B71" i="5"/>
  <c r="G70" i="5"/>
  <c r="G69" i="5"/>
  <c r="N68" i="5"/>
  <c r="D68" i="5"/>
  <c r="M66" i="5"/>
  <c r="B66" i="5"/>
  <c r="G65" i="5"/>
  <c r="G64" i="5"/>
  <c r="N63" i="5"/>
  <c r="D63" i="5"/>
  <c r="M61" i="5"/>
  <c r="B61" i="5"/>
  <c r="G60" i="5"/>
  <c r="G59" i="5"/>
  <c r="N58" i="5"/>
  <c r="D58" i="5"/>
  <c r="G55" i="5"/>
  <c r="B55" i="5"/>
  <c r="M53" i="5"/>
  <c r="M55" i="5" s="1"/>
  <c r="N52" i="5" s="1"/>
  <c r="G53" i="5"/>
  <c r="D52" i="5"/>
  <c r="D49" i="5"/>
  <c r="C49" i="5"/>
  <c r="B49" i="5"/>
  <c r="D45" i="5" s="1"/>
  <c r="I48" i="5"/>
  <c r="H48" i="5"/>
  <c r="G48" i="5"/>
  <c r="I47" i="5"/>
  <c r="H47" i="5"/>
  <c r="G47" i="5"/>
  <c r="I46" i="5"/>
  <c r="H46" i="5"/>
  <c r="H49" i="5" s="1"/>
  <c r="G46" i="5"/>
  <c r="L45" i="5"/>
  <c r="G44" i="5"/>
  <c r="B44" i="5"/>
  <c r="D40" i="5" s="1"/>
  <c r="L40" i="5"/>
  <c r="I40" i="5"/>
  <c r="G38" i="5"/>
  <c r="B38" i="5"/>
  <c r="L36" i="5"/>
  <c r="L34" i="5"/>
  <c r="I34" i="5"/>
  <c r="D34" i="5"/>
  <c r="K33" i="5"/>
  <c r="J33" i="5"/>
  <c r="I33" i="5"/>
  <c r="H33" i="5"/>
  <c r="G33" i="5"/>
  <c r="E33" i="5"/>
  <c r="D33" i="5"/>
  <c r="C33" i="5"/>
  <c r="B33" i="5"/>
  <c r="J32" i="5"/>
  <c r="H32" i="5"/>
  <c r="D32" i="5"/>
  <c r="B32" i="5"/>
  <c r="J31" i="5"/>
  <c r="H31" i="5"/>
  <c r="D31" i="5"/>
  <c r="B31" i="5"/>
  <c r="L28" i="5"/>
  <c r="L33" i="5" s="1"/>
  <c r="F28" i="5"/>
  <c r="F33" i="5" s="1"/>
  <c r="K21" i="5"/>
  <c r="L21" i="5" s="1"/>
  <c r="H21" i="5"/>
  <c r="I21" i="5" s="1"/>
  <c r="K20" i="5"/>
  <c r="H20" i="5"/>
  <c r="C18" i="5"/>
  <c r="C9" i="5"/>
  <c r="C12" i="5" s="1"/>
  <c r="C8" i="5"/>
  <c r="E3" i="5" s="1"/>
  <c r="I5" i="5"/>
  <c r="C20" i="5" l="1"/>
  <c r="D18" i="5"/>
  <c r="D20" i="5" s="1"/>
  <c r="H22" i="5"/>
  <c r="I20" i="5"/>
  <c r="K22" i="5"/>
  <c r="L20" i="5"/>
  <c r="M33" i="5"/>
  <c r="R94" i="5"/>
  <c r="M81" i="5" s="1"/>
  <c r="I93" i="5"/>
  <c r="D94" i="5"/>
  <c r="D100" i="5"/>
  <c r="I99" i="5" s="1"/>
  <c r="J96" i="5"/>
  <c r="J99" i="5" s="1"/>
  <c r="G96" i="5"/>
  <c r="H100" i="5" s="1"/>
  <c r="I100" i="5"/>
  <c r="I104" i="5"/>
  <c r="J107" i="5" s="1"/>
  <c r="D107" i="5"/>
  <c r="H107" i="5"/>
  <c r="AK141" i="5"/>
  <c r="AK137" i="5"/>
  <c r="BH142" i="5"/>
  <c r="BI135" i="5"/>
  <c r="BJ135" i="5" s="1"/>
  <c r="V143" i="5"/>
  <c r="V144" i="5" s="1"/>
  <c r="W136" i="5"/>
  <c r="AJ144" i="5"/>
  <c r="BD136" i="5"/>
  <c r="BC143" i="5"/>
  <c r="X144" i="5"/>
  <c r="BC144" i="5"/>
  <c r="M165" i="5"/>
  <c r="N158" i="5"/>
  <c r="N160" i="5" s="1"/>
  <c r="T160" i="5"/>
  <c r="T165" i="5"/>
  <c r="AB165" i="5"/>
  <c r="AC158" i="5"/>
  <c r="AC165" i="5" s="1"/>
  <c r="AG165" i="5"/>
  <c r="AG160" i="5"/>
  <c r="AK165" i="5"/>
  <c r="AK160" i="5"/>
  <c r="K166" i="5"/>
  <c r="K160" i="5"/>
  <c r="X159" i="5"/>
  <c r="X166" i="5" s="1"/>
  <c r="W166" i="5"/>
  <c r="W160" i="5"/>
  <c r="AF159" i="5"/>
  <c r="AE166" i="5"/>
  <c r="AE160" i="5"/>
  <c r="AS166" i="5"/>
  <c r="AS160" i="5"/>
  <c r="AT159" i="5"/>
  <c r="K167" i="5"/>
  <c r="W167" i="5"/>
  <c r="AC167" i="5"/>
  <c r="AG167" i="5"/>
  <c r="AK167" i="5"/>
  <c r="AS167" i="5"/>
  <c r="AO167" i="5"/>
  <c r="U187" i="5"/>
  <c r="U190" i="5" s="1"/>
  <c r="U183" i="5"/>
  <c r="BG187" i="5"/>
  <c r="BG183" i="5"/>
  <c r="Q183" i="5"/>
  <c r="Q188" i="5"/>
  <c r="BA188" i="5"/>
  <c r="BB181" i="5"/>
  <c r="BI188" i="5"/>
  <c r="BI183" i="5"/>
  <c r="BJ181" i="5"/>
  <c r="E189" i="5"/>
  <c r="E183" i="5"/>
  <c r="Q189" i="5"/>
  <c r="R182" i="5"/>
  <c r="BJ182" i="5"/>
  <c r="BI189" i="5"/>
  <c r="BN189" i="5"/>
  <c r="BO182" i="5"/>
  <c r="E190" i="5"/>
  <c r="BL190" i="5"/>
  <c r="J204" i="5"/>
  <c r="I211" i="5"/>
  <c r="R204" i="5"/>
  <c r="S204" i="5" s="1"/>
  <c r="Q211" i="5"/>
  <c r="AA206" i="5"/>
  <c r="AA211" i="5"/>
  <c r="AC211" i="5"/>
  <c r="AC206" i="5"/>
  <c r="E212" i="5"/>
  <c r="E206" i="5"/>
  <c r="R212" i="5"/>
  <c r="S205" i="5"/>
  <c r="T205" i="5" s="1"/>
  <c r="AC212" i="5"/>
  <c r="AD205" i="5"/>
  <c r="E213" i="5"/>
  <c r="AP213" i="5"/>
  <c r="G234" i="5"/>
  <c r="H227" i="5"/>
  <c r="H234" i="5" s="1"/>
  <c r="AH229" i="5"/>
  <c r="AH234" i="5"/>
  <c r="AN235" i="5"/>
  <c r="AN229" i="5"/>
  <c r="AH236" i="5"/>
  <c r="C257" i="5"/>
  <c r="C252" i="5"/>
  <c r="D250" i="5"/>
  <c r="C258" i="5"/>
  <c r="D251" i="5"/>
  <c r="C259" i="5"/>
  <c r="L322" i="5"/>
  <c r="L377" i="5"/>
  <c r="L352" i="5"/>
  <c r="L355" i="5" s="1"/>
  <c r="L332" i="5"/>
  <c r="L316" i="5"/>
  <c r="L312" i="5"/>
  <c r="L303" i="5"/>
  <c r="D312" i="5"/>
  <c r="D316" i="5"/>
  <c r="H324" i="5"/>
  <c r="T324" i="5"/>
  <c r="T331" i="5"/>
  <c r="T334" i="5" s="1"/>
  <c r="D355" i="5"/>
  <c r="R380" i="5"/>
  <c r="D396" i="5"/>
  <c r="H396" i="5"/>
  <c r="I386" i="5"/>
  <c r="I396" i="5" s="1"/>
  <c r="N396" i="5"/>
  <c r="O386" i="5"/>
  <c r="P396" i="5"/>
  <c r="Q386" i="5"/>
  <c r="Q396" i="5" s="1"/>
  <c r="C397" i="5"/>
  <c r="C399" i="5" s="1"/>
  <c r="C389" i="5"/>
  <c r="D387" i="5"/>
  <c r="G449" i="5"/>
  <c r="G450" i="5" s="1"/>
  <c r="G407" i="5"/>
  <c r="D444" i="5"/>
  <c r="E444" i="5" s="1"/>
  <c r="C487" i="5"/>
  <c r="C514" i="5" s="1"/>
  <c r="C549" i="5" s="1"/>
  <c r="C506" i="5"/>
  <c r="E487" i="5"/>
  <c r="E514" i="5" s="1"/>
  <c r="E549" i="5" s="1"/>
  <c r="E506" i="5"/>
  <c r="G487" i="5"/>
  <c r="G514" i="5" s="1"/>
  <c r="G549" i="5" s="1"/>
  <c r="G506" i="5"/>
  <c r="C492" i="5"/>
  <c r="C515" i="5"/>
  <c r="C519" i="5"/>
  <c r="B503" i="5"/>
  <c r="C503" i="5"/>
  <c r="D503" i="5"/>
  <c r="E503" i="5"/>
  <c r="F503" i="5"/>
  <c r="G503" i="5"/>
  <c r="B511" i="5"/>
  <c r="C511" i="5"/>
  <c r="D511" i="5"/>
  <c r="F511" i="5"/>
  <c r="G511" i="5"/>
  <c r="B575" i="5"/>
  <c r="B576" i="5" s="1"/>
  <c r="B543" i="5"/>
  <c r="D546" i="5" s="1"/>
  <c r="E546" i="5" s="1"/>
  <c r="F575" i="5"/>
  <c r="F576" i="5" s="1"/>
  <c r="F543" i="5"/>
  <c r="D519" i="5"/>
  <c r="E519" i="5"/>
  <c r="F519" i="5"/>
  <c r="G519" i="5"/>
  <c r="D554" i="5"/>
  <c r="D584" i="5"/>
  <c r="D585" i="5" s="1"/>
  <c r="B599" i="5"/>
  <c r="B602" i="5" s="1"/>
  <c r="B595" i="5"/>
  <c r="D593" i="5"/>
  <c r="C600" i="5"/>
  <c r="J620" i="5"/>
  <c r="L620" i="5" s="1"/>
  <c r="G607" i="5" s="1"/>
  <c r="F643" i="5"/>
  <c r="G743" i="5"/>
  <c r="P747" i="5"/>
  <c r="Q747" i="5" s="1"/>
  <c r="N742" i="5" s="1"/>
  <c r="G757" i="5"/>
  <c r="G758" i="5" s="1"/>
  <c r="I802" i="5"/>
  <c r="F851" i="5"/>
  <c r="F852" i="5" s="1"/>
  <c r="F831" i="5"/>
  <c r="I843" i="5"/>
  <c r="L836" i="5" s="1"/>
  <c r="J870" i="5"/>
  <c r="J872" i="5"/>
  <c r="J875" i="5"/>
  <c r="J878" i="5"/>
  <c r="F899" i="5"/>
  <c r="G897" i="5" s="1"/>
  <c r="J399" i="5"/>
  <c r="P363" i="5"/>
  <c r="P366" i="5" s="1"/>
  <c r="F363" i="5"/>
  <c r="B366" i="5"/>
  <c r="R366" i="5"/>
  <c r="R355" i="5"/>
  <c r="P324" i="5"/>
  <c r="P312" i="5"/>
  <c r="P303" i="5"/>
  <c r="P316" i="5"/>
  <c r="P332" i="5"/>
  <c r="P334" i="5" s="1"/>
  <c r="P352" i="5"/>
  <c r="P355" i="5" s="1"/>
  <c r="P377" i="5"/>
  <c r="L334" i="5"/>
  <c r="L324" i="5"/>
  <c r="H303" i="5"/>
  <c r="H316" i="5"/>
  <c r="J301" i="5"/>
  <c r="J316" i="5" s="1"/>
  <c r="D366" i="5"/>
  <c r="I8" i="5"/>
  <c r="O5" i="5"/>
  <c r="I9" i="5"/>
  <c r="L32" i="5"/>
  <c r="H99" i="5"/>
  <c r="K107" i="5"/>
  <c r="G128" i="5"/>
  <c r="R141" i="5"/>
  <c r="R144" i="5" s="1"/>
  <c r="R137" i="5"/>
  <c r="D142" i="5"/>
  <c r="D137" i="5"/>
  <c r="E135" i="5"/>
  <c r="T142" i="5"/>
  <c r="T144" i="5" s="1"/>
  <c r="T137" i="5"/>
  <c r="AH142" i="5"/>
  <c r="AH144" i="5" s="1"/>
  <c r="AH137" i="5"/>
  <c r="AX142" i="5"/>
  <c r="AX144" i="5" s="1"/>
  <c r="AX137" i="5"/>
  <c r="BD142" i="5"/>
  <c r="BD137" i="5"/>
  <c r="BE135" i="5"/>
  <c r="BN142" i="5"/>
  <c r="D143" i="5"/>
  <c r="E136" i="5"/>
  <c r="AZ143" i="5"/>
  <c r="AZ144" i="5" s="1"/>
  <c r="BA136" i="5"/>
  <c r="AS137" i="5"/>
  <c r="BM142" i="5"/>
  <c r="Q143" i="5"/>
  <c r="Q144" i="5" s="1"/>
  <c r="X164" i="5"/>
  <c r="X167" i="5" s="1"/>
  <c r="X160" i="5"/>
  <c r="H166" i="5"/>
  <c r="H160" i="5"/>
  <c r="AJ166" i="5"/>
  <c r="AJ160" i="5"/>
  <c r="AT166" i="5"/>
  <c r="AT160" i="5"/>
  <c r="AC160" i="5"/>
  <c r="AB167" i="5"/>
  <c r="AJ167" i="5"/>
  <c r="AT167" i="5"/>
  <c r="N165" i="5"/>
  <c r="T187" i="5"/>
  <c r="T190" i="5" s="1"/>
  <c r="T183" i="5"/>
  <c r="BF187" i="5"/>
  <c r="H188" i="5"/>
  <c r="I181" i="5"/>
  <c r="BJ188" i="5"/>
  <c r="BJ183" i="5"/>
  <c r="BN188" i="5"/>
  <c r="BN190" i="5" s="1"/>
  <c r="BN183" i="5"/>
  <c r="H182" i="5"/>
  <c r="G183" i="5"/>
  <c r="BB182" i="5"/>
  <c r="BA189" i="5"/>
  <c r="BA190" i="5" s="1"/>
  <c r="BA183" i="5"/>
  <c r="T212" i="5"/>
  <c r="U205" i="5"/>
  <c r="M206" i="5"/>
  <c r="S212" i="5"/>
  <c r="Q235" i="5"/>
  <c r="Q236" i="5" s="1"/>
  <c r="R228" i="5"/>
  <c r="L31" i="5"/>
  <c r="G49" i="5"/>
  <c r="I49" i="5"/>
  <c r="D80" i="5"/>
  <c r="H94" i="5"/>
  <c r="H93" i="5"/>
  <c r="J108" i="5"/>
  <c r="H108" i="5"/>
  <c r="BJ142" i="5"/>
  <c r="BO135" i="5"/>
  <c r="AD143" i="5"/>
  <c r="AD144" i="5" s="1"/>
  <c r="AD137" i="5"/>
  <c r="AE136" i="5"/>
  <c r="BH143" i="5"/>
  <c r="BH144" i="5" s="1"/>
  <c r="BI136" i="5"/>
  <c r="Q137" i="5"/>
  <c r="BC137" i="5"/>
  <c r="S144" i="5"/>
  <c r="U144" i="5"/>
  <c r="Y144" i="5"/>
  <c r="AA144" i="5"/>
  <c r="AC144" i="5"/>
  <c r="AG144" i="5"/>
  <c r="AK144" i="5"/>
  <c r="AM144" i="5"/>
  <c r="AO144" i="5"/>
  <c r="AQ144" i="5"/>
  <c r="BI142" i="5"/>
  <c r="D152" i="5"/>
  <c r="F146" i="5" s="1"/>
  <c r="AB160" i="5"/>
  <c r="R166" i="5"/>
  <c r="R167" i="5" s="1"/>
  <c r="R160" i="5"/>
  <c r="AF166" i="5"/>
  <c r="AF167" i="5" s="1"/>
  <c r="AF160" i="5"/>
  <c r="M160" i="5"/>
  <c r="AA160" i="5"/>
  <c r="AI160" i="5"/>
  <c r="H167" i="5"/>
  <c r="N167" i="5"/>
  <c r="P167" i="5"/>
  <c r="T167" i="5"/>
  <c r="V167" i="5"/>
  <c r="AE167" i="5"/>
  <c r="AI167" i="5"/>
  <c r="AM167" i="5"/>
  <c r="AQ167" i="5"/>
  <c r="M166" i="5"/>
  <c r="M167" i="5" s="1"/>
  <c r="AA166" i="5"/>
  <c r="AA167" i="5" s="1"/>
  <c r="AH181" i="5"/>
  <c r="AG188" i="5"/>
  <c r="AN181" i="5"/>
  <c r="AM188" i="5"/>
  <c r="AX188" i="5"/>
  <c r="AX190" i="5" s="1"/>
  <c r="AX183" i="5"/>
  <c r="BB188" i="5"/>
  <c r="BB183" i="5"/>
  <c r="BC181" i="5"/>
  <c r="BP182" i="5"/>
  <c r="BO183" i="5"/>
  <c r="O190" i="5"/>
  <c r="Q190" i="5"/>
  <c r="S190" i="5"/>
  <c r="BG190" i="5"/>
  <c r="BI190" i="5"/>
  <c r="G189" i="5"/>
  <c r="G190" i="5" s="1"/>
  <c r="BO189" i="5"/>
  <c r="BO190" i="5" s="1"/>
  <c r="N204" i="5"/>
  <c r="M211" i="5"/>
  <c r="T204" i="5"/>
  <c r="S211" i="5"/>
  <c r="S206" i="5"/>
  <c r="O213" i="5"/>
  <c r="S213" i="5"/>
  <c r="Y213" i="5"/>
  <c r="AA213" i="5"/>
  <c r="AC213" i="5"/>
  <c r="AE213" i="5"/>
  <c r="AG213" i="5"/>
  <c r="AI213" i="5"/>
  <c r="AO213" i="5"/>
  <c r="M212" i="5"/>
  <c r="M213" i="5" s="1"/>
  <c r="B324" i="5"/>
  <c r="R324" i="5"/>
  <c r="J366" i="5"/>
  <c r="C449" i="5"/>
  <c r="C450" i="5" s="1"/>
  <c r="C407" i="5"/>
  <c r="E449" i="5"/>
  <c r="E450" i="5" s="1"/>
  <c r="E407" i="5"/>
  <c r="I449" i="5"/>
  <c r="I450" i="5" s="1"/>
  <c r="I407" i="5"/>
  <c r="K449" i="5"/>
  <c r="K450" i="5" s="1"/>
  <c r="K407" i="5"/>
  <c r="M449" i="5"/>
  <c r="M450" i="5" s="1"/>
  <c r="M407" i="5"/>
  <c r="H407" i="5"/>
  <c r="H449" i="5"/>
  <c r="H450" i="5" s="1"/>
  <c r="C563" i="5"/>
  <c r="C572" i="5" s="1"/>
  <c r="C581" i="5" s="1"/>
  <c r="C538" i="5"/>
  <c r="G563" i="5"/>
  <c r="G572" i="5" s="1"/>
  <c r="G581" i="5" s="1"/>
  <c r="G538" i="5"/>
  <c r="E566" i="5"/>
  <c r="E567" i="5" s="1"/>
  <c r="E532" i="5"/>
  <c r="C584" i="5"/>
  <c r="C585" i="5" s="1"/>
  <c r="C554" i="5"/>
  <c r="G584" i="5"/>
  <c r="G585" i="5" s="1"/>
  <c r="G554" i="5"/>
  <c r="N834" i="5"/>
  <c r="L839" i="5"/>
  <c r="AJ188" i="5"/>
  <c r="AK181" i="5"/>
  <c r="R189" i="5"/>
  <c r="R190" i="5" s="1"/>
  <c r="R183" i="5"/>
  <c r="AF189" i="5"/>
  <c r="AF190" i="5" s="1"/>
  <c r="AF183" i="5"/>
  <c r="AG182" i="5"/>
  <c r="AE190" i="5"/>
  <c r="AU190" i="5"/>
  <c r="AW190" i="5"/>
  <c r="AY190" i="5"/>
  <c r="J211" i="5"/>
  <c r="J213" i="5" s="1"/>
  <c r="J206" i="5"/>
  <c r="R211" i="5"/>
  <c r="R213" i="5" s="1"/>
  <c r="R206" i="5"/>
  <c r="AJ211" i="5"/>
  <c r="AJ213" i="5" s="1"/>
  <c r="AJ206" i="5"/>
  <c r="AD212" i="5"/>
  <c r="AD213" i="5" s="1"/>
  <c r="AD206" i="5"/>
  <c r="AN212" i="5"/>
  <c r="AN213" i="5" s="1"/>
  <c r="AN206" i="5"/>
  <c r="AR212" i="5"/>
  <c r="AR213" i="5" s="1"/>
  <c r="AR206" i="5"/>
  <c r="I206" i="5"/>
  <c r="Q206" i="5"/>
  <c r="I212" i="5"/>
  <c r="I213" i="5" s="1"/>
  <c r="Q212" i="5"/>
  <c r="Q213" i="5" s="1"/>
  <c r="S233" i="5"/>
  <c r="S236" i="5" s="1"/>
  <c r="S229" i="5"/>
  <c r="AG233" i="5"/>
  <c r="AG236" i="5" s="1"/>
  <c r="AG229" i="5"/>
  <c r="C234" i="5"/>
  <c r="C236" i="5" s="1"/>
  <c r="C229" i="5"/>
  <c r="U234" i="5"/>
  <c r="U236" i="5" s="1"/>
  <c r="U229" i="5"/>
  <c r="G235" i="5"/>
  <c r="G236" i="5" s="1"/>
  <c r="H228" i="5"/>
  <c r="H235" i="5" s="1"/>
  <c r="H229" i="5"/>
  <c r="B236" i="5"/>
  <c r="D236" i="5"/>
  <c r="F236" i="5"/>
  <c r="H236" i="5"/>
  <c r="J236" i="5"/>
  <c r="L236" i="5"/>
  <c r="N236" i="5"/>
  <c r="P236" i="5"/>
  <c r="AB236" i="5"/>
  <c r="AD236" i="5"/>
  <c r="AF236" i="5"/>
  <c r="AJ236" i="5"/>
  <c r="AL236" i="5"/>
  <c r="AN236" i="5"/>
  <c r="AP236" i="5"/>
  <c r="D257" i="5"/>
  <c r="D252" i="5"/>
  <c r="E250" i="5"/>
  <c r="D258" i="5"/>
  <c r="E251" i="5"/>
  <c r="F377" i="5"/>
  <c r="F352" i="5"/>
  <c r="F355" i="5" s="1"/>
  <c r="F332" i="5"/>
  <c r="F303" i="5"/>
  <c r="F322" i="5"/>
  <c r="F324" i="5" s="1"/>
  <c r="F312" i="5"/>
  <c r="J377" i="5"/>
  <c r="J380" i="5" s="1"/>
  <c r="J352" i="5"/>
  <c r="J355" i="5" s="1"/>
  <c r="J332" i="5"/>
  <c r="J334" i="5" s="1"/>
  <c r="J303" i="5"/>
  <c r="N377" i="5"/>
  <c r="N352" i="5"/>
  <c r="N355" i="5" s="1"/>
  <c r="N332" i="5"/>
  <c r="N303" i="5"/>
  <c r="N322" i="5"/>
  <c r="N324" i="5" s="1"/>
  <c r="N312" i="5"/>
  <c r="J312" i="5"/>
  <c r="R301" i="5"/>
  <c r="D303" i="5"/>
  <c r="J322" i="5"/>
  <c r="J324" i="5" s="1"/>
  <c r="F334" i="5"/>
  <c r="N334" i="5"/>
  <c r="F366" i="5"/>
  <c r="F380" i="5"/>
  <c r="K397" i="5"/>
  <c r="K399" i="5" s="1"/>
  <c r="L387" i="5"/>
  <c r="B399" i="5"/>
  <c r="B407" i="5"/>
  <c r="B449" i="5"/>
  <c r="B450" i="5" s="1"/>
  <c r="F407" i="5"/>
  <c r="F449" i="5"/>
  <c r="F450" i="5" s="1"/>
  <c r="J407" i="5"/>
  <c r="J449" i="5"/>
  <c r="J450" i="5" s="1"/>
  <c r="D407" i="5"/>
  <c r="D449" i="5"/>
  <c r="D450" i="5" s="1"/>
  <c r="L407" i="5"/>
  <c r="L449" i="5"/>
  <c r="L450" i="5" s="1"/>
  <c r="F497" i="5"/>
  <c r="E484" i="5"/>
  <c r="F478" i="5" s="1"/>
  <c r="D487" i="5"/>
  <c r="D514" i="5" s="1"/>
  <c r="D549" i="5" s="1"/>
  <c r="B519" i="5"/>
  <c r="F513" i="5" s="1"/>
  <c r="B492" i="5"/>
  <c r="F486" i="5" s="1"/>
  <c r="D563" i="5"/>
  <c r="D572" i="5" s="1"/>
  <c r="D581" i="5" s="1"/>
  <c r="D538" i="5"/>
  <c r="B532" i="5"/>
  <c r="B566" i="5"/>
  <c r="B567" i="5" s="1"/>
  <c r="F532" i="5"/>
  <c r="D534" i="5" s="1"/>
  <c r="E534" i="5" s="1"/>
  <c r="F522" i="5" s="1"/>
  <c r="F566" i="5"/>
  <c r="F567" i="5" s="1"/>
  <c r="E563" i="5"/>
  <c r="E572" i="5" s="1"/>
  <c r="E581" i="5" s="1"/>
  <c r="E538" i="5"/>
  <c r="G566" i="5"/>
  <c r="G567" i="5" s="1"/>
  <c r="G532" i="5"/>
  <c r="B538" i="5"/>
  <c r="F563" i="5"/>
  <c r="F572" i="5" s="1"/>
  <c r="F581" i="5" s="1"/>
  <c r="F31" i="5"/>
  <c r="D24" i="5" s="1"/>
  <c r="F32" i="5"/>
  <c r="I24" i="5" s="1"/>
  <c r="V137" i="5"/>
  <c r="X137" i="5"/>
  <c r="AB137" i="5"/>
  <c r="AJ137" i="5"/>
  <c r="AT137" i="5"/>
  <c r="AZ137" i="5"/>
  <c r="BH137" i="5"/>
  <c r="N183" i="5"/>
  <c r="AD183" i="5"/>
  <c r="BL183" i="5"/>
  <c r="AP206" i="5"/>
  <c r="G229" i="5"/>
  <c r="Q229" i="5"/>
  <c r="W229" i="5"/>
  <c r="AA229" i="5"/>
  <c r="AI229" i="5"/>
  <c r="B259" i="5"/>
  <c r="D259" i="5"/>
  <c r="U316" i="5"/>
  <c r="U312" i="5"/>
  <c r="H366" i="5"/>
  <c r="D380" i="5"/>
  <c r="H380" i="5"/>
  <c r="L380" i="5"/>
  <c r="P380" i="5"/>
  <c r="N378" i="5"/>
  <c r="N380" i="5" s="1"/>
  <c r="D420" i="5"/>
  <c r="E420" i="5" s="1"/>
  <c r="D442" i="5"/>
  <c r="E442" i="5" s="1"/>
  <c r="B487" i="5"/>
  <c r="B514" i="5" s="1"/>
  <c r="B549" i="5" s="1"/>
  <c r="F487" i="5"/>
  <c r="F514" i="5" s="1"/>
  <c r="F549" i="5" s="1"/>
  <c r="C543" i="5"/>
  <c r="C575" i="5"/>
  <c r="C576" i="5" s="1"/>
  <c r="G543" i="5"/>
  <c r="G575" i="5"/>
  <c r="G576" i="5" s="1"/>
  <c r="B554" i="5"/>
  <c r="B584" i="5"/>
  <c r="B585" i="5" s="1"/>
  <c r="F554" i="5"/>
  <c r="D557" i="5" s="1"/>
  <c r="E557" i="5" s="1"/>
  <c r="F584" i="5"/>
  <c r="F585" i="5" s="1"/>
  <c r="C532" i="5"/>
  <c r="D575" i="5"/>
  <c r="D576" i="5" s="1"/>
  <c r="D543" i="5"/>
  <c r="E554" i="5"/>
  <c r="D566" i="5"/>
  <c r="D567" i="5" s="1"/>
  <c r="E575" i="5"/>
  <c r="E576" i="5" s="1"/>
  <c r="K600" i="5"/>
  <c r="L593" i="5"/>
  <c r="J630" i="5"/>
  <c r="L630" i="5" s="1"/>
  <c r="G609" i="5" s="1"/>
  <c r="J880" i="5"/>
  <c r="E599" i="5"/>
  <c r="K595" i="5"/>
  <c r="D595" i="5"/>
  <c r="I595" i="5"/>
  <c r="C599" i="5"/>
  <c r="C602" i="5" s="1"/>
  <c r="K599" i="5"/>
  <c r="K602" i="5" s="1"/>
  <c r="D698" i="5"/>
  <c r="G694" i="5"/>
  <c r="H704" i="5"/>
  <c r="H703" i="5"/>
  <c r="D704" i="5"/>
  <c r="G707" i="5"/>
  <c r="H711" i="5" s="1"/>
  <c r="N813" i="5"/>
  <c r="L822" i="5"/>
  <c r="L817" i="5"/>
  <c r="E854" i="5"/>
  <c r="H599" i="5"/>
  <c r="J599" i="5"/>
  <c r="J602" i="5" s="1"/>
  <c r="J595" i="5"/>
  <c r="L599" i="5"/>
  <c r="L595" i="5"/>
  <c r="N599" i="5"/>
  <c r="I697" i="5"/>
  <c r="B745" i="5"/>
  <c r="B748" i="5"/>
  <c r="E811" i="5"/>
  <c r="F805" i="5" s="1"/>
  <c r="P862" i="5"/>
  <c r="P863" i="5" s="1"/>
  <c r="P864" i="5" s="1"/>
  <c r="D711" i="5"/>
  <c r="D684" i="5" s="1"/>
  <c r="H733" i="5"/>
  <c r="I734" i="5" s="1"/>
  <c r="I861" i="5"/>
  <c r="F889" i="5"/>
  <c r="G887" i="5" s="1"/>
  <c r="M893" i="5"/>
  <c r="N868" i="5" s="1"/>
  <c r="M907" i="5"/>
  <c r="I707" i="5"/>
  <c r="J711" i="5" s="1"/>
  <c r="E831" i="5"/>
  <c r="E833" i="5" s="1"/>
  <c r="F827" i="5" s="1"/>
  <c r="C284" i="4"/>
  <c r="C24" i="4"/>
  <c r="C17" i="4"/>
  <c r="C16" i="4"/>
  <c r="C33" i="2"/>
  <c r="D33" i="2"/>
  <c r="E33" i="2"/>
  <c r="G33" i="2"/>
  <c r="H33" i="2"/>
  <c r="I33" i="2"/>
  <c r="J33" i="2"/>
  <c r="K33" i="2"/>
  <c r="B33" i="2"/>
  <c r="C12" i="4"/>
  <c r="C15" i="4"/>
  <c r="C8" i="2"/>
  <c r="D578" i="5" l="1"/>
  <c r="E578" i="5" s="1"/>
  <c r="F162" i="5"/>
  <c r="I45" i="5"/>
  <c r="F155" i="5"/>
  <c r="L780" i="5"/>
  <c r="F771" i="5"/>
  <c r="D867" i="5" s="1"/>
  <c r="D600" i="5"/>
  <c r="D602" i="5" s="1"/>
  <c r="E593" i="5"/>
  <c r="F505" i="5"/>
  <c r="E387" i="5"/>
  <c r="D397" i="5"/>
  <c r="D399" i="5" s="1"/>
  <c r="D389" i="5"/>
  <c r="O396" i="5"/>
  <c r="P385" i="5"/>
  <c r="P395" i="5" s="1"/>
  <c r="BJ189" i="5"/>
  <c r="BJ190" i="5" s="1"/>
  <c r="BK182" i="5"/>
  <c r="BD143" i="5"/>
  <c r="BD144" i="5" s="1"/>
  <c r="BE136" i="5"/>
  <c r="W143" i="5"/>
  <c r="W144" i="5" s="1"/>
  <c r="W137" i="5"/>
  <c r="D370" i="5"/>
  <c r="E370" i="5" s="1"/>
  <c r="E327" i="5"/>
  <c r="G327" i="5" s="1"/>
  <c r="F348" i="5"/>
  <c r="F372" i="5"/>
  <c r="J898" i="5"/>
  <c r="R813" i="5"/>
  <c r="R817" i="5" s="1"/>
  <c r="R819" i="5" s="1"/>
  <c r="N816" i="5"/>
  <c r="P812" i="5"/>
  <c r="P813" i="5" s="1"/>
  <c r="P817" i="5" s="1"/>
  <c r="P819" i="5" s="1"/>
  <c r="K711" i="5"/>
  <c r="H698" i="5"/>
  <c r="H697" i="5"/>
  <c r="L600" i="5"/>
  <c r="M593" i="5"/>
  <c r="D587" i="5"/>
  <c r="E587" i="5" s="1"/>
  <c r="J712" i="5"/>
  <c r="D569" i="5"/>
  <c r="E569" i="5" s="1"/>
  <c r="E468" i="5"/>
  <c r="D452" i="5"/>
  <c r="E452" i="5" s="1"/>
  <c r="AG189" i="5"/>
  <c r="AG190" i="5" s="1"/>
  <c r="AH182" i="5"/>
  <c r="E318" i="5"/>
  <c r="V316" i="5" s="1"/>
  <c r="T211" i="5"/>
  <c r="T213" i="5" s="1"/>
  <c r="T206" i="5"/>
  <c r="U204" i="5"/>
  <c r="N211" i="5"/>
  <c r="N213" i="5" s="1"/>
  <c r="N206" i="5"/>
  <c r="BP189" i="5"/>
  <c r="BP190" i="5" s="1"/>
  <c r="BP183" i="5"/>
  <c r="BQ182" i="5"/>
  <c r="AG183" i="5"/>
  <c r="AH188" i="5"/>
  <c r="AH183" i="5"/>
  <c r="BI143" i="5"/>
  <c r="BI144" i="5" s="1"/>
  <c r="BI137" i="5"/>
  <c r="BJ136" i="5"/>
  <c r="AE143" i="5"/>
  <c r="AE144" i="5" s="1"/>
  <c r="AE137" i="5"/>
  <c r="AF136" i="5"/>
  <c r="L108" i="5"/>
  <c r="K108" i="5"/>
  <c r="K116" i="5" s="1"/>
  <c r="R235" i="5"/>
  <c r="R236" i="5" s="1"/>
  <c r="F231" i="5" s="1"/>
  <c r="R229" i="5"/>
  <c r="F224" i="5" s="1"/>
  <c r="I188" i="5"/>
  <c r="J181" i="5"/>
  <c r="E142" i="5"/>
  <c r="F135" i="5"/>
  <c r="E137" i="5"/>
  <c r="D144" i="5"/>
  <c r="I13" i="5"/>
  <c r="I16" i="5" s="1"/>
  <c r="I12" i="5"/>
  <c r="K3" i="5"/>
  <c r="D847" i="5"/>
  <c r="E847" i="5" s="1"/>
  <c r="D866" i="5"/>
  <c r="H712" i="5"/>
  <c r="L602" i="5"/>
  <c r="I849" i="5"/>
  <c r="D865" i="5" s="1"/>
  <c r="D535" i="5"/>
  <c r="E535" i="5" s="1"/>
  <c r="F523" i="5" s="1"/>
  <c r="F495" i="5"/>
  <c r="D409" i="5"/>
  <c r="E409" i="5" s="1"/>
  <c r="D411" i="5"/>
  <c r="E411" i="5" s="1"/>
  <c r="M387" i="5"/>
  <c r="L397" i="5"/>
  <c r="L399" i="5" s="1"/>
  <c r="R303" i="5"/>
  <c r="F296" i="5" s="1"/>
  <c r="R312" i="5"/>
  <c r="S312" i="5" s="1"/>
  <c r="E311" i="5" s="1"/>
  <c r="R316" i="5"/>
  <c r="S316" i="5" s="1"/>
  <c r="E258" i="5"/>
  <c r="F251" i="5"/>
  <c r="E257" i="5"/>
  <c r="E259" i="5" s="1"/>
  <c r="E252" i="5"/>
  <c r="F250" i="5"/>
  <c r="AK188" i="5"/>
  <c r="N837" i="5"/>
  <c r="R834" i="5"/>
  <c r="R835" i="5" s="1"/>
  <c r="R837" i="5" s="1"/>
  <c r="P833" i="5"/>
  <c r="P834" i="5"/>
  <c r="P835" i="5" s="1"/>
  <c r="P837" i="5" s="1"/>
  <c r="BC188" i="5"/>
  <c r="BD181" i="5"/>
  <c r="AN188" i="5"/>
  <c r="AO181" i="5"/>
  <c r="BP135" i="5"/>
  <c r="BO142" i="5"/>
  <c r="L389" i="5"/>
  <c r="V205" i="5"/>
  <c r="U212" i="5"/>
  <c r="BB189" i="5"/>
  <c r="BB190" i="5" s="1"/>
  <c r="BC182" i="5"/>
  <c r="H189" i="5"/>
  <c r="H190" i="5" s="1"/>
  <c r="I182" i="5"/>
  <c r="I183" i="5" s="1"/>
  <c r="H183" i="5"/>
  <c r="BA137" i="5"/>
  <c r="BA143" i="5"/>
  <c r="BA144" i="5" s="1"/>
  <c r="E143" i="5"/>
  <c r="F136" i="5"/>
  <c r="BE142" i="5"/>
  <c r="BF135" i="5"/>
  <c r="BE137" i="5"/>
  <c r="O9" i="5"/>
  <c r="O8" i="5"/>
  <c r="L34" i="2"/>
  <c r="G38" i="2"/>
  <c r="E43" i="4"/>
  <c r="E130" i="4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33" i="4"/>
  <c r="F61" i="4"/>
  <c r="F43" i="4"/>
  <c r="I97" i="2"/>
  <c r="I96" i="2"/>
  <c r="C282" i="4"/>
  <c r="C280" i="4"/>
  <c r="F280" i="4" s="1"/>
  <c r="E144" i="5" l="1"/>
  <c r="BF136" i="5"/>
  <c r="BF143" i="5" s="1"/>
  <c r="BE143" i="5"/>
  <c r="BE144" i="5" s="1"/>
  <c r="BK189" i="5"/>
  <c r="BK190" i="5" s="1"/>
  <c r="BK183" i="5"/>
  <c r="E397" i="5"/>
  <c r="E399" i="5" s="1"/>
  <c r="E389" i="5"/>
  <c r="F387" i="5"/>
  <c r="E600" i="5"/>
  <c r="E602" i="5" s="1"/>
  <c r="F593" i="5"/>
  <c r="E595" i="5"/>
  <c r="L783" i="5"/>
  <c r="N757" i="5"/>
  <c r="N787" i="5"/>
  <c r="O12" i="5"/>
  <c r="P12" i="5"/>
  <c r="P11" i="5"/>
  <c r="O13" i="5"/>
  <c r="O16" i="5" s="1"/>
  <c r="Q3" i="5" s="1"/>
  <c r="BF142" i="5"/>
  <c r="BF144" i="5" s="1"/>
  <c r="BF137" i="5"/>
  <c r="F143" i="5"/>
  <c r="G136" i="5"/>
  <c r="V212" i="5"/>
  <c r="W205" i="5"/>
  <c r="BP142" i="5"/>
  <c r="BD188" i="5"/>
  <c r="BE181" i="5"/>
  <c r="F257" i="5"/>
  <c r="F252" i="5"/>
  <c r="G250" i="5"/>
  <c r="BJ143" i="5"/>
  <c r="BJ144" i="5" s="1"/>
  <c r="BK136" i="5"/>
  <c r="BJ137" i="5"/>
  <c r="BQ189" i="5"/>
  <c r="BQ190" i="5" s="1"/>
  <c r="BQ183" i="5"/>
  <c r="E559" i="5"/>
  <c r="F524" i="5"/>
  <c r="N593" i="5"/>
  <c r="M600" i="5"/>
  <c r="M602" i="5" s="1"/>
  <c r="M595" i="5"/>
  <c r="P825" i="5"/>
  <c r="R825" i="5"/>
  <c r="D241" i="5"/>
  <c r="D239" i="5"/>
  <c r="D240" i="5"/>
  <c r="D243" i="5"/>
  <c r="J182" i="5"/>
  <c r="I189" i="5"/>
  <c r="I190" i="5" s="1"/>
  <c r="BD182" i="5"/>
  <c r="BC189" i="5"/>
  <c r="AP181" i="5"/>
  <c r="AO188" i="5"/>
  <c r="BC183" i="5"/>
  <c r="BC190" i="5"/>
  <c r="G251" i="5"/>
  <c r="F258" i="5"/>
  <c r="E315" i="5"/>
  <c r="M397" i="5"/>
  <c r="M399" i="5" s="1"/>
  <c r="N387" i="5"/>
  <c r="M389" i="5"/>
  <c r="E865" i="5"/>
  <c r="K712" i="5"/>
  <c r="K720" i="5" s="1"/>
  <c r="L712" i="5"/>
  <c r="F142" i="5"/>
  <c r="F144" i="5" s="1"/>
  <c r="F137" i="5"/>
  <c r="G135" i="5"/>
  <c r="J188" i="5"/>
  <c r="K181" i="5"/>
  <c r="AF143" i="5"/>
  <c r="AF144" i="5" s="1"/>
  <c r="AF137" i="5"/>
  <c r="V204" i="5"/>
  <c r="U206" i="5"/>
  <c r="U211" i="5"/>
  <c r="U213" i="5" s="1"/>
  <c r="AH189" i="5"/>
  <c r="AH190" i="5" s="1"/>
  <c r="AI182" i="5"/>
  <c r="E282" i="4"/>
  <c r="R787" i="5" l="1"/>
  <c r="R788" i="5" s="1"/>
  <c r="N790" i="5"/>
  <c r="P786" i="5"/>
  <c r="P787" i="5" s="1"/>
  <c r="P788" i="5" s="1"/>
  <c r="N760" i="5"/>
  <c r="R757" i="5"/>
  <c r="R758" i="5" s="1"/>
  <c r="P756" i="5"/>
  <c r="P757" i="5" s="1"/>
  <c r="P758" i="5" s="1"/>
  <c r="F600" i="5"/>
  <c r="F602" i="5" s="1"/>
  <c r="G593" i="5"/>
  <c r="F595" i="5"/>
  <c r="G387" i="5"/>
  <c r="F397" i="5"/>
  <c r="F399" i="5" s="1"/>
  <c r="F389" i="5"/>
  <c r="AJ182" i="5"/>
  <c r="AI189" i="5"/>
  <c r="AI190" i="5" s="1"/>
  <c r="AI183" i="5"/>
  <c r="V211" i="5"/>
  <c r="V213" i="5" s="1"/>
  <c r="V206" i="5"/>
  <c r="W204" i="5"/>
  <c r="L181" i="5"/>
  <c r="K188" i="5"/>
  <c r="BD189" i="5"/>
  <c r="BE182" i="5"/>
  <c r="J189" i="5"/>
  <c r="J190" i="5" s="1"/>
  <c r="K182" i="5"/>
  <c r="K183" i="5" s="1"/>
  <c r="D244" i="5"/>
  <c r="F238" i="5" s="1"/>
  <c r="N600" i="5"/>
  <c r="N602" i="5" s="1"/>
  <c r="O593" i="5"/>
  <c r="N595" i="5"/>
  <c r="BK137" i="5"/>
  <c r="BL136" i="5"/>
  <c r="BK143" i="5"/>
  <c r="BK144" i="5" s="1"/>
  <c r="G252" i="5"/>
  <c r="H250" i="5"/>
  <c r="G257" i="5"/>
  <c r="F259" i="5"/>
  <c r="BE183" i="5"/>
  <c r="BE188" i="5"/>
  <c r="BF181" i="5"/>
  <c r="BD190" i="5"/>
  <c r="X205" i="5"/>
  <c r="X212" i="5" s="1"/>
  <c r="W212" i="5"/>
  <c r="G143" i="5"/>
  <c r="H136" i="5"/>
  <c r="J183" i="5"/>
  <c r="G137" i="5"/>
  <c r="G142" i="5"/>
  <c r="G144" i="5" s="1"/>
  <c r="H135" i="5"/>
  <c r="N397" i="5"/>
  <c r="N399" i="5" s="1"/>
  <c r="O387" i="5"/>
  <c r="N389" i="5"/>
  <c r="G258" i="5"/>
  <c r="H251" i="5"/>
  <c r="AP188" i="5"/>
  <c r="AQ181" i="5"/>
  <c r="BD183" i="5"/>
  <c r="E284" i="4"/>
  <c r="F284" i="4" s="1"/>
  <c r="F282" i="4"/>
  <c r="G397" i="5" l="1"/>
  <c r="G399" i="5" s="1"/>
  <c r="G389" i="5"/>
  <c r="H387" i="5"/>
  <c r="H593" i="5"/>
  <c r="G600" i="5"/>
  <c r="G602" i="5" s="1"/>
  <c r="G595" i="5"/>
  <c r="AR181" i="5"/>
  <c r="AQ188" i="5"/>
  <c r="H258" i="5"/>
  <c r="I251" i="5"/>
  <c r="H257" i="5"/>
  <c r="H259" i="5" s="1"/>
  <c r="H252" i="5"/>
  <c r="I250" i="5"/>
  <c r="O600" i="5"/>
  <c r="O602" i="5" s="1"/>
  <c r="O595" i="5"/>
  <c r="P593" i="5"/>
  <c r="AJ189" i="5"/>
  <c r="AJ190" i="5" s="1"/>
  <c r="AK182" i="5"/>
  <c r="AJ183" i="5"/>
  <c r="O397" i="5"/>
  <c r="O399" i="5" s="1"/>
  <c r="P387" i="5"/>
  <c r="O389" i="5"/>
  <c r="H142" i="5"/>
  <c r="H137" i="5"/>
  <c r="I135" i="5"/>
  <c r="H143" i="5"/>
  <c r="I136" i="5"/>
  <c r="BF188" i="5"/>
  <c r="G259" i="5"/>
  <c r="BL143" i="5"/>
  <c r="BL144" i="5" s="1"/>
  <c r="BL137" i="5"/>
  <c r="BM136" i="5"/>
  <c r="L182" i="5"/>
  <c r="L189" i="5" s="1"/>
  <c r="K189" i="5"/>
  <c r="K190" i="5" s="1"/>
  <c r="BF182" i="5"/>
  <c r="BF189" i="5" s="1"/>
  <c r="BE189" i="5"/>
  <c r="BE190" i="5" s="1"/>
  <c r="L188" i="5"/>
  <c r="L190" i="5" s="1"/>
  <c r="L183" i="5"/>
  <c r="X204" i="5"/>
  <c r="W211" i="5"/>
  <c r="W213" i="5" s="1"/>
  <c r="W206" i="5"/>
  <c r="J98" i="2"/>
  <c r="J97" i="2"/>
  <c r="D99" i="2"/>
  <c r="I98" i="2" s="1"/>
  <c r="BF190" i="5" l="1"/>
  <c r="H600" i="5"/>
  <c r="H602" i="5" s="1"/>
  <c r="H595" i="5"/>
  <c r="I387" i="5"/>
  <c r="H397" i="5"/>
  <c r="H399" i="5" s="1"/>
  <c r="H389" i="5"/>
  <c r="BM143" i="5"/>
  <c r="BM144" i="5" s="1"/>
  <c r="BN136" i="5"/>
  <c r="BM137" i="5"/>
  <c r="AK189" i="5"/>
  <c r="AK190" i="5" s="1"/>
  <c r="AL182" i="5"/>
  <c r="AK183" i="5"/>
  <c r="I257" i="5"/>
  <c r="I252" i="5"/>
  <c r="J250" i="5"/>
  <c r="I258" i="5"/>
  <c r="J251" i="5"/>
  <c r="X211" i="5"/>
  <c r="X213" i="5" s="1"/>
  <c r="F208" i="5" s="1"/>
  <c r="X206" i="5"/>
  <c r="F201" i="5" s="1"/>
  <c r="BF183" i="5"/>
  <c r="I143" i="5"/>
  <c r="J136" i="5"/>
  <c r="I142" i="5"/>
  <c r="I144" i="5" s="1"/>
  <c r="J135" i="5"/>
  <c r="I137" i="5"/>
  <c r="H144" i="5"/>
  <c r="Q387" i="5"/>
  <c r="P397" i="5"/>
  <c r="P399" i="5" s="1"/>
  <c r="P389" i="5"/>
  <c r="P600" i="5"/>
  <c r="P602" i="5" s="1"/>
  <c r="P595" i="5"/>
  <c r="Q593" i="5"/>
  <c r="AR188" i="5"/>
  <c r="AS181" i="5"/>
  <c r="G276" i="2"/>
  <c r="E276" i="2"/>
  <c r="C276" i="2"/>
  <c r="G274" i="2"/>
  <c r="E274" i="2"/>
  <c r="C274" i="2"/>
  <c r="G272" i="2"/>
  <c r="E272" i="2"/>
  <c r="C272" i="2"/>
  <c r="G270" i="2"/>
  <c r="E270" i="2"/>
  <c r="C270" i="2"/>
  <c r="D151" i="2"/>
  <c r="D149" i="2"/>
  <c r="D148" i="2"/>
  <c r="D147" i="2"/>
  <c r="G55" i="2"/>
  <c r="E222" i="4"/>
  <c r="E272" i="4" s="1"/>
  <c r="E165" i="4"/>
  <c r="E119" i="4"/>
  <c r="E120" i="4" s="1"/>
  <c r="E204" i="4" s="1"/>
  <c r="F204" i="4" s="1"/>
  <c r="F92" i="4"/>
  <c r="F91" i="4"/>
  <c r="F88" i="4"/>
  <c r="F82" i="4"/>
  <c r="F76" i="4"/>
  <c r="E62" i="4"/>
  <c r="F60" i="4"/>
  <c r="F57" i="4"/>
  <c r="E44" i="4"/>
  <c r="E213" i="4" s="1"/>
  <c r="F213" i="4" s="1"/>
  <c r="F42" i="4"/>
  <c r="E35" i="4"/>
  <c r="E34" i="4"/>
  <c r="E36" i="4" s="1"/>
  <c r="F36" i="4" s="1"/>
  <c r="F33" i="4"/>
  <c r="F32" i="4"/>
  <c r="F27" i="4"/>
  <c r="F25" i="4"/>
  <c r="F24" i="4"/>
  <c r="F21" i="4"/>
  <c r="F20" i="4"/>
  <c r="F19" i="4"/>
  <c r="F18" i="4"/>
  <c r="F17" i="4"/>
  <c r="F16" i="4"/>
  <c r="F15" i="4"/>
  <c r="E13" i="4"/>
  <c r="F12" i="4"/>
  <c r="F11" i="4"/>
  <c r="I259" i="5" l="1"/>
  <c r="I397" i="5"/>
  <c r="I399" i="5" s="1"/>
  <c r="I389" i="5"/>
  <c r="S593" i="5"/>
  <c r="Q600" i="5"/>
  <c r="Q602" i="5" s="1"/>
  <c r="Q595" i="5"/>
  <c r="J142" i="5"/>
  <c r="J137" i="5"/>
  <c r="K135" i="5"/>
  <c r="J143" i="5"/>
  <c r="K136" i="5"/>
  <c r="K251" i="5"/>
  <c r="J258" i="5"/>
  <c r="J257" i="5"/>
  <c r="J252" i="5"/>
  <c r="K250" i="5"/>
  <c r="AL189" i="5"/>
  <c r="AL190" i="5" s="1"/>
  <c r="AL183" i="5"/>
  <c r="AM182" i="5"/>
  <c r="BN143" i="5"/>
  <c r="BN144" i="5" s="1"/>
  <c r="BO136" i="5"/>
  <c r="BN137" i="5"/>
  <c r="AT181" i="5"/>
  <c r="AS188" i="5"/>
  <c r="Q397" i="5"/>
  <c r="Q399" i="5" s="1"/>
  <c r="E393" i="5" s="1"/>
  <c r="Q389" i="5"/>
  <c r="E383" i="5" s="1"/>
  <c r="D220" i="5"/>
  <c r="D217" i="5"/>
  <c r="D218" i="5"/>
  <c r="D216" i="5"/>
  <c r="E66" i="4"/>
  <c r="E64" i="4"/>
  <c r="E65" i="4" s="1"/>
  <c r="E67" i="4"/>
  <c r="F35" i="4"/>
  <c r="E37" i="4"/>
  <c r="F37" i="4" s="1"/>
  <c r="E39" i="4"/>
  <c r="F39" i="4" s="1"/>
  <c r="E38" i="4"/>
  <c r="F38" i="4" s="1"/>
  <c r="E274" i="4"/>
  <c r="F274" i="4" s="1"/>
  <c r="F272" i="4"/>
  <c r="E225" i="4"/>
  <c r="F131" i="4"/>
  <c r="E121" i="4"/>
  <c r="F222" i="4"/>
  <c r="F120" i="4"/>
  <c r="F119" i="4"/>
  <c r="F62" i="4"/>
  <c r="F34" i="4"/>
  <c r="F44" i="4"/>
  <c r="E214" i="4"/>
  <c r="F214" i="4" s="1"/>
  <c r="E45" i="4"/>
  <c r="E46" i="4" s="1"/>
  <c r="E47" i="4" s="1"/>
  <c r="E53" i="4" s="1"/>
  <c r="F53" i="4" s="1"/>
  <c r="E203" i="4"/>
  <c r="F118" i="4"/>
  <c r="E166" i="4"/>
  <c r="E167" i="4" s="1"/>
  <c r="F165" i="4"/>
  <c r="E212" i="4"/>
  <c r="E255" i="4" s="1"/>
  <c r="F130" i="4"/>
  <c r="E14" i="4"/>
  <c r="F14" i="4" s="1"/>
  <c r="F13" i="4"/>
  <c r="F94" i="4"/>
  <c r="E103" i="4" s="1"/>
  <c r="E63" i="4"/>
  <c r="G74" i="2"/>
  <c r="AT188" i="5" l="1"/>
  <c r="BP136" i="5"/>
  <c r="BO143" i="5"/>
  <c r="BO144" i="5" s="1"/>
  <c r="BO137" i="5"/>
  <c r="AN182" i="5"/>
  <c r="AM189" i="5"/>
  <c r="AM190" i="5" s="1"/>
  <c r="AM183" i="5"/>
  <c r="D221" i="5"/>
  <c r="F215" i="5" s="1"/>
  <c r="K252" i="5"/>
  <c r="L250" i="5"/>
  <c r="K257" i="5"/>
  <c r="J259" i="5"/>
  <c r="K258" i="5"/>
  <c r="L251" i="5"/>
  <c r="K143" i="5"/>
  <c r="L136" i="5"/>
  <c r="K137" i="5"/>
  <c r="K142" i="5"/>
  <c r="L135" i="5"/>
  <c r="J144" i="5"/>
  <c r="S600" i="5"/>
  <c r="S602" i="5" s="1"/>
  <c r="S595" i="5"/>
  <c r="T593" i="5"/>
  <c r="E49" i="4"/>
  <c r="F47" i="4"/>
  <c r="F64" i="4"/>
  <c r="F65" i="4"/>
  <c r="F134" i="4"/>
  <c r="F203" i="4"/>
  <c r="E249" i="4"/>
  <c r="F249" i="4" s="1"/>
  <c r="E257" i="4"/>
  <c r="F255" i="4"/>
  <c r="E228" i="4"/>
  <c r="F225" i="4"/>
  <c r="F121" i="4"/>
  <c r="E205" i="4"/>
  <c r="F205" i="4" s="1"/>
  <c r="F167" i="4"/>
  <c r="E168" i="4"/>
  <c r="E122" i="4"/>
  <c r="F132" i="4"/>
  <c r="E215" i="4"/>
  <c r="F215" i="4" s="1"/>
  <c r="F45" i="4"/>
  <c r="E48" i="4"/>
  <c r="F46" i="4"/>
  <c r="F63" i="4"/>
  <c r="F28" i="4"/>
  <c r="E99" i="4" s="1"/>
  <c r="F212" i="4"/>
  <c r="F166" i="4"/>
  <c r="E221" i="4"/>
  <c r="T600" i="5" l="1"/>
  <c r="T602" i="5" s="1"/>
  <c r="T595" i="5"/>
  <c r="U593" i="5"/>
  <c r="L142" i="5"/>
  <c r="L137" i="5"/>
  <c r="M135" i="5"/>
  <c r="K259" i="5"/>
  <c r="BP143" i="5"/>
  <c r="BP144" i="5" s="1"/>
  <c r="BP137" i="5"/>
  <c r="K144" i="5"/>
  <c r="L143" i="5"/>
  <c r="M136" i="5"/>
  <c r="L258" i="5"/>
  <c r="M251" i="5"/>
  <c r="L257" i="5"/>
  <c r="L259" i="5" s="1"/>
  <c r="L252" i="5"/>
  <c r="M250" i="5"/>
  <c r="AN189" i="5"/>
  <c r="AN190" i="5" s="1"/>
  <c r="AO182" i="5"/>
  <c r="AN183" i="5"/>
  <c r="F49" i="4"/>
  <c r="E52" i="4"/>
  <c r="F52" i="4" s="1"/>
  <c r="E51" i="4"/>
  <c r="F51" i="4" s="1"/>
  <c r="E50" i="4"/>
  <c r="F50" i="4" s="1"/>
  <c r="F66" i="4"/>
  <c r="F67" i="4"/>
  <c r="E224" i="4"/>
  <c r="F224" i="4" s="1"/>
  <c r="E264" i="4"/>
  <c r="E259" i="4"/>
  <c r="F259" i="4" s="1"/>
  <c r="F257" i="4"/>
  <c r="E227" i="4"/>
  <c r="E230" i="4" s="1"/>
  <c r="F230" i="4" s="1"/>
  <c r="E231" i="4"/>
  <c r="F231" i="4" s="1"/>
  <c r="F228" i="4"/>
  <c r="E169" i="4"/>
  <c r="F168" i="4"/>
  <c r="E123" i="4"/>
  <c r="E206" i="4"/>
  <c r="F206" i="4" s="1"/>
  <c r="F122" i="4"/>
  <c r="F135" i="4"/>
  <c r="F221" i="4"/>
  <c r="E54" i="4"/>
  <c r="F138" i="4" s="1"/>
  <c r="F48" i="4"/>
  <c r="F133" i="4"/>
  <c r="M257" i="5" l="1"/>
  <c r="M252" i="5"/>
  <c r="N250" i="5"/>
  <c r="M142" i="5"/>
  <c r="N135" i="5"/>
  <c r="M137" i="5"/>
  <c r="L144" i="5"/>
  <c r="AO189" i="5"/>
  <c r="AO190" i="5" s="1"/>
  <c r="AP182" i="5"/>
  <c r="AO183" i="5"/>
  <c r="M258" i="5"/>
  <c r="N251" i="5"/>
  <c r="M143" i="5"/>
  <c r="N136" i="5"/>
  <c r="U600" i="5"/>
  <c r="U602" i="5" s="1"/>
  <c r="U595" i="5"/>
  <c r="V593" i="5"/>
  <c r="F227" i="4"/>
  <c r="E266" i="4"/>
  <c r="F264" i="4"/>
  <c r="F238" i="4"/>
  <c r="E298" i="4" s="1"/>
  <c r="E124" i="4"/>
  <c r="F123" i="4"/>
  <c r="F169" i="4"/>
  <c r="E170" i="4"/>
  <c r="F136" i="4"/>
  <c r="F137" i="4"/>
  <c r="E55" i="4"/>
  <c r="F54" i="4"/>
  <c r="AP189" i="5" l="1"/>
  <c r="AP190" i="5" s="1"/>
  <c r="AQ182" i="5"/>
  <c r="AP183" i="5"/>
  <c r="N142" i="5"/>
  <c r="N137" i="5"/>
  <c r="O135" i="5"/>
  <c r="W593" i="5"/>
  <c r="V600" i="5"/>
  <c r="V602" i="5" s="1"/>
  <c r="V595" i="5"/>
  <c r="N143" i="5"/>
  <c r="O136" i="5"/>
  <c r="O143" i="5" s="1"/>
  <c r="O251" i="5"/>
  <c r="N258" i="5"/>
  <c r="M144" i="5"/>
  <c r="N257" i="5"/>
  <c r="N259" i="5" s="1"/>
  <c r="N252" i="5"/>
  <c r="O250" i="5"/>
  <c r="M259" i="5"/>
  <c r="F124" i="4"/>
  <c r="E125" i="4"/>
  <c r="F125" i="4" s="1"/>
  <c r="F266" i="4"/>
  <c r="E268" i="4"/>
  <c r="E171" i="4"/>
  <c r="F170" i="4"/>
  <c r="F55" i="4"/>
  <c r="F71" i="4" s="1"/>
  <c r="E101" i="4" s="1"/>
  <c r="F109" i="4" s="1"/>
  <c r="E294" i="4" s="1"/>
  <c r="F139" i="4"/>
  <c r="O257" i="5" l="1"/>
  <c r="O252" i="5"/>
  <c r="P250" i="5"/>
  <c r="W600" i="5"/>
  <c r="W602" i="5" s="1"/>
  <c r="W595" i="5"/>
  <c r="X593" i="5"/>
  <c r="O258" i="5"/>
  <c r="P251" i="5"/>
  <c r="P258" i="5" s="1"/>
  <c r="O137" i="5"/>
  <c r="F132" i="5" s="1"/>
  <c r="O142" i="5"/>
  <c r="O144" i="5" s="1"/>
  <c r="N144" i="5"/>
  <c r="AR182" i="5"/>
  <c r="AQ189" i="5"/>
  <c r="AQ190" i="5" s="1"/>
  <c r="AQ183" i="5"/>
  <c r="F171" i="4"/>
  <c r="E172" i="4"/>
  <c r="F172" i="4" s="1"/>
  <c r="F175" i="4" s="1"/>
  <c r="E182" i="4" s="1"/>
  <c r="F268" i="4"/>
  <c r="E270" i="4"/>
  <c r="F270" i="4" s="1"/>
  <c r="F290" i="4" s="1"/>
  <c r="E300" i="4" s="1"/>
  <c r="F140" i="4"/>
  <c r="F139" i="5" l="1"/>
  <c r="O259" i="5"/>
  <c r="AR189" i="5"/>
  <c r="AR190" i="5" s="1"/>
  <c r="AS182" i="5"/>
  <c r="AR183" i="5"/>
  <c r="G148" i="5"/>
  <c r="G149" i="5"/>
  <c r="G151" i="5"/>
  <c r="G147" i="5"/>
  <c r="P252" i="5"/>
  <c r="F247" i="5" s="1"/>
  <c r="P257" i="5"/>
  <c r="P259" i="5" s="1"/>
  <c r="F254" i="5" s="1"/>
  <c r="X600" i="5"/>
  <c r="X602" i="5" s="1"/>
  <c r="X595" i="5"/>
  <c r="Y593" i="5"/>
  <c r="F141" i="4"/>
  <c r="Y600" i="5" l="1"/>
  <c r="Y602" i="5" s="1"/>
  <c r="Y595" i="5"/>
  <c r="Z593" i="5"/>
  <c r="D266" i="5"/>
  <c r="D262" i="5"/>
  <c r="D264" i="5"/>
  <c r="AS189" i="5"/>
  <c r="AS190" i="5" s="1"/>
  <c r="AT182" i="5"/>
  <c r="AS183" i="5"/>
  <c r="F142" i="4"/>
  <c r="D267" i="5" l="1"/>
  <c r="F261" i="5" s="1"/>
  <c r="AA593" i="5"/>
  <c r="Z600" i="5"/>
  <c r="Z602" i="5" s="1"/>
  <c r="Z595" i="5"/>
  <c r="AT189" i="5"/>
  <c r="AT190" i="5" s="1"/>
  <c r="F185" i="5" s="1"/>
  <c r="AT183" i="5"/>
  <c r="F178" i="5" s="1"/>
  <c r="F143" i="4"/>
  <c r="AA600" i="5" l="1"/>
  <c r="AA602" i="5" s="1"/>
  <c r="AA595" i="5"/>
  <c r="AB593" i="5"/>
  <c r="F144" i="4"/>
  <c r="AB600" i="5" l="1"/>
  <c r="AB602" i="5" s="1"/>
  <c r="AB595" i="5"/>
  <c r="AC593" i="5"/>
  <c r="F145" i="4"/>
  <c r="AC600" i="5" l="1"/>
  <c r="AC602" i="5" s="1"/>
  <c r="AC595" i="5"/>
  <c r="AD593" i="5"/>
  <c r="F146" i="4"/>
  <c r="AE593" i="5" l="1"/>
  <c r="AD600" i="5"/>
  <c r="AD602" i="5" s="1"/>
  <c r="AD595" i="5"/>
  <c r="F147" i="4"/>
  <c r="AE600" i="5" l="1"/>
  <c r="AE602" i="5" s="1"/>
  <c r="AE595" i="5"/>
  <c r="AF593" i="5"/>
  <c r="F148" i="4"/>
  <c r="AF600" i="5" l="1"/>
  <c r="AF602" i="5" s="1"/>
  <c r="AF595" i="5"/>
  <c r="AG593" i="5"/>
  <c r="F149" i="4"/>
  <c r="C250" i="2"/>
  <c r="D250" i="2" s="1"/>
  <c r="E250" i="2" s="1"/>
  <c r="C251" i="2"/>
  <c r="D251" i="2" s="1"/>
  <c r="B258" i="2"/>
  <c r="A258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B259" i="2" s="1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B252" i="2"/>
  <c r="BL163" i="2"/>
  <c r="BM163" i="2"/>
  <c r="BN163" i="2"/>
  <c r="BO163" i="2"/>
  <c r="BP163" i="2"/>
  <c r="BQ163" i="2"/>
  <c r="BR163" i="2"/>
  <c r="BS163" i="2"/>
  <c r="BT163" i="2"/>
  <c r="BU163" i="2"/>
  <c r="BL164" i="2"/>
  <c r="BM164" i="2"/>
  <c r="BN164" i="2"/>
  <c r="BO164" i="2"/>
  <c r="BP164" i="2"/>
  <c r="BQ164" i="2"/>
  <c r="BR164" i="2"/>
  <c r="BS164" i="2"/>
  <c r="BT164" i="2"/>
  <c r="BU164" i="2"/>
  <c r="BL165" i="2"/>
  <c r="BM165" i="2"/>
  <c r="BN165" i="2"/>
  <c r="BO165" i="2"/>
  <c r="BP165" i="2"/>
  <c r="BQ165" i="2"/>
  <c r="BR165" i="2"/>
  <c r="BS165" i="2"/>
  <c r="BT165" i="2"/>
  <c r="BU165" i="2"/>
  <c r="BL166" i="2"/>
  <c r="BM166" i="2"/>
  <c r="BN166" i="2"/>
  <c r="BO166" i="2"/>
  <c r="BP166" i="2"/>
  <c r="BQ166" i="2"/>
  <c r="BR166" i="2"/>
  <c r="BS166" i="2"/>
  <c r="BT166" i="2"/>
  <c r="BU166" i="2"/>
  <c r="BL160" i="2"/>
  <c r="BM160" i="2"/>
  <c r="BN160" i="2"/>
  <c r="BO160" i="2"/>
  <c r="BP160" i="2"/>
  <c r="BQ160" i="2"/>
  <c r="BR160" i="2"/>
  <c r="BS160" i="2"/>
  <c r="BT160" i="2"/>
  <c r="BU160" i="2"/>
  <c r="BK166" i="2"/>
  <c r="BJ166" i="2"/>
  <c r="BI166" i="2"/>
  <c r="BH166" i="2"/>
  <c r="BG166" i="2"/>
  <c r="BF166" i="2"/>
  <c r="BE166" i="2"/>
  <c r="BD166" i="2"/>
  <c r="BC166" i="2"/>
  <c r="BB166" i="2"/>
  <c r="BK165" i="2"/>
  <c r="BJ165" i="2"/>
  <c r="BI165" i="2"/>
  <c r="BH165" i="2"/>
  <c r="BG165" i="2"/>
  <c r="BF165" i="2"/>
  <c r="BE165" i="2"/>
  <c r="BD165" i="2"/>
  <c r="BC165" i="2"/>
  <c r="BB165" i="2"/>
  <c r="BK164" i="2"/>
  <c r="BK167" i="2" s="1"/>
  <c r="BJ164" i="2"/>
  <c r="BI164" i="2"/>
  <c r="BH164" i="2"/>
  <c r="BG164" i="2"/>
  <c r="BF164" i="2"/>
  <c r="BE164" i="2"/>
  <c r="BD164" i="2"/>
  <c r="BC164" i="2"/>
  <c r="BC167" i="2" s="1"/>
  <c r="BB164" i="2"/>
  <c r="BK163" i="2"/>
  <c r="BJ163" i="2"/>
  <c r="BI163" i="2"/>
  <c r="BH163" i="2"/>
  <c r="BG163" i="2"/>
  <c r="BF163" i="2"/>
  <c r="BE163" i="2"/>
  <c r="BD163" i="2"/>
  <c r="BC163" i="2"/>
  <c r="BB163" i="2"/>
  <c r="BK160" i="2"/>
  <c r="BJ160" i="2"/>
  <c r="BI160" i="2"/>
  <c r="BH160" i="2"/>
  <c r="BG160" i="2"/>
  <c r="BF160" i="2"/>
  <c r="BE160" i="2"/>
  <c r="BD160" i="2"/>
  <c r="BC160" i="2"/>
  <c r="BB160" i="2"/>
  <c r="AI226" i="2"/>
  <c r="AI229" i="2" s="1"/>
  <c r="AH228" i="2"/>
  <c r="AH235" i="2" s="1"/>
  <c r="AH227" i="2"/>
  <c r="AH234" i="2" s="1"/>
  <c r="AG226" i="2"/>
  <c r="AA226" i="2"/>
  <c r="S226" i="2"/>
  <c r="S233" i="2" s="1"/>
  <c r="G228" i="2"/>
  <c r="G227" i="2"/>
  <c r="H227" i="2" s="1"/>
  <c r="H234" i="2" s="1"/>
  <c r="C228" i="2"/>
  <c r="C227" i="2"/>
  <c r="AO235" i="2"/>
  <c r="AM235" i="2"/>
  <c r="AL235" i="2"/>
  <c r="AK235" i="2"/>
  <c r="AJ235" i="2"/>
  <c r="AI235" i="2"/>
  <c r="AG235" i="2"/>
  <c r="AF235" i="2"/>
  <c r="AE235" i="2"/>
  <c r="AB235" i="2"/>
  <c r="Z235" i="2"/>
  <c r="Y235" i="2"/>
  <c r="P235" i="2"/>
  <c r="O235" i="2"/>
  <c r="L235" i="2"/>
  <c r="K235" i="2"/>
  <c r="F235" i="2"/>
  <c r="D235" i="2"/>
  <c r="C235" i="2"/>
  <c r="B235" i="2"/>
  <c r="A235" i="2"/>
  <c r="AP234" i="2"/>
  <c r="AO234" i="2"/>
  <c r="AN234" i="2"/>
  <c r="AM234" i="2"/>
  <c r="AL234" i="2"/>
  <c r="AK234" i="2"/>
  <c r="AI234" i="2"/>
  <c r="AG234" i="2"/>
  <c r="AF234" i="2"/>
  <c r="AE234" i="2"/>
  <c r="AD234" i="2"/>
  <c r="AB234" i="2"/>
  <c r="Z234" i="2"/>
  <c r="Y234" i="2"/>
  <c r="P234" i="2"/>
  <c r="O234" i="2"/>
  <c r="L234" i="2"/>
  <c r="K234" i="2"/>
  <c r="F234" i="2"/>
  <c r="E234" i="2"/>
  <c r="D234" i="2"/>
  <c r="B234" i="2"/>
  <c r="A234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O229" i="2"/>
  <c r="AM229" i="2"/>
  <c r="AL229" i="2"/>
  <c r="AK229" i="2"/>
  <c r="AG229" i="2"/>
  <c r="AF229" i="2"/>
  <c r="AE229" i="2"/>
  <c r="AB229" i="2"/>
  <c r="Z229" i="2"/>
  <c r="Y229" i="2"/>
  <c r="P229" i="2"/>
  <c r="O229" i="2"/>
  <c r="L229" i="2"/>
  <c r="K229" i="2"/>
  <c r="F229" i="2"/>
  <c r="D229" i="2"/>
  <c r="B229" i="2"/>
  <c r="AP235" i="2"/>
  <c r="AN228" i="2"/>
  <c r="AN235" i="2" s="1"/>
  <c r="AC235" i="2"/>
  <c r="AA235" i="2"/>
  <c r="Q228" i="2"/>
  <c r="Q235" i="2" s="1"/>
  <c r="N235" i="2"/>
  <c r="E235" i="2"/>
  <c r="AJ229" i="2"/>
  <c r="AC234" i="2"/>
  <c r="AA227" i="2"/>
  <c r="AA234" i="2" s="1"/>
  <c r="Q227" i="2"/>
  <c r="Q234" i="2" s="1"/>
  <c r="I204" i="2"/>
  <c r="J204" i="2" s="1"/>
  <c r="M204" i="2"/>
  <c r="N204" i="2" s="1"/>
  <c r="Q204" i="2"/>
  <c r="R204" i="2" s="1"/>
  <c r="S204" i="2" s="1"/>
  <c r="T204" i="2" s="1"/>
  <c r="U204" i="2" s="1"/>
  <c r="V204" i="2" s="1"/>
  <c r="W204" i="2" s="1"/>
  <c r="X204" i="2" s="1"/>
  <c r="AA204" i="2"/>
  <c r="AC204" i="2"/>
  <c r="AJ204" i="2"/>
  <c r="I205" i="2"/>
  <c r="J205" i="2" s="1"/>
  <c r="M205" i="2" s="1"/>
  <c r="F212" i="2"/>
  <c r="D212" i="2"/>
  <c r="C212" i="2"/>
  <c r="B212" i="2"/>
  <c r="A212" i="2"/>
  <c r="G211" i="2"/>
  <c r="F211" i="2"/>
  <c r="E211" i="2"/>
  <c r="D211" i="2"/>
  <c r="C211" i="2"/>
  <c r="B211" i="2"/>
  <c r="A211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F206" i="2"/>
  <c r="D206" i="2"/>
  <c r="C206" i="2"/>
  <c r="B206" i="2"/>
  <c r="E205" i="2"/>
  <c r="E212" i="2" s="1"/>
  <c r="U210" i="2"/>
  <c r="T210" i="2"/>
  <c r="D197" i="2"/>
  <c r="D195" i="2"/>
  <c r="D194" i="2"/>
  <c r="D193" i="2"/>
  <c r="BQ186" i="2"/>
  <c r="BR186" i="2"/>
  <c r="BQ187" i="2"/>
  <c r="BR187" i="2"/>
  <c r="BQ188" i="2"/>
  <c r="BR188" i="2"/>
  <c r="BR189" i="2"/>
  <c r="BL181" i="2"/>
  <c r="BL188" i="2" s="1"/>
  <c r="BF180" i="2"/>
  <c r="BF187" i="2" s="1"/>
  <c r="BG180" i="2"/>
  <c r="BG187" i="2" s="1"/>
  <c r="BA182" i="2"/>
  <c r="BB182" i="2" s="1"/>
  <c r="BC182" i="2" s="1"/>
  <c r="BD182" i="2" s="1"/>
  <c r="BE182" i="2" s="1"/>
  <c r="BF182" i="2" s="1"/>
  <c r="BA181" i="2"/>
  <c r="BA188" i="2" s="1"/>
  <c r="AX182" i="2"/>
  <c r="AX189" i="2" s="1"/>
  <c r="AM181" i="2"/>
  <c r="AN181" i="2" s="1"/>
  <c r="AG181" i="2"/>
  <c r="AG188" i="2" s="1"/>
  <c r="U180" i="2"/>
  <c r="U187" i="2" s="1"/>
  <c r="T180" i="2"/>
  <c r="T187" i="2" s="1"/>
  <c r="Q181" i="2"/>
  <c r="Q188" i="2" s="1"/>
  <c r="AY189" i="2"/>
  <c r="AW189" i="2"/>
  <c r="AV189" i="2"/>
  <c r="AU189" i="2"/>
  <c r="AC189" i="2"/>
  <c r="AA189" i="2"/>
  <c r="Z189" i="2"/>
  <c r="Y189" i="2"/>
  <c r="X189" i="2"/>
  <c r="U189" i="2"/>
  <c r="S189" i="2"/>
  <c r="P189" i="2"/>
  <c r="C189" i="2"/>
  <c r="B189" i="2"/>
  <c r="A189" i="2"/>
  <c r="BK188" i="2"/>
  <c r="AY188" i="2"/>
  <c r="AW188" i="2"/>
  <c r="AV188" i="2"/>
  <c r="AU188" i="2"/>
  <c r="AL188" i="2"/>
  <c r="AI188" i="2"/>
  <c r="AF188" i="2"/>
  <c r="AE188" i="2"/>
  <c r="AD188" i="2"/>
  <c r="AC188" i="2"/>
  <c r="AB188" i="2"/>
  <c r="AA188" i="2"/>
  <c r="Z188" i="2"/>
  <c r="Y188" i="2"/>
  <c r="W188" i="2"/>
  <c r="V188" i="2"/>
  <c r="U188" i="2"/>
  <c r="S188" i="2"/>
  <c r="R188" i="2"/>
  <c r="P188" i="2"/>
  <c r="C188" i="2"/>
  <c r="B188" i="2"/>
  <c r="A188" i="2"/>
  <c r="BP187" i="2"/>
  <c r="BO187" i="2"/>
  <c r="BN187" i="2"/>
  <c r="BM187" i="2"/>
  <c r="BL187" i="2"/>
  <c r="BK187" i="2"/>
  <c r="BJ187" i="2"/>
  <c r="BI187" i="2"/>
  <c r="BH187" i="2"/>
  <c r="BE187" i="2"/>
  <c r="BD187" i="2"/>
  <c r="BC187" i="2"/>
  <c r="BB187" i="2"/>
  <c r="BA187" i="2"/>
  <c r="AZ187" i="2"/>
  <c r="AY187" i="2"/>
  <c r="AX187" i="2"/>
  <c r="AW187" i="2"/>
  <c r="AV187" i="2"/>
  <c r="AU187" i="2"/>
  <c r="AR187" i="2"/>
  <c r="AQ187" i="2"/>
  <c r="AP187" i="2"/>
  <c r="AO187" i="2"/>
  <c r="AN187" i="2"/>
  <c r="AM187" i="2"/>
  <c r="AL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S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Y183" i="2"/>
  <c r="AW183" i="2"/>
  <c r="AV183" i="2"/>
  <c r="AU183" i="2"/>
  <c r="AC183" i="2"/>
  <c r="AA183" i="2"/>
  <c r="Z183" i="2"/>
  <c r="Y183" i="2"/>
  <c r="S183" i="2"/>
  <c r="P183" i="2"/>
  <c r="C183" i="2"/>
  <c r="B183" i="2"/>
  <c r="AF182" i="2"/>
  <c r="AG182" i="2" s="1"/>
  <c r="AE189" i="2"/>
  <c r="AD182" i="2"/>
  <c r="AD189" i="2" s="1"/>
  <c r="AB183" i="2"/>
  <c r="V189" i="2"/>
  <c r="T189" i="2"/>
  <c r="Q182" i="2"/>
  <c r="AZ183" i="2"/>
  <c r="AX181" i="2"/>
  <c r="AJ181" i="2"/>
  <c r="AK181" i="2" s="1"/>
  <c r="AK188" i="2" s="1"/>
  <c r="X183" i="2"/>
  <c r="T181" i="2"/>
  <c r="AT187" i="2"/>
  <c r="AS187" i="2"/>
  <c r="AK187" i="2"/>
  <c r="F300" i="2"/>
  <c r="F303" i="2" s="1"/>
  <c r="H300" i="2"/>
  <c r="J300" i="2"/>
  <c r="L300" i="2"/>
  <c r="L303" i="2" s="1"/>
  <c r="N300" i="2"/>
  <c r="N303" i="2" s="1"/>
  <c r="P300" i="2"/>
  <c r="D301" i="2"/>
  <c r="D303" i="2" s="1"/>
  <c r="H301" i="2"/>
  <c r="J301" i="2" s="1"/>
  <c r="R301" i="2" s="1"/>
  <c r="R303" i="2" s="1"/>
  <c r="P301" i="2"/>
  <c r="B303" i="2"/>
  <c r="N308" i="2"/>
  <c r="D152" i="2"/>
  <c r="D175" i="2"/>
  <c r="F169" i="2" s="1"/>
  <c r="AS159" i="2"/>
  <c r="AS166" i="2" s="1"/>
  <c r="AK158" i="2"/>
  <c r="AK165" i="2" s="1"/>
  <c r="AI158" i="2"/>
  <c r="AI165" i="2" s="1"/>
  <c r="AG158" i="2"/>
  <c r="AG165" i="2" s="1"/>
  <c r="AB158" i="2"/>
  <c r="AC158" i="2" s="1"/>
  <c r="AA159" i="2"/>
  <c r="AA160" i="2" s="1"/>
  <c r="X157" i="2"/>
  <c r="X164" i="2" s="1"/>
  <c r="AZ166" i="2"/>
  <c r="AY166" i="2"/>
  <c r="AX166" i="2"/>
  <c r="AW166" i="2"/>
  <c r="AV166" i="2"/>
  <c r="AU166" i="2"/>
  <c r="AR166" i="2"/>
  <c r="AQ166" i="2"/>
  <c r="AP166" i="2"/>
  <c r="AO166" i="2"/>
  <c r="AN166" i="2"/>
  <c r="AM166" i="2"/>
  <c r="AL166" i="2"/>
  <c r="AK166" i="2"/>
  <c r="AI166" i="2"/>
  <c r="AG166" i="2"/>
  <c r="AC166" i="2"/>
  <c r="Z166" i="2"/>
  <c r="Y166" i="2"/>
  <c r="U166" i="2"/>
  <c r="S166" i="2"/>
  <c r="P166" i="2"/>
  <c r="C166" i="2"/>
  <c r="B166" i="2"/>
  <c r="A166" i="2"/>
  <c r="BA165" i="2"/>
  <c r="AY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F165" i="2"/>
  <c r="AE165" i="2"/>
  <c r="AD165" i="2"/>
  <c r="AA165" i="2"/>
  <c r="Z165" i="2"/>
  <c r="Y165" i="2"/>
  <c r="W165" i="2"/>
  <c r="V165" i="2"/>
  <c r="U165" i="2"/>
  <c r="S165" i="2"/>
  <c r="R165" i="2"/>
  <c r="Q165" i="2"/>
  <c r="P165" i="2"/>
  <c r="C165" i="2"/>
  <c r="B165" i="2"/>
  <c r="A165" i="2"/>
  <c r="BA164" i="2"/>
  <c r="AZ164" i="2"/>
  <c r="AY164" i="2"/>
  <c r="AX164" i="2"/>
  <c r="AW164" i="2"/>
  <c r="AV164" i="2"/>
  <c r="AU164" i="2"/>
  <c r="AR164" i="2"/>
  <c r="AQ164" i="2"/>
  <c r="AP164" i="2"/>
  <c r="AO164" i="2"/>
  <c r="AN164" i="2"/>
  <c r="AM164" i="2"/>
  <c r="AL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W164" i="2"/>
  <c r="V164" i="2"/>
  <c r="U164" i="2"/>
  <c r="T164" i="2"/>
  <c r="S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Y160" i="2"/>
  <c r="AW160" i="2"/>
  <c r="AV160" i="2"/>
  <c r="AU160" i="2"/>
  <c r="AR160" i="2"/>
  <c r="AQ160" i="2"/>
  <c r="AP160" i="2"/>
  <c r="AO160" i="2"/>
  <c r="AN160" i="2"/>
  <c r="AM160" i="2"/>
  <c r="AL160" i="2"/>
  <c r="Z160" i="2"/>
  <c r="Y160" i="2"/>
  <c r="U160" i="2"/>
  <c r="S160" i="2"/>
  <c r="P160" i="2"/>
  <c r="C160" i="2"/>
  <c r="B160" i="2"/>
  <c r="BA166" i="2"/>
  <c r="AJ159" i="2"/>
  <c r="AJ166" i="2" s="1"/>
  <c r="AH166" i="2"/>
  <c r="AE159" i="2"/>
  <c r="AE166" i="2" s="1"/>
  <c r="AD166" i="2"/>
  <c r="W159" i="2"/>
  <c r="X159" i="2" s="1"/>
  <c r="X166" i="2" s="1"/>
  <c r="T159" i="2"/>
  <c r="T166" i="2" s="1"/>
  <c r="R159" i="2"/>
  <c r="R166" i="2" s="1"/>
  <c r="Q166" i="2"/>
  <c r="D166" i="2"/>
  <c r="AZ165" i="2"/>
  <c r="AX165" i="2"/>
  <c r="AJ165" i="2"/>
  <c r="AH165" i="2"/>
  <c r="X158" i="2"/>
  <c r="X165" i="2" s="1"/>
  <c r="T158" i="2"/>
  <c r="E165" i="2"/>
  <c r="AT164" i="2"/>
  <c r="AS164" i="2"/>
  <c r="AK164" i="2"/>
  <c r="R164" i="2"/>
  <c r="G235" i="2" l="1"/>
  <c r="H228" i="2"/>
  <c r="J235" i="2" s="1"/>
  <c r="AG600" i="5"/>
  <c r="AG602" i="5" s="1"/>
  <c r="AG595" i="5"/>
  <c r="AH593" i="5"/>
  <c r="BL167" i="2"/>
  <c r="BS167" i="2"/>
  <c r="AG160" i="2"/>
  <c r="Z236" i="2"/>
  <c r="AL236" i="2"/>
  <c r="BT167" i="2"/>
  <c r="BP167" i="2"/>
  <c r="C229" i="2"/>
  <c r="BO167" i="2"/>
  <c r="C258" i="2"/>
  <c r="F150" i="4"/>
  <c r="P303" i="2"/>
  <c r="C257" i="2"/>
  <c r="C259" i="2" s="1"/>
  <c r="E251" i="2"/>
  <c r="D252" i="2"/>
  <c r="D258" i="2"/>
  <c r="D257" i="2"/>
  <c r="E258" i="2"/>
  <c r="F251" i="2"/>
  <c r="E252" i="2"/>
  <c r="F250" i="2"/>
  <c r="E257" i="2"/>
  <c r="E259" i="2"/>
  <c r="O236" i="2"/>
  <c r="AB236" i="2"/>
  <c r="C252" i="2"/>
  <c r="K236" i="2"/>
  <c r="AN236" i="2"/>
  <c r="AA166" i="2"/>
  <c r="AA167" i="2" s="1"/>
  <c r="H303" i="2"/>
  <c r="Y236" i="2"/>
  <c r="C234" i="2"/>
  <c r="C236" i="2" s="1"/>
  <c r="AB159" i="2"/>
  <c r="AB166" i="2" s="1"/>
  <c r="U183" i="2"/>
  <c r="B236" i="2"/>
  <c r="F236" i="2"/>
  <c r="BR167" i="2"/>
  <c r="AH229" i="2"/>
  <c r="BE167" i="2"/>
  <c r="AB165" i="2"/>
  <c r="AM188" i="2"/>
  <c r="AF236" i="2"/>
  <c r="L236" i="2"/>
  <c r="AG236" i="2"/>
  <c r="BN167" i="2"/>
  <c r="AP236" i="2"/>
  <c r="AI160" i="2"/>
  <c r="G229" i="2"/>
  <c r="AI236" i="2"/>
  <c r="BU167" i="2"/>
  <c r="BQ167" i="2"/>
  <c r="BM167" i="2"/>
  <c r="D236" i="2"/>
  <c r="P236" i="2"/>
  <c r="BB167" i="2"/>
  <c r="BF167" i="2"/>
  <c r="BJ167" i="2"/>
  <c r="AH236" i="2"/>
  <c r="G234" i="2"/>
  <c r="G236" i="2" s="1"/>
  <c r="BG167" i="2"/>
  <c r="BD167" i="2"/>
  <c r="BH167" i="2"/>
  <c r="BI167" i="2"/>
  <c r="AO236" i="2"/>
  <c r="AM236" i="2"/>
  <c r="AK236" i="2"/>
  <c r="AJ234" i="2"/>
  <c r="AJ236" i="2" s="1"/>
  <c r="AE236" i="2"/>
  <c r="AC236" i="2"/>
  <c r="H235" i="2"/>
  <c r="H236" i="2" s="1"/>
  <c r="H229" i="2"/>
  <c r="E236" i="2"/>
  <c r="J234" i="2"/>
  <c r="J236" i="2" s="1"/>
  <c r="J229" i="2"/>
  <c r="N234" i="2"/>
  <c r="N236" i="2" s="1"/>
  <c r="N229" i="2"/>
  <c r="Q236" i="2"/>
  <c r="AA236" i="2"/>
  <c r="AA229" i="2"/>
  <c r="R228" i="2"/>
  <c r="AU190" i="2"/>
  <c r="E229" i="2"/>
  <c r="I229" i="2"/>
  <c r="M229" i="2"/>
  <c r="Q229" i="2"/>
  <c r="AC229" i="2"/>
  <c r="I234" i="2"/>
  <c r="M234" i="2"/>
  <c r="I235" i="2"/>
  <c r="M235" i="2"/>
  <c r="AN229" i="2"/>
  <c r="AP229" i="2"/>
  <c r="AH181" i="2"/>
  <c r="AH188" i="2" s="1"/>
  <c r="BB181" i="2"/>
  <c r="BB183" i="2" s="1"/>
  <c r="T160" i="2"/>
  <c r="AO167" i="2"/>
  <c r="AO181" i="2"/>
  <c r="AO188" i="2" s="1"/>
  <c r="AN188" i="2"/>
  <c r="AC160" i="2"/>
  <c r="AC165" i="2"/>
  <c r="AC167" i="2" s="1"/>
  <c r="AG189" i="2"/>
  <c r="AG190" i="2" s="1"/>
  <c r="AG183" i="2"/>
  <c r="AH182" i="2"/>
  <c r="F213" i="2"/>
  <c r="AT159" i="2"/>
  <c r="AT166" i="2" s="1"/>
  <c r="AT167" i="2" s="1"/>
  <c r="J303" i="2"/>
  <c r="F296" i="2" s="1"/>
  <c r="C190" i="2"/>
  <c r="AI167" i="2"/>
  <c r="AN167" i="2"/>
  <c r="AR167" i="2"/>
  <c r="AD183" i="2"/>
  <c r="P190" i="2"/>
  <c r="BR190" i="2"/>
  <c r="H211" i="2"/>
  <c r="M211" i="2"/>
  <c r="M206" i="2"/>
  <c r="M212" i="2"/>
  <c r="N205" i="2"/>
  <c r="E213" i="2"/>
  <c r="D213" i="2"/>
  <c r="C213" i="2"/>
  <c r="B213" i="2"/>
  <c r="H212" i="2"/>
  <c r="H206" i="2"/>
  <c r="U190" i="2"/>
  <c r="Y190" i="2"/>
  <c r="G206" i="2"/>
  <c r="G212" i="2"/>
  <c r="G213" i="2" s="1"/>
  <c r="AJ188" i="2"/>
  <c r="B190" i="2"/>
  <c r="S190" i="2"/>
  <c r="AA190" i="2"/>
  <c r="E206" i="2"/>
  <c r="BB189" i="2"/>
  <c r="BC189" i="2"/>
  <c r="AW190" i="2"/>
  <c r="AV190" i="2"/>
  <c r="AE190" i="2"/>
  <c r="AE183" i="2"/>
  <c r="AD190" i="2"/>
  <c r="AC190" i="2"/>
  <c r="Z190" i="2"/>
  <c r="V190" i="2"/>
  <c r="W189" i="2"/>
  <c r="W190" i="2" s="1"/>
  <c r="E182" i="2"/>
  <c r="D189" i="2"/>
  <c r="T188" i="2"/>
  <c r="T190" i="2" s="1"/>
  <c r="T183" i="2"/>
  <c r="AX188" i="2"/>
  <c r="AX190" i="2" s="1"/>
  <c r="AX183" i="2"/>
  <c r="R187" i="2"/>
  <c r="D188" i="2"/>
  <c r="D183" i="2"/>
  <c r="AF183" i="2"/>
  <c r="AF189" i="2"/>
  <c r="AF190" i="2" s="1"/>
  <c r="AZ189" i="2"/>
  <c r="W183" i="2"/>
  <c r="AY190" i="2"/>
  <c r="BM188" i="2"/>
  <c r="BN181" i="2"/>
  <c r="Q189" i="2"/>
  <c r="Q190" i="2" s="1"/>
  <c r="Q183" i="2"/>
  <c r="R182" i="2"/>
  <c r="R189" i="2" s="1"/>
  <c r="AZ188" i="2"/>
  <c r="AZ190" i="2" s="1"/>
  <c r="AB189" i="2"/>
  <c r="AB190" i="2" s="1"/>
  <c r="X188" i="2"/>
  <c r="X190" i="2" s="1"/>
  <c r="T165" i="2"/>
  <c r="T167" i="2" s="1"/>
  <c r="V183" i="2"/>
  <c r="F146" i="2"/>
  <c r="AU167" i="2"/>
  <c r="P167" i="2"/>
  <c r="Y167" i="2"/>
  <c r="U167" i="2"/>
  <c r="Z167" i="2"/>
  <c r="AG167" i="2"/>
  <c r="S167" i="2"/>
  <c r="AX167" i="2"/>
  <c r="C167" i="2"/>
  <c r="BA167" i="2"/>
  <c r="AY167" i="2"/>
  <c r="AW167" i="2"/>
  <c r="AV167" i="2"/>
  <c r="AS167" i="2"/>
  <c r="AQ167" i="2"/>
  <c r="AP167" i="2"/>
  <c r="AM167" i="2"/>
  <c r="AL167" i="2"/>
  <c r="AK167" i="2"/>
  <c r="AJ160" i="2"/>
  <c r="AJ167" i="2"/>
  <c r="AE167" i="2"/>
  <c r="R167" i="2"/>
  <c r="Q167" i="2"/>
  <c r="E166" i="2"/>
  <c r="E167" i="2" s="1"/>
  <c r="D160" i="2"/>
  <c r="D165" i="2"/>
  <c r="D167" i="2" s="1"/>
  <c r="B167" i="2"/>
  <c r="X167" i="2"/>
  <c r="AZ167" i="2"/>
  <c r="W166" i="2"/>
  <c r="W167" i="2" s="1"/>
  <c r="W160" i="2"/>
  <c r="AD167" i="2"/>
  <c r="AH167" i="2"/>
  <c r="X160" i="2"/>
  <c r="AZ160" i="2"/>
  <c r="E160" i="2"/>
  <c r="Q160" i="2"/>
  <c r="AK160" i="2"/>
  <c r="AS160" i="2"/>
  <c r="BA160" i="2"/>
  <c r="AB160" i="2"/>
  <c r="R160" i="2"/>
  <c r="V160" i="2"/>
  <c r="AD160" i="2"/>
  <c r="AH160" i="2"/>
  <c r="AX160" i="2"/>
  <c r="V166" i="2"/>
  <c r="V167" i="2" s="1"/>
  <c r="AF159" i="2"/>
  <c r="AE16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L141" i="2"/>
  <c r="AM141" i="2"/>
  <c r="AN141" i="2"/>
  <c r="AO141" i="2"/>
  <c r="AP141" i="2"/>
  <c r="AQ141" i="2"/>
  <c r="AR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C142" i="2"/>
  <c r="P142" i="2"/>
  <c r="Q142" i="2"/>
  <c r="R142" i="2"/>
  <c r="S142" i="2"/>
  <c r="U142" i="2"/>
  <c r="V142" i="2"/>
  <c r="W142" i="2"/>
  <c r="Y142" i="2"/>
  <c r="Z142" i="2"/>
  <c r="AA142" i="2"/>
  <c r="AB142" i="2"/>
  <c r="AC142" i="2"/>
  <c r="AD142" i="2"/>
  <c r="AE142" i="2"/>
  <c r="AF142" i="2"/>
  <c r="AG142" i="2"/>
  <c r="AI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Y142" i="2"/>
  <c r="BA142" i="2"/>
  <c r="BB142" i="2"/>
  <c r="BC142" i="2"/>
  <c r="BG142" i="2"/>
  <c r="BK142" i="2"/>
  <c r="BL142" i="2"/>
  <c r="C143" i="2"/>
  <c r="P143" i="2"/>
  <c r="S143" i="2"/>
  <c r="U143" i="2"/>
  <c r="X143" i="2"/>
  <c r="Y143" i="2"/>
  <c r="Z143" i="2"/>
  <c r="AA143" i="2"/>
  <c r="AC143" i="2"/>
  <c r="AG143" i="2"/>
  <c r="AI143" i="2"/>
  <c r="AK143" i="2"/>
  <c r="AL143" i="2"/>
  <c r="AL144" i="2" s="1"/>
  <c r="AM143" i="2"/>
  <c r="AN143" i="2"/>
  <c r="AO143" i="2"/>
  <c r="AP143" i="2"/>
  <c r="AQ143" i="2"/>
  <c r="AR143" i="2"/>
  <c r="AS143" i="2"/>
  <c r="AU143" i="2"/>
  <c r="AV143" i="2"/>
  <c r="AW143" i="2"/>
  <c r="AX143" i="2"/>
  <c r="AY143" i="2"/>
  <c r="BB143" i="2"/>
  <c r="BG143" i="2"/>
  <c r="B140" i="2"/>
  <c r="B143" i="2"/>
  <c r="A143" i="2"/>
  <c r="B142" i="2"/>
  <c r="A142" i="2"/>
  <c r="B141" i="2"/>
  <c r="A141" i="2"/>
  <c r="AZ136" i="2"/>
  <c r="BA136" i="2" s="1"/>
  <c r="BA137" i="2" s="1"/>
  <c r="AZ135" i="2"/>
  <c r="AX135" i="2"/>
  <c r="AX137" i="2" s="1"/>
  <c r="AY137" i="2"/>
  <c r="AT134" i="2"/>
  <c r="AT141" i="2" s="1"/>
  <c r="AS134" i="2"/>
  <c r="AS141" i="2" s="1"/>
  <c r="AT136" i="2"/>
  <c r="AT143" i="2" s="1"/>
  <c r="AN137" i="2"/>
  <c r="AK134" i="2"/>
  <c r="AK141" i="2" s="1"/>
  <c r="AD136" i="2"/>
  <c r="AE136" i="2" s="1"/>
  <c r="AF136" i="2" s="1"/>
  <c r="AH136" i="2" s="1"/>
  <c r="AJ136" i="2" s="1"/>
  <c r="AJ143" i="2" s="1"/>
  <c r="AB136" i="2"/>
  <c r="AB143" i="2" s="1"/>
  <c r="R134" i="2"/>
  <c r="R141" i="2" s="1"/>
  <c r="D136" i="2"/>
  <c r="E136" i="2" s="1"/>
  <c r="F136" i="2" s="1"/>
  <c r="G136" i="2" s="1"/>
  <c r="H136" i="2" s="1"/>
  <c r="I136" i="2" s="1"/>
  <c r="I143" i="2" s="1"/>
  <c r="D135" i="2"/>
  <c r="E135" i="2" s="1"/>
  <c r="F135" i="2" s="1"/>
  <c r="G135" i="2" s="1"/>
  <c r="G142" i="2" s="1"/>
  <c r="B137" i="2"/>
  <c r="AI593" i="5" l="1"/>
  <c r="AH600" i="5"/>
  <c r="AH602" i="5" s="1"/>
  <c r="AH595" i="5"/>
  <c r="AS137" i="2"/>
  <c r="F151" i="4"/>
  <c r="D259" i="2"/>
  <c r="F257" i="2"/>
  <c r="F252" i="2"/>
  <c r="G250" i="2"/>
  <c r="G251" i="2"/>
  <c r="F258" i="2"/>
  <c r="AB167" i="2"/>
  <c r="AW144" i="2"/>
  <c r="AP181" i="2"/>
  <c r="AG144" i="2"/>
  <c r="AC144" i="2"/>
  <c r="D142" i="2"/>
  <c r="AI144" i="2"/>
  <c r="AT144" i="2"/>
  <c r="AD143" i="2"/>
  <c r="AD144" i="2" s="1"/>
  <c r="U144" i="2"/>
  <c r="AO144" i="2"/>
  <c r="AX142" i="2"/>
  <c r="AX144" i="2" s="1"/>
  <c r="Z144" i="2"/>
  <c r="M236" i="2"/>
  <c r="AK144" i="2"/>
  <c r="AZ137" i="2"/>
  <c r="I236" i="2"/>
  <c r="R235" i="2"/>
  <c r="AD235" i="2"/>
  <c r="AD236" i="2" s="1"/>
  <c r="AD229" i="2"/>
  <c r="R234" i="2"/>
  <c r="R229" i="2"/>
  <c r="Y144" i="2"/>
  <c r="S144" i="2"/>
  <c r="BB144" i="2"/>
  <c r="AP144" i="2"/>
  <c r="BC181" i="2"/>
  <c r="BB188" i="2"/>
  <c r="BB190" i="2" s="1"/>
  <c r="AS144" i="2"/>
  <c r="AE143" i="2"/>
  <c r="AE144" i="2" s="1"/>
  <c r="BG144" i="2"/>
  <c r="H213" i="2"/>
  <c r="AY144" i="2"/>
  <c r="AQ144" i="2"/>
  <c r="AA144" i="2"/>
  <c r="AU144" i="2"/>
  <c r="AM144" i="2"/>
  <c r="C144" i="2"/>
  <c r="AZ143" i="2"/>
  <c r="AH189" i="2"/>
  <c r="AH190" i="2" s="1"/>
  <c r="AI182" i="2"/>
  <c r="AF143" i="2"/>
  <c r="AF144" i="2" s="1"/>
  <c r="D143" i="2"/>
  <c r="AZ142" i="2"/>
  <c r="AV144" i="2"/>
  <c r="AR144" i="2"/>
  <c r="AN144" i="2"/>
  <c r="AB144" i="2"/>
  <c r="P144" i="2"/>
  <c r="AT160" i="2"/>
  <c r="AH183" i="2"/>
  <c r="M213" i="2"/>
  <c r="N206" i="2"/>
  <c r="N211" i="2"/>
  <c r="N212" i="2"/>
  <c r="I206" i="2"/>
  <c r="I211" i="2"/>
  <c r="I212" i="2"/>
  <c r="D190" i="2"/>
  <c r="BD189" i="2"/>
  <c r="AP188" i="2"/>
  <c r="AQ181" i="2"/>
  <c r="BA189" i="2"/>
  <c r="BA190" i="2" s="1"/>
  <c r="BA183" i="2"/>
  <c r="E188" i="2"/>
  <c r="E183" i="2"/>
  <c r="R183" i="2"/>
  <c r="BN188" i="2"/>
  <c r="R190" i="2"/>
  <c r="E189" i="2"/>
  <c r="F165" i="2"/>
  <c r="F160" i="2"/>
  <c r="AF160" i="2"/>
  <c r="AF166" i="2"/>
  <c r="AF167" i="2" s="1"/>
  <c r="F166" i="2"/>
  <c r="E142" i="2"/>
  <c r="G143" i="2"/>
  <c r="G144" i="2" s="1"/>
  <c r="B144" i="2"/>
  <c r="AH143" i="2"/>
  <c r="F143" i="2"/>
  <c r="BA143" i="2"/>
  <c r="BA144" i="2" s="1"/>
  <c r="E143" i="2"/>
  <c r="H143" i="2"/>
  <c r="F142" i="2"/>
  <c r="F144" i="2" s="1"/>
  <c r="BB137" i="2"/>
  <c r="BD135" i="2"/>
  <c r="BD142" i="2" s="1"/>
  <c r="BC136" i="2"/>
  <c r="AT137" i="2"/>
  <c r="AO137" i="2"/>
  <c r="J136" i="2"/>
  <c r="J143" i="2" s="1"/>
  <c r="E137" i="2"/>
  <c r="D137" i="2"/>
  <c r="F137" i="2"/>
  <c r="C137" i="2"/>
  <c r="H135" i="2"/>
  <c r="H142" i="2" s="1"/>
  <c r="H144" i="2" s="1"/>
  <c r="G137" i="2"/>
  <c r="M87" i="2"/>
  <c r="M86" i="2"/>
  <c r="M91" i="2" s="1"/>
  <c r="I127" i="2"/>
  <c r="G125" i="2"/>
  <c r="G127" i="2" s="1"/>
  <c r="I120" i="2"/>
  <c r="G120" i="2"/>
  <c r="B115" i="2"/>
  <c r="G114" i="2"/>
  <c r="D110" i="2"/>
  <c r="D115" i="2" s="1"/>
  <c r="I105" i="2"/>
  <c r="G105" i="2"/>
  <c r="D105" i="2"/>
  <c r="G104" i="2"/>
  <c r="D104" i="2"/>
  <c r="I104" i="2" s="1"/>
  <c r="T103" i="2"/>
  <c r="U103" i="2" s="1"/>
  <c r="B107" i="2"/>
  <c r="T102" i="2"/>
  <c r="U102" i="2" s="1"/>
  <c r="B100" i="2"/>
  <c r="G98" i="2"/>
  <c r="G97" i="2"/>
  <c r="D96" i="2"/>
  <c r="B94" i="2"/>
  <c r="R93" i="2"/>
  <c r="J93" i="2"/>
  <c r="D93" i="2"/>
  <c r="I92" i="2" s="1"/>
  <c r="R92" i="2"/>
  <c r="G92" i="2"/>
  <c r="R91" i="2"/>
  <c r="I91" i="2"/>
  <c r="G91" i="2"/>
  <c r="R90" i="2"/>
  <c r="I90" i="2"/>
  <c r="D90" i="2"/>
  <c r="G90" i="2" s="1"/>
  <c r="R89" i="2"/>
  <c r="R88" i="2"/>
  <c r="L88" i="2"/>
  <c r="M82" i="2" s="1"/>
  <c r="R87" i="2"/>
  <c r="F87" i="2"/>
  <c r="D87" i="2"/>
  <c r="B87" i="2"/>
  <c r="R86" i="2"/>
  <c r="R85" i="2"/>
  <c r="AI600" i="5" l="1"/>
  <c r="AI602" i="5" s="1"/>
  <c r="AI595" i="5"/>
  <c r="AJ593" i="5"/>
  <c r="G115" i="2"/>
  <c r="K115" i="2" s="1"/>
  <c r="H93" i="2"/>
  <c r="H94" i="2"/>
  <c r="G96" i="2"/>
  <c r="J96" i="2"/>
  <c r="J99" i="2" s="1"/>
  <c r="AZ144" i="2"/>
  <c r="F152" i="4"/>
  <c r="R94" i="2"/>
  <c r="M81" i="2" s="1"/>
  <c r="H251" i="2"/>
  <c r="G258" i="2"/>
  <c r="H250" i="2"/>
  <c r="G257" i="2"/>
  <c r="G252" i="2"/>
  <c r="F259" i="2"/>
  <c r="D144" i="2"/>
  <c r="R236" i="2"/>
  <c r="S235" i="2"/>
  <c r="S234" i="2"/>
  <c r="S229" i="2"/>
  <c r="M80" i="2"/>
  <c r="BC183" i="2"/>
  <c r="BC188" i="2"/>
  <c r="BC190" i="2" s="1"/>
  <c r="BD181" i="2"/>
  <c r="AI189" i="2"/>
  <c r="AI190" i="2" s="1"/>
  <c r="AI183" i="2"/>
  <c r="AJ182" i="2"/>
  <c r="I213" i="2"/>
  <c r="N213" i="2"/>
  <c r="O212" i="2"/>
  <c r="O206" i="2"/>
  <c r="O211" i="2"/>
  <c r="J212" i="2"/>
  <c r="J211" i="2"/>
  <c r="J206" i="2"/>
  <c r="BE189" i="2"/>
  <c r="AR181" i="2"/>
  <c r="AQ188" i="2"/>
  <c r="BO188" i="2"/>
  <c r="F189" i="2"/>
  <c r="G182" i="2"/>
  <c r="E190" i="2"/>
  <c r="F188" i="2"/>
  <c r="F183" i="2"/>
  <c r="F167" i="2"/>
  <c r="G166" i="2"/>
  <c r="H159" i="2"/>
  <c r="G165" i="2"/>
  <c r="G160" i="2"/>
  <c r="E144" i="2"/>
  <c r="BD136" i="2"/>
  <c r="BD137" i="2" s="1"/>
  <c r="BC143" i="2"/>
  <c r="BC144" i="2" s="1"/>
  <c r="I89" i="2"/>
  <c r="I93" i="2" s="1"/>
  <c r="U104" i="2"/>
  <c r="U105" i="2" s="1"/>
  <c r="H137" i="2"/>
  <c r="I135" i="2"/>
  <c r="I142" i="2" s="1"/>
  <c r="I144" i="2" s="1"/>
  <c r="H121" i="2"/>
  <c r="I122" i="2" s="1"/>
  <c r="BC137" i="2"/>
  <c r="BE135" i="2"/>
  <c r="BE142" i="2" s="1"/>
  <c r="AU137" i="2"/>
  <c r="AP137" i="2"/>
  <c r="K136" i="2"/>
  <c r="K143" i="2" s="1"/>
  <c r="D94" i="2"/>
  <c r="D107" i="2"/>
  <c r="H129" i="2"/>
  <c r="I130" i="2" s="1"/>
  <c r="G128" i="2"/>
  <c r="D100" i="2"/>
  <c r="I99" i="2" s="1"/>
  <c r="I100" i="2" s="1"/>
  <c r="G103" i="2"/>
  <c r="H107" i="2" s="1"/>
  <c r="I103" i="2"/>
  <c r="J108" i="2" s="1"/>
  <c r="L45" i="2"/>
  <c r="D49" i="2"/>
  <c r="I48" i="2"/>
  <c r="I47" i="2"/>
  <c r="I46" i="2"/>
  <c r="H48" i="2"/>
  <c r="H47" i="2"/>
  <c r="H46" i="2"/>
  <c r="G48" i="2"/>
  <c r="G47" i="2"/>
  <c r="G46" i="2"/>
  <c r="B49" i="2"/>
  <c r="C49" i="2"/>
  <c r="L40" i="2"/>
  <c r="G44" i="2"/>
  <c r="I40" i="2" s="1"/>
  <c r="B44" i="2"/>
  <c r="D40" i="2" s="1"/>
  <c r="H21" i="2"/>
  <c r="I21" i="2" s="1"/>
  <c r="H20" i="2"/>
  <c r="K21" i="2"/>
  <c r="L21" i="2" s="1"/>
  <c r="K20" i="2"/>
  <c r="L20" i="2" s="1"/>
  <c r="C18" i="2"/>
  <c r="D18" i="2" s="1"/>
  <c r="I5" i="2"/>
  <c r="O5" i="2" s="1"/>
  <c r="M53" i="2"/>
  <c r="M55" i="2" s="1"/>
  <c r="N52" i="2" s="1"/>
  <c r="B55" i="2"/>
  <c r="D52" i="2" s="1"/>
  <c r="G53" i="2"/>
  <c r="L36" i="2"/>
  <c r="I34" i="2"/>
  <c r="B38" i="2"/>
  <c r="D34" i="2" s="1"/>
  <c r="J32" i="2"/>
  <c r="H32" i="2"/>
  <c r="D32" i="2"/>
  <c r="B32" i="2"/>
  <c r="B31" i="2"/>
  <c r="D31" i="2"/>
  <c r="L28" i="2"/>
  <c r="H31" i="2"/>
  <c r="F28" i="2"/>
  <c r="G75" i="2"/>
  <c r="M76" i="2"/>
  <c r="N73" i="2" s="1"/>
  <c r="B76" i="2"/>
  <c r="D73" i="2" s="1"/>
  <c r="G65" i="2"/>
  <c r="M66" i="2"/>
  <c r="N63" i="2" s="1"/>
  <c r="B66" i="2"/>
  <c r="D63" i="2" s="1"/>
  <c r="G64" i="2"/>
  <c r="G60" i="2"/>
  <c r="G69" i="2"/>
  <c r="G59" i="2"/>
  <c r="M61" i="2"/>
  <c r="N58" i="2" s="1"/>
  <c r="B61" i="2"/>
  <c r="D58" i="2" s="1"/>
  <c r="M71" i="2"/>
  <c r="N68" i="2" s="1"/>
  <c r="G70" i="2"/>
  <c r="B71" i="2"/>
  <c r="D68" i="2" s="1"/>
  <c r="AJ600" i="5" l="1"/>
  <c r="AJ602" i="5" s="1"/>
  <c r="AJ595" i="5"/>
  <c r="AK593" i="5"/>
  <c r="F31" i="2"/>
  <c r="F33" i="2"/>
  <c r="L31" i="2"/>
  <c r="L33" i="2"/>
  <c r="I20" i="2"/>
  <c r="H22" i="2"/>
  <c r="H100" i="2"/>
  <c r="H99" i="2"/>
  <c r="J107" i="2"/>
  <c r="F153" i="4"/>
  <c r="F154" i="4"/>
  <c r="G259" i="2"/>
  <c r="F159" i="4"/>
  <c r="E180" i="4" s="1"/>
  <c r="F192" i="4" s="1"/>
  <c r="I250" i="2"/>
  <c r="H257" i="2"/>
  <c r="H252" i="2"/>
  <c r="I251" i="2"/>
  <c r="H258" i="2"/>
  <c r="S236" i="2"/>
  <c r="T235" i="2"/>
  <c r="U228" i="2"/>
  <c r="T234" i="2"/>
  <c r="T229" i="2"/>
  <c r="U227" i="2"/>
  <c r="BD183" i="2"/>
  <c r="BD188" i="2"/>
  <c r="BD190" i="2" s="1"/>
  <c r="BE181" i="2"/>
  <c r="L32" i="2"/>
  <c r="AK182" i="2"/>
  <c r="AJ183" i="2"/>
  <c r="AJ189" i="2"/>
  <c r="AJ190" i="2" s="1"/>
  <c r="O213" i="2"/>
  <c r="P211" i="2"/>
  <c r="P206" i="2"/>
  <c r="Q205" i="2"/>
  <c r="P212" i="2"/>
  <c r="K211" i="2"/>
  <c r="K206" i="2"/>
  <c r="J213" i="2"/>
  <c r="G167" i="2"/>
  <c r="L212" i="2"/>
  <c r="K212" i="2"/>
  <c r="BF189" i="2"/>
  <c r="AS181" i="2"/>
  <c r="AR188" i="2"/>
  <c r="F190" i="2"/>
  <c r="G189" i="2"/>
  <c r="H182" i="2"/>
  <c r="BP188" i="2"/>
  <c r="G188" i="2"/>
  <c r="H181" i="2"/>
  <c r="G183" i="2"/>
  <c r="H166" i="2"/>
  <c r="H160" i="2"/>
  <c r="H165" i="2"/>
  <c r="BE136" i="2"/>
  <c r="BE137" i="2" s="1"/>
  <c r="BD143" i="2"/>
  <c r="BD144" i="2" s="1"/>
  <c r="D80" i="2"/>
  <c r="J135" i="2"/>
  <c r="J142" i="2" s="1"/>
  <c r="J144" i="2" s="1"/>
  <c r="I137" i="2"/>
  <c r="BF135" i="2"/>
  <c r="BF142" i="2" s="1"/>
  <c r="AW137" i="2"/>
  <c r="AV137" i="2"/>
  <c r="AQ137" i="2"/>
  <c r="AR137" i="2"/>
  <c r="L136" i="2"/>
  <c r="L143" i="2" s="1"/>
  <c r="G49" i="2"/>
  <c r="I49" i="2"/>
  <c r="D45" i="2"/>
  <c r="H49" i="2"/>
  <c r="H108" i="2"/>
  <c r="L108" i="2" s="1"/>
  <c r="K107" i="2"/>
  <c r="F32" i="2"/>
  <c r="I24" i="2" s="1"/>
  <c r="J31" i="2"/>
  <c r="D24" i="2" s="1"/>
  <c r="K22" i="2"/>
  <c r="D20" i="2"/>
  <c r="C20" i="2"/>
  <c r="O8" i="2"/>
  <c r="O9" i="2"/>
  <c r="I9" i="2"/>
  <c r="I13" i="2" s="1"/>
  <c r="I16" i="2" s="1"/>
  <c r="I8" i="2"/>
  <c r="C9" i="2"/>
  <c r="C12" i="2" s="1"/>
  <c r="F913" i="2"/>
  <c r="F915" i="2" s="1"/>
  <c r="G915" i="2" s="1"/>
  <c r="G911" i="2"/>
  <c r="I911" i="2" s="1"/>
  <c r="G910" i="2"/>
  <c r="I910" i="2" s="1"/>
  <c r="G909" i="2"/>
  <c r="I909" i="2" s="1"/>
  <c r="G908" i="2"/>
  <c r="I908" i="2" s="1"/>
  <c r="G907" i="2"/>
  <c r="I907" i="2" s="1"/>
  <c r="G906" i="2"/>
  <c r="I906" i="2" s="1"/>
  <c r="K908" i="2" s="1"/>
  <c r="G905" i="2"/>
  <c r="I905" i="2" s="1"/>
  <c r="F898" i="2"/>
  <c r="F897" i="2"/>
  <c r="F896" i="2"/>
  <c r="F893" i="2"/>
  <c r="F895" i="2" s="1"/>
  <c r="M892" i="2"/>
  <c r="M891" i="2"/>
  <c r="M890" i="2"/>
  <c r="M889" i="2"/>
  <c r="F888" i="2"/>
  <c r="F887" i="2"/>
  <c r="F886" i="2"/>
  <c r="F885" i="2"/>
  <c r="X884" i="2"/>
  <c r="S884" i="2"/>
  <c r="S883" i="2"/>
  <c r="S882" i="2"/>
  <c r="S881" i="2"/>
  <c r="F881" i="2"/>
  <c r="F880" i="2"/>
  <c r="I879" i="2"/>
  <c r="H879" i="2"/>
  <c r="F879" i="2"/>
  <c r="I878" i="2"/>
  <c r="H878" i="2"/>
  <c r="G878" i="2"/>
  <c r="F878" i="2"/>
  <c r="H877" i="2"/>
  <c r="G877" i="2"/>
  <c r="F877" i="2"/>
  <c r="I876" i="2"/>
  <c r="H876" i="2"/>
  <c r="G876" i="2"/>
  <c r="F876" i="2"/>
  <c r="I875" i="2"/>
  <c r="H875" i="2"/>
  <c r="G875" i="2"/>
  <c r="F875" i="2"/>
  <c r="I874" i="2"/>
  <c r="H874" i="2"/>
  <c r="G874" i="2"/>
  <c r="F874" i="2"/>
  <c r="Y873" i="2"/>
  <c r="I873" i="2"/>
  <c r="H873" i="2"/>
  <c r="G873" i="2"/>
  <c r="F873" i="2"/>
  <c r="I872" i="2"/>
  <c r="H872" i="2"/>
  <c r="G872" i="2"/>
  <c r="F872" i="2"/>
  <c r="Z871" i="2"/>
  <c r="AA871" i="2" s="1"/>
  <c r="I871" i="2"/>
  <c r="H871" i="2"/>
  <c r="G871" i="2"/>
  <c r="F871" i="2"/>
  <c r="I870" i="2"/>
  <c r="H870" i="2"/>
  <c r="G870" i="2"/>
  <c r="F870" i="2"/>
  <c r="I869" i="2"/>
  <c r="H869" i="2"/>
  <c r="G869" i="2"/>
  <c r="F869" i="2"/>
  <c r="Y867" i="2"/>
  <c r="Z867" i="2" s="1"/>
  <c r="Y866" i="2"/>
  <c r="Z866" i="2" s="1"/>
  <c r="X863" i="2"/>
  <c r="X862" i="2"/>
  <c r="I860" i="2"/>
  <c r="I859" i="2"/>
  <c r="I858" i="2"/>
  <c r="N857" i="2"/>
  <c r="N859" i="2" s="1"/>
  <c r="L857" i="2"/>
  <c r="L860" i="2" s="1"/>
  <c r="I857" i="2"/>
  <c r="P854" i="2"/>
  <c r="H852" i="2"/>
  <c r="G852" i="2"/>
  <c r="R847" i="2"/>
  <c r="I842" i="2"/>
  <c r="I841" i="2"/>
  <c r="I840" i="2"/>
  <c r="I839" i="2"/>
  <c r="I838" i="2"/>
  <c r="I837" i="2"/>
  <c r="N836" i="2"/>
  <c r="I836" i="2"/>
  <c r="N835" i="2"/>
  <c r="H831" i="2"/>
  <c r="G831" i="2"/>
  <c r="F830" i="2"/>
  <c r="F831" i="2" s="1"/>
  <c r="E830" i="2"/>
  <c r="E831" i="2" s="1"/>
  <c r="N828" i="2"/>
  <c r="I825" i="2"/>
  <c r="I824" i="2"/>
  <c r="I823" i="2"/>
  <c r="I822" i="2"/>
  <c r="I821" i="2"/>
  <c r="I820" i="2"/>
  <c r="I819" i="2"/>
  <c r="I818" i="2"/>
  <c r="I817" i="2"/>
  <c r="I816" i="2"/>
  <c r="N815" i="2"/>
  <c r="I815" i="2"/>
  <c r="N814" i="2"/>
  <c r="I814" i="2"/>
  <c r="H808" i="2"/>
  <c r="H809" i="2" s="1"/>
  <c r="G808" i="2"/>
  <c r="G809" i="2" s="1"/>
  <c r="F808" i="2"/>
  <c r="F809" i="2" s="1"/>
  <c r="E808" i="2"/>
  <c r="E809" i="2" s="1"/>
  <c r="N807" i="2"/>
  <c r="I799" i="2"/>
  <c r="I798" i="2"/>
  <c r="I797" i="2"/>
  <c r="I796" i="2"/>
  <c r="I795" i="2"/>
  <c r="I794" i="2"/>
  <c r="I793" i="2"/>
  <c r="I792" i="2"/>
  <c r="I791" i="2"/>
  <c r="I790" i="2"/>
  <c r="N789" i="2"/>
  <c r="I789" i="2"/>
  <c r="N788" i="2"/>
  <c r="I788" i="2"/>
  <c r="I787" i="2"/>
  <c r="J786" i="2"/>
  <c r="I786" i="2"/>
  <c r="J785" i="2"/>
  <c r="I785" i="2"/>
  <c r="J784" i="2"/>
  <c r="I784" i="2"/>
  <c r="J783" i="2"/>
  <c r="I783" i="2"/>
  <c r="J782" i="2"/>
  <c r="I782" i="2"/>
  <c r="N781" i="2"/>
  <c r="J781" i="2"/>
  <c r="I781" i="2"/>
  <c r="J780" i="2"/>
  <c r="I780" i="2"/>
  <c r="H775" i="2"/>
  <c r="G775" i="2"/>
  <c r="F775" i="2"/>
  <c r="E775" i="2"/>
  <c r="M766" i="2"/>
  <c r="L766" i="2"/>
  <c r="I765" i="2"/>
  <c r="F761" i="2"/>
  <c r="N759" i="2"/>
  <c r="N758" i="2"/>
  <c r="G756" i="2"/>
  <c r="G755" i="2"/>
  <c r="E752" i="2"/>
  <c r="G752" i="2" s="1"/>
  <c r="B752" i="2" s="1"/>
  <c r="G749" i="2"/>
  <c r="L748" i="2"/>
  <c r="M749" i="2" s="1"/>
  <c r="N749" i="2" s="1"/>
  <c r="I748" i="2"/>
  <c r="J749" i="2" s="1"/>
  <c r="K749" i="2" s="1"/>
  <c r="G748" i="2"/>
  <c r="P745" i="2"/>
  <c r="N741" i="2" s="1"/>
  <c r="L745" i="2"/>
  <c r="M745" i="2" s="1"/>
  <c r="M746" i="2" s="1"/>
  <c r="N746" i="2" s="1"/>
  <c r="I745" i="2"/>
  <c r="J745" i="2" s="1"/>
  <c r="J746" i="2" s="1"/>
  <c r="K746" i="2" s="1"/>
  <c r="G745" i="2"/>
  <c r="B748" i="2" s="1"/>
  <c r="D743" i="2"/>
  <c r="C743" i="2"/>
  <c r="B743" i="2"/>
  <c r="H742" i="2"/>
  <c r="I741" i="2" s="1"/>
  <c r="G742" i="2"/>
  <c r="G741" i="2"/>
  <c r="K740" i="2"/>
  <c r="G740" i="2"/>
  <c r="P747" i="2" s="1"/>
  <c r="Q747" i="2" s="1"/>
  <c r="F740" i="2"/>
  <c r="F743" i="2" s="1"/>
  <c r="E740" i="2"/>
  <c r="E743" i="2" s="1"/>
  <c r="I731" i="2"/>
  <c r="G729" i="2"/>
  <c r="G731" i="2" s="1"/>
  <c r="G732" i="2" s="1"/>
  <c r="I724" i="2"/>
  <c r="G724" i="2"/>
  <c r="B719" i="2"/>
  <c r="G718" i="2"/>
  <c r="G719" i="2" s="1"/>
  <c r="K719" i="2" s="1"/>
  <c r="D714" i="2"/>
  <c r="D719" i="2" s="1"/>
  <c r="I709" i="2"/>
  <c r="G709" i="2"/>
  <c r="D709" i="2"/>
  <c r="G708" i="2"/>
  <c r="D708" i="2"/>
  <c r="I708" i="2" s="1"/>
  <c r="T707" i="2"/>
  <c r="U707" i="2" s="1"/>
  <c r="D707" i="2"/>
  <c r="B707" i="2"/>
  <c r="T706" i="2"/>
  <c r="U706" i="2" s="1"/>
  <c r="B704" i="2"/>
  <c r="J703" i="2"/>
  <c r="D703" i="2"/>
  <c r="G702" i="2"/>
  <c r="G701" i="2"/>
  <c r="D700" i="2"/>
  <c r="G700" i="2" s="1"/>
  <c r="B698" i="2"/>
  <c r="R697" i="2"/>
  <c r="J697" i="2"/>
  <c r="D697" i="2"/>
  <c r="I696" i="2" s="1"/>
  <c r="R696" i="2"/>
  <c r="G696" i="2"/>
  <c r="R695" i="2"/>
  <c r="I695" i="2"/>
  <c r="G695" i="2"/>
  <c r="R694" i="2"/>
  <c r="M694" i="2"/>
  <c r="M695" i="2" s="1"/>
  <c r="M684" i="2" s="1"/>
  <c r="I694" i="2"/>
  <c r="D694" i="2"/>
  <c r="G694" i="2" s="1"/>
  <c r="R693" i="2"/>
  <c r="R692" i="2"/>
  <c r="L692" i="2"/>
  <c r="M686" i="2" s="1"/>
  <c r="R691" i="2"/>
  <c r="F691" i="2"/>
  <c r="D691" i="2"/>
  <c r="B691" i="2"/>
  <c r="R690" i="2"/>
  <c r="R689" i="2"/>
  <c r="M678" i="2"/>
  <c r="G678" i="2"/>
  <c r="M677" i="2"/>
  <c r="F677" i="2"/>
  <c r="M676" i="2"/>
  <c r="G676" i="2"/>
  <c r="M675" i="2"/>
  <c r="F675" i="2"/>
  <c r="M674" i="2"/>
  <c r="F674" i="2"/>
  <c r="M673" i="2"/>
  <c r="F673" i="2"/>
  <c r="M672" i="2"/>
  <c r="G672" i="2"/>
  <c r="M671" i="2"/>
  <c r="F671" i="2"/>
  <c r="M670" i="2"/>
  <c r="G670" i="2"/>
  <c r="M669" i="2"/>
  <c r="F669" i="2"/>
  <c r="M668" i="2"/>
  <c r="F668" i="2"/>
  <c r="M667" i="2"/>
  <c r="G667" i="2"/>
  <c r="M666" i="2"/>
  <c r="F666" i="2"/>
  <c r="M665" i="2"/>
  <c r="F665" i="2"/>
  <c r="M664" i="2"/>
  <c r="F664" i="2"/>
  <c r="M663" i="2"/>
  <c r="F663" i="2"/>
  <c r="M662" i="2"/>
  <c r="G662" i="2"/>
  <c r="F662" i="2"/>
  <c r="M661" i="2"/>
  <c r="F661" i="2"/>
  <c r="M660" i="2"/>
  <c r="G660" i="2"/>
  <c r="M659" i="2"/>
  <c r="F659" i="2"/>
  <c r="M658" i="2"/>
  <c r="F658" i="2"/>
  <c r="M657" i="2"/>
  <c r="F657" i="2"/>
  <c r="M656" i="2"/>
  <c r="G656" i="2"/>
  <c r="F656" i="2"/>
  <c r="M655" i="2"/>
  <c r="F655" i="2"/>
  <c r="M654" i="2"/>
  <c r="F654" i="2"/>
  <c r="M653" i="2"/>
  <c r="F653" i="2"/>
  <c r="M652" i="2"/>
  <c r="F652" i="2"/>
  <c r="M651" i="2"/>
  <c r="F651" i="2"/>
  <c r="M650" i="2"/>
  <c r="G650" i="2"/>
  <c r="M649" i="2"/>
  <c r="F649" i="2"/>
  <c r="M648" i="2"/>
  <c r="F648" i="2"/>
  <c r="M647" i="2"/>
  <c r="G647" i="2"/>
  <c r="G646" i="2"/>
  <c r="F641" i="2"/>
  <c r="F640" i="2"/>
  <c r="L637" i="2"/>
  <c r="F637" i="2"/>
  <c r="J631" i="2"/>
  <c r="L631" i="2" s="1"/>
  <c r="G610" i="2" s="1"/>
  <c r="N627" i="2"/>
  <c r="M627" i="2"/>
  <c r="L627" i="2"/>
  <c r="K627" i="2"/>
  <c r="J627" i="2"/>
  <c r="I627" i="2"/>
  <c r="H627" i="2"/>
  <c r="G627" i="2"/>
  <c r="F627" i="2"/>
  <c r="E627" i="2"/>
  <c r="D627" i="2"/>
  <c r="B627" i="2"/>
  <c r="AW626" i="2"/>
  <c r="AW627" i="2" s="1"/>
  <c r="AV626" i="2"/>
  <c r="AV627" i="2" s="1"/>
  <c r="AU626" i="2"/>
  <c r="AU627" i="2" s="1"/>
  <c r="AT626" i="2"/>
  <c r="AT627" i="2" s="1"/>
  <c r="AR626" i="2"/>
  <c r="AR627" i="2" s="1"/>
  <c r="AQ626" i="2"/>
  <c r="AQ627" i="2" s="1"/>
  <c r="AP626" i="2"/>
  <c r="AP627" i="2" s="1"/>
  <c r="AO626" i="2"/>
  <c r="AO627" i="2" s="1"/>
  <c r="AM626" i="2"/>
  <c r="AM627" i="2" s="1"/>
  <c r="AL626" i="2"/>
  <c r="AL627" i="2" s="1"/>
  <c r="AK626" i="2"/>
  <c r="AK627" i="2" s="1"/>
  <c r="AJ626" i="2"/>
  <c r="AJ627" i="2" s="1"/>
  <c r="AI626" i="2"/>
  <c r="AI627" i="2" s="1"/>
  <c r="AH626" i="2"/>
  <c r="AH627" i="2" s="1"/>
  <c r="AG626" i="2"/>
  <c r="AG627" i="2" s="1"/>
  <c r="AF626" i="2"/>
  <c r="AF627" i="2" s="1"/>
  <c r="AE626" i="2"/>
  <c r="AE627" i="2" s="1"/>
  <c r="AD626" i="2"/>
  <c r="AD627" i="2" s="1"/>
  <c r="AC626" i="2"/>
  <c r="AC627" i="2" s="1"/>
  <c r="AB626" i="2"/>
  <c r="AB627" i="2" s="1"/>
  <c r="AA626" i="2"/>
  <c r="AA627" i="2" s="1"/>
  <c r="Z626" i="2"/>
  <c r="Z627" i="2" s="1"/>
  <c r="Y626" i="2"/>
  <c r="Y627" i="2" s="1"/>
  <c r="X626" i="2"/>
  <c r="X627" i="2" s="1"/>
  <c r="W626" i="2"/>
  <c r="W627" i="2" s="1"/>
  <c r="V626" i="2"/>
  <c r="V627" i="2" s="1"/>
  <c r="U626" i="2"/>
  <c r="U627" i="2" s="1"/>
  <c r="T626" i="2"/>
  <c r="T627" i="2" s="1"/>
  <c r="S626" i="2"/>
  <c r="S627" i="2" s="1"/>
  <c r="R626" i="2"/>
  <c r="R627" i="2" s="1"/>
  <c r="Q626" i="2"/>
  <c r="Q627" i="2" s="1"/>
  <c r="P626" i="2"/>
  <c r="P627" i="2" s="1"/>
  <c r="O626" i="2"/>
  <c r="O627" i="2" s="1"/>
  <c r="C626" i="2"/>
  <c r="C627" i="2" s="1"/>
  <c r="BA624" i="2"/>
  <c r="AZ624" i="2"/>
  <c r="AY624" i="2"/>
  <c r="AX624" i="2"/>
  <c r="AS624" i="2"/>
  <c r="AN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J621" i="2"/>
  <c r="L621" i="2" s="1"/>
  <c r="G608" i="2" s="1"/>
  <c r="N615" i="2"/>
  <c r="M615" i="2"/>
  <c r="K615" i="2"/>
  <c r="J615" i="2"/>
  <c r="I615" i="2"/>
  <c r="H615" i="2"/>
  <c r="G615" i="2"/>
  <c r="F615" i="2"/>
  <c r="D615" i="2"/>
  <c r="C615" i="2"/>
  <c r="B615" i="2"/>
  <c r="M614" i="2"/>
  <c r="L614" i="2"/>
  <c r="I614" i="2"/>
  <c r="E614" i="2"/>
  <c r="E613" i="2"/>
  <c r="J618" i="2" s="1"/>
  <c r="L618" i="2" s="1"/>
  <c r="G605" i="2" s="1"/>
  <c r="AW601" i="2"/>
  <c r="AV601" i="2"/>
  <c r="AU601" i="2"/>
  <c r="AT601" i="2"/>
  <c r="AR601" i="2"/>
  <c r="AQ601" i="2"/>
  <c r="AP601" i="2"/>
  <c r="AO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AW600" i="2"/>
  <c r="AV600" i="2"/>
  <c r="AU600" i="2"/>
  <c r="AT600" i="2"/>
  <c r="AR600" i="2"/>
  <c r="AQ600" i="2"/>
  <c r="AP600" i="2"/>
  <c r="AO600" i="2"/>
  <c r="J600" i="2"/>
  <c r="I600" i="2"/>
  <c r="B600" i="2"/>
  <c r="A600" i="2"/>
  <c r="AW599" i="2"/>
  <c r="AV599" i="2"/>
  <c r="AU599" i="2"/>
  <c r="AT599" i="2"/>
  <c r="AR599" i="2"/>
  <c r="AQ599" i="2"/>
  <c r="AP599" i="2"/>
  <c r="AO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Q599" i="2"/>
  <c r="P599" i="2"/>
  <c r="O599" i="2"/>
  <c r="A599" i="2"/>
  <c r="AW598" i="2"/>
  <c r="AW612" i="2" s="1"/>
  <c r="AW624" i="2" s="1"/>
  <c r="AV598" i="2"/>
  <c r="AV612" i="2" s="1"/>
  <c r="AV624" i="2" s="1"/>
  <c r="AU598" i="2"/>
  <c r="AU612" i="2" s="1"/>
  <c r="AU624" i="2" s="1"/>
  <c r="AT598" i="2"/>
  <c r="AT612" i="2" s="1"/>
  <c r="AT624" i="2" s="1"/>
  <c r="AR598" i="2"/>
  <c r="AR612" i="2" s="1"/>
  <c r="AR624" i="2" s="1"/>
  <c r="AQ598" i="2"/>
  <c r="AQ612" i="2" s="1"/>
  <c r="AQ624" i="2" s="1"/>
  <c r="AP598" i="2"/>
  <c r="AP612" i="2" s="1"/>
  <c r="AP624" i="2" s="1"/>
  <c r="AO598" i="2"/>
  <c r="AO612" i="2" s="1"/>
  <c r="AO624" i="2" s="1"/>
  <c r="AM598" i="2"/>
  <c r="AM612" i="2" s="1"/>
  <c r="AM624" i="2" s="1"/>
  <c r="AL598" i="2"/>
  <c r="AL612" i="2" s="1"/>
  <c r="AL624" i="2" s="1"/>
  <c r="AK598" i="2"/>
  <c r="AK612" i="2" s="1"/>
  <c r="AK624" i="2" s="1"/>
  <c r="AJ598" i="2"/>
  <c r="AJ612" i="2" s="1"/>
  <c r="AJ624" i="2" s="1"/>
  <c r="AI598" i="2"/>
  <c r="AI612" i="2" s="1"/>
  <c r="AI624" i="2" s="1"/>
  <c r="AH598" i="2"/>
  <c r="AH612" i="2" s="1"/>
  <c r="AH624" i="2" s="1"/>
  <c r="AG598" i="2"/>
  <c r="AG612" i="2" s="1"/>
  <c r="AG624" i="2" s="1"/>
  <c r="AF598" i="2"/>
  <c r="AF612" i="2" s="1"/>
  <c r="AF624" i="2" s="1"/>
  <c r="AE598" i="2"/>
  <c r="AE612" i="2" s="1"/>
  <c r="AE624" i="2" s="1"/>
  <c r="AD598" i="2"/>
  <c r="AD612" i="2" s="1"/>
  <c r="AD624" i="2" s="1"/>
  <c r="AC598" i="2"/>
  <c r="AC612" i="2" s="1"/>
  <c r="AC624" i="2" s="1"/>
  <c r="AB598" i="2"/>
  <c r="AB612" i="2" s="1"/>
  <c r="AB624" i="2" s="1"/>
  <c r="AA598" i="2"/>
  <c r="AA612" i="2" s="1"/>
  <c r="AA624" i="2" s="1"/>
  <c r="Z598" i="2"/>
  <c r="Z612" i="2" s="1"/>
  <c r="Z624" i="2" s="1"/>
  <c r="Y598" i="2"/>
  <c r="Y612" i="2" s="1"/>
  <c r="Y624" i="2" s="1"/>
  <c r="X598" i="2"/>
  <c r="X612" i="2" s="1"/>
  <c r="X624" i="2" s="1"/>
  <c r="W598" i="2"/>
  <c r="W612" i="2" s="1"/>
  <c r="W624" i="2" s="1"/>
  <c r="V598" i="2"/>
  <c r="V612" i="2" s="1"/>
  <c r="V624" i="2" s="1"/>
  <c r="U598" i="2"/>
  <c r="U612" i="2" s="1"/>
  <c r="U624" i="2" s="1"/>
  <c r="T598" i="2"/>
  <c r="T612" i="2" s="1"/>
  <c r="T624" i="2" s="1"/>
  <c r="S598" i="2"/>
  <c r="S612" i="2" s="1"/>
  <c r="S624" i="2" s="1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W595" i="2"/>
  <c r="AV595" i="2"/>
  <c r="AU595" i="2"/>
  <c r="AT595" i="2"/>
  <c r="AR595" i="2"/>
  <c r="AQ595" i="2"/>
  <c r="AP595" i="2"/>
  <c r="AO595" i="2"/>
  <c r="K593" i="2"/>
  <c r="K600" i="2" s="1"/>
  <c r="C593" i="2"/>
  <c r="N592" i="2"/>
  <c r="M592" i="2"/>
  <c r="L592" i="2"/>
  <c r="L599" i="2" s="1"/>
  <c r="K592" i="2"/>
  <c r="J592" i="2"/>
  <c r="J599" i="2" s="1"/>
  <c r="I592" i="2"/>
  <c r="H592" i="2"/>
  <c r="H599" i="2" s="1"/>
  <c r="G592" i="2"/>
  <c r="G599" i="2" s="1"/>
  <c r="F592" i="2"/>
  <c r="F599" i="2" s="1"/>
  <c r="E592" i="2"/>
  <c r="D592" i="2"/>
  <c r="D599" i="2" s="1"/>
  <c r="C592" i="2"/>
  <c r="C599" i="2" s="1"/>
  <c r="B592" i="2"/>
  <c r="D588" i="2"/>
  <c r="E588" i="2" s="1"/>
  <c r="D579" i="2"/>
  <c r="E579" i="2" s="1"/>
  <c r="D570" i="2"/>
  <c r="E570" i="2" s="1"/>
  <c r="E556" i="2"/>
  <c r="E555" i="2"/>
  <c r="E545" i="2"/>
  <c r="E544" i="2"/>
  <c r="D533" i="2"/>
  <c r="E533" i="2" s="1"/>
  <c r="G518" i="2"/>
  <c r="G553" i="2" s="1"/>
  <c r="F518" i="2"/>
  <c r="F553" i="2" s="1"/>
  <c r="E518" i="2"/>
  <c r="E553" i="2" s="1"/>
  <c r="E584" i="2" s="1"/>
  <c r="E585" i="2" s="1"/>
  <c r="D518" i="2"/>
  <c r="D553" i="2" s="1"/>
  <c r="D554" i="2" s="1"/>
  <c r="C518" i="2"/>
  <c r="C553" i="2" s="1"/>
  <c r="C554" i="2" s="1"/>
  <c r="B518" i="2"/>
  <c r="B553" i="2" s="1"/>
  <c r="G517" i="2"/>
  <c r="F517" i="2"/>
  <c r="E517" i="2"/>
  <c r="D517" i="2"/>
  <c r="G516" i="2"/>
  <c r="F516" i="2"/>
  <c r="E516" i="2"/>
  <c r="D516" i="2"/>
  <c r="G515" i="2"/>
  <c r="F515" i="2"/>
  <c r="E515" i="2"/>
  <c r="D515" i="2"/>
  <c r="A513" i="2"/>
  <c r="A547" i="2" s="1"/>
  <c r="A580" i="2" s="1"/>
  <c r="G510" i="2"/>
  <c r="G542" i="2" s="1"/>
  <c r="F510" i="2"/>
  <c r="F542" i="2" s="1"/>
  <c r="E510" i="2"/>
  <c r="E542" i="2" s="1"/>
  <c r="D510" i="2"/>
  <c r="D542" i="2" s="1"/>
  <c r="C510" i="2"/>
  <c r="C542" i="2" s="1"/>
  <c r="C575" i="2" s="1"/>
  <c r="C576" i="2" s="1"/>
  <c r="B510" i="2"/>
  <c r="B542" i="2" s="1"/>
  <c r="B543" i="2" s="1"/>
  <c r="D546" i="2" s="1"/>
  <c r="E546" i="2" s="1"/>
  <c r="G509" i="2"/>
  <c r="F509" i="2"/>
  <c r="D509" i="2"/>
  <c r="C509" i="2"/>
  <c r="B509" i="2"/>
  <c r="G508" i="2"/>
  <c r="F508" i="2"/>
  <c r="E508" i="2"/>
  <c r="D508" i="2"/>
  <c r="C508" i="2"/>
  <c r="B508" i="2"/>
  <c r="G507" i="2"/>
  <c r="F507" i="2"/>
  <c r="E507" i="2"/>
  <c r="D507" i="2"/>
  <c r="C507" i="2"/>
  <c r="B507" i="2"/>
  <c r="A505" i="2"/>
  <c r="A536" i="2" s="1"/>
  <c r="A571" i="2" s="1"/>
  <c r="G502" i="2"/>
  <c r="G531" i="2" s="1"/>
  <c r="G566" i="2" s="1"/>
  <c r="G567" i="2" s="1"/>
  <c r="F502" i="2"/>
  <c r="F531" i="2" s="1"/>
  <c r="E502" i="2"/>
  <c r="E531" i="2" s="1"/>
  <c r="D502" i="2"/>
  <c r="D531" i="2" s="1"/>
  <c r="D532" i="2" s="1"/>
  <c r="C502" i="2"/>
  <c r="C531" i="2" s="1"/>
  <c r="B502" i="2"/>
  <c r="B531" i="2" s="1"/>
  <c r="B532" i="2" s="1"/>
  <c r="G501" i="2"/>
  <c r="F501" i="2"/>
  <c r="E501" i="2"/>
  <c r="D501" i="2"/>
  <c r="C501" i="2"/>
  <c r="B501" i="2"/>
  <c r="G500" i="2"/>
  <c r="F500" i="2"/>
  <c r="E500" i="2"/>
  <c r="D500" i="2"/>
  <c r="C500" i="2"/>
  <c r="B500" i="2"/>
  <c r="G499" i="2"/>
  <c r="F499" i="2"/>
  <c r="E499" i="2"/>
  <c r="D499" i="2"/>
  <c r="C499" i="2"/>
  <c r="B499" i="2"/>
  <c r="G498" i="2"/>
  <c r="G527" i="2" s="1"/>
  <c r="F498" i="2"/>
  <c r="F527" i="2" s="1"/>
  <c r="F563" i="2" s="1"/>
  <c r="F572" i="2" s="1"/>
  <c r="F581" i="2" s="1"/>
  <c r="E498" i="2"/>
  <c r="E527" i="2" s="1"/>
  <c r="D498" i="2"/>
  <c r="D527" i="2" s="1"/>
  <c r="D563" i="2" s="1"/>
  <c r="D572" i="2" s="1"/>
  <c r="D581" i="2" s="1"/>
  <c r="C498" i="2"/>
  <c r="C527" i="2" s="1"/>
  <c r="B498" i="2"/>
  <c r="B527" i="2" s="1"/>
  <c r="B563" i="2" s="1"/>
  <c r="B572" i="2" s="1"/>
  <c r="B581" i="2" s="1"/>
  <c r="A497" i="2"/>
  <c r="A525" i="2" s="1"/>
  <c r="A562" i="2" s="1"/>
  <c r="G492" i="2"/>
  <c r="F492" i="2"/>
  <c r="E492" i="2"/>
  <c r="D492" i="2"/>
  <c r="C490" i="2"/>
  <c r="C517" i="2" s="1"/>
  <c r="B490" i="2"/>
  <c r="B517" i="2" s="1"/>
  <c r="C489" i="2"/>
  <c r="C516" i="2" s="1"/>
  <c r="B489" i="2"/>
  <c r="B516" i="2" s="1"/>
  <c r="C488" i="2"/>
  <c r="C515" i="2" s="1"/>
  <c r="B488" i="2"/>
  <c r="B515" i="2" s="1"/>
  <c r="G484" i="2"/>
  <c r="F484" i="2"/>
  <c r="D484" i="2"/>
  <c r="C484" i="2"/>
  <c r="B484" i="2"/>
  <c r="E482" i="2"/>
  <c r="E484" i="2" s="1"/>
  <c r="G479" i="2"/>
  <c r="G487" i="2" s="1"/>
  <c r="G514" i="2" s="1"/>
  <c r="G549" i="2" s="1"/>
  <c r="F479" i="2"/>
  <c r="F506" i="2" s="1"/>
  <c r="E479" i="2"/>
  <c r="E506" i="2" s="1"/>
  <c r="D479" i="2"/>
  <c r="D506" i="2" s="1"/>
  <c r="C479" i="2"/>
  <c r="B479" i="2"/>
  <c r="B506" i="2" s="1"/>
  <c r="G476" i="2"/>
  <c r="F476" i="2"/>
  <c r="E476" i="2"/>
  <c r="D476" i="2"/>
  <c r="C476" i="2"/>
  <c r="B476" i="2"/>
  <c r="E459" i="2"/>
  <c r="E443" i="2"/>
  <c r="J441" i="2"/>
  <c r="I441" i="2"/>
  <c r="H441" i="2"/>
  <c r="G441" i="2"/>
  <c r="F441" i="2"/>
  <c r="E441" i="2"/>
  <c r="D441" i="2"/>
  <c r="C441" i="2"/>
  <c r="B441" i="2"/>
  <c r="R440" i="2"/>
  <c r="M440" i="2"/>
  <c r="M441" i="2" s="1"/>
  <c r="L440" i="2"/>
  <c r="L441" i="2" s="1"/>
  <c r="K440" i="2"/>
  <c r="K441" i="2" s="1"/>
  <c r="E432" i="2"/>
  <c r="H430" i="2"/>
  <c r="G430" i="2"/>
  <c r="F430" i="2"/>
  <c r="E430" i="2"/>
  <c r="D430" i="2"/>
  <c r="C430" i="2"/>
  <c r="B430" i="2"/>
  <c r="R429" i="2"/>
  <c r="M429" i="2"/>
  <c r="M430" i="2" s="1"/>
  <c r="L429" i="2"/>
  <c r="L430" i="2" s="1"/>
  <c r="K429" i="2"/>
  <c r="K430" i="2" s="1"/>
  <c r="J429" i="2"/>
  <c r="J430" i="2" s="1"/>
  <c r="I429" i="2"/>
  <c r="I430" i="2" s="1"/>
  <c r="E421" i="2"/>
  <c r="H419" i="2"/>
  <c r="G419" i="2"/>
  <c r="F419" i="2"/>
  <c r="E419" i="2"/>
  <c r="D419" i="2"/>
  <c r="C419" i="2"/>
  <c r="B419" i="2"/>
  <c r="R418" i="2"/>
  <c r="M418" i="2"/>
  <c r="M419" i="2" s="1"/>
  <c r="L418" i="2"/>
  <c r="L419" i="2" s="1"/>
  <c r="K418" i="2"/>
  <c r="K419" i="2" s="1"/>
  <c r="J418" i="2"/>
  <c r="J419" i="2" s="1"/>
  <c r="I418" i="2"/>
  <c r="I419" i="2" s="1"/>
  <c r="E412" i="2"/>
  <c r="E410" i="2"/>
  <c r="R406" i="2"/>
  <c r="Q398" i="2"/>
  <c r="P398" i="2"/>
  <c r="O398" i="2"/>
  <c r="N398" i="2"/>
  <c r="M398" i="2"/>
  <c r="M406" i="2" s="1"/>
  <c r="L398" i="2"/>
  <c r="L406" i="2" s="1"/>
  <c r="K398" i="2"/>
  <c r="K406" i="2" s="1"/>
  <c r="J398" i="2"/>
  <c r="J406" i="2" s="1"/>
  <c r="I398" i="2"/>
  <c r="I406" i="2" s="1"/>
  <c r="H398" i="2"/>
  <c r="H406" i="2" s="1"/>
  <c r="G398" i="2"/>
  <c r="G406" i="2" s="1"/>
  <c r="F398" i="2"/>
  <c r="F406" i="2" s="1"/>
  <c r="E398" i="2"/>
  <c r="E406" i="2" s="1"/>
  <c r="D398" i="2"/>
  <c r="D406" i="2" s="1"/>
  <c r="C398" i="2"/>
  <c r="C406" i="2" s="1"/>
  <c r="B398" i="2"/>
  <c r="B406" i="2" s="1"/>
  <c r="J397" i="2"/>
  <c r="B397" i="2"/>
  <c r="M396" i="2"/>
  <c r="L396" i="2"/>
  <c r="K396" i="2"/>
  <c r="J396" i="2"/>
  <c r="G396" i="2"/>
  <c r="E396" i="2"/>
  <c r="C396" i="2"/>
  <c r="B396" i="2"/>
  <c r="Q395" i="2"/>
  <c r="O395" i="2"/>
  <c r="N395" i="2"/>
  <c r="M395" i="2"/>
  <c r="K395" i="2"/>
  <c r="J395" i="2"/>
  <c r="I395" i="2"/>
  <c r="G395" i="2"/>
  <c r="F395" i="2"/>
  <c r="E395" i="2"/>
  <c r="D395" i="2"/>
  <c r="C395" i="2"/>
  <c r="B395" i="2"/>
  <c r="J389" i="2"/>
  <c r="B389" i="2"/>
  <c r="K387" i="2"/>
  <c r="K397" i="2" s="1"/>
  <c r="C387" i="2"/>
  <c r="D387" i="2" s="1"/>
  <c r="P386" i="2"/>
  <c r="P396" i="2" s="1"/>
  <c r="N386" i="2"/>
  <c r="O386" i="2" s="1"/>
  <c r="H386" i="2"/>
  <c r="H396" i="2" s="1"/>
  <c r="F386" i="2"/>
  <c r="F396" i="2" s="1"/>
  <c r="D386" i="2"/>
  <c r="D396" i="2" s="1"/>
  <c r="L385" i="2"/>
  <c r="L395" i="2" s="1"/>
  <c r="H385" i="2"/>
  <c r="H395" i="2" s="1"/>
  <c r="R379" i="2"/>
  <c r="P379" i="2"/>
  <c r="N379" i="2"/>
  <c r="L379" i="2"/>
  <c r="J379" i="2"/>
  <c r="H379" i="2"/>
  <c r="F379" i="2"/>
  <c r="D379" i="2"/>
  <c r="B379" i="2"/>
  <c r="R378" i="2"/>
  <c r="L378" i="2"/>
  <c r="J378" i="2"/>
  <c r="H378" i="2"/>
  <c r="F378" i="2"/>
  <c r="D378" i="2"/>
  <c r="B378" i="2"/>
  <c r="R377" i="2"/>
  <c r="D377" i="2"/>
  <c r="B377" i="2"/>
  <c r="R376" i="2"/>
  <c r="P376" i="2"/>
  <c r="F376" i="2"/>
  <c r="D376" i="2"/>
  <c r="B376" i="2"/>
  <c r="R375" i="2"/>
  <c r="P375" i="2"/>
  <c r="F375" i="2"/>
  <c r="D375" i="2"/>
  <c r="B375" i="2"/>
  <c r="R374" i="2"/>
  <c r="P374" i="2"/>
  <c r="N374" i="2"/>
  <c r="L374" i="2"/>
  <c r="J374" i="2"/>
  <c r="E369" i="2"/>
  <c r="E368" i="2"/>
  <c r="R363" i="2"/>
  <c r="J363" i="2"/>
  <c r="H363" i="2"/>
  <c r="P362" i="2"/>
  <c r="N362" i="2"/>
  <c r="F362" i="2"/>
  <c r="B362" i="2"/>
  <c r="P361" i="2"/>
  <c r="P363" i="2" s="1"/>
  <c r="N361" i="2"/>
  <c r="N363" i="2" s="1"/>
  <c r="N366" i="2" s="1"/>
  <c r="L361" i="2"/>
  <c r="L363" i="2" s="1"/>
  <c r="L366" i="2" s="1"/>
  <c r="F361" i="2"/>
  <c r="D361" i="2"/>
  <c r="D363" i="2" s="1"/>
  <c r="B361" i="2"/>
  <c r="R354" i="2"/>
  <c r="R364" i="2" s="1"/>
  <c r="P354" i="2"/>
  <c r="P364" i="2" s="1"/>
  <c r="N354" i="2"/>
  <c r="L354" i="2"/>
  <c r="J354" i="2"/>
  <c r="J364" i="2" s="1"/>
  <c r="H354" i="2"/>
  <c r="H364" i="2" s="1"/>
  <c r="F354" i="2"/>
  <c r="F364" i="2" s="1"/>
  <c r="D354" i="2"/>
  <c r="D364" i="2" s="1"/>
  <c r="B354" i="2"/>
  <c r="B364" i="2" s="1"/>
  <c r="N353" i="2"/>
  <c r="N378" i="2" s="1"/>
  <c r="R352" i="2"/>
  <c r="D352" i="2"/>
  <c r="B352" i="2"/>
  <c r="R351" i="2"/>
  <c r="P351" i="2"/>
  <c r="F351" i="2"/>
  <c r="D351" i="2"/>
  <c r="B351" i="2"/>
  <c r="R350" i="2"/>
  <c r="P350" i="2"/>
  <c r="F350" i="2"/>
  <c r="D350" i="2"/>
  <c r="B350" i="2"/>
  <c r="E343" i="2"/>
  <c r="B338" i="2"/>
  <c r="B337" i="2"/>
  <c r="R333" i="2"/>
  <c r="P333" i="2"/>
  <c r="N333" i="2"/>
  <c r="L333" i="2"/>
  <c r="J333" i="2"/>
  <c r="H333" i="2"/>
  <c r="F333" i="2"/>
  <c r="D333" i="2"/>
  <c r="B333" i="2"/>
  <c r="R332" i="2"/>
  <c r="D332" i="2"/>
  <c r="B332" i="2"/>
  <c r="R331" i="2"/>
  <c r="P331" i="2"/>
  <c r="F331" i="2"/>
  <c r="D331" i="2"/>
  <c r="B331" i="2"/>
  <c r="R330" i="2"/>
  <c r="P330" i="2"/>
  <c r="F330" i="2"/>
  <c r="D330" i="2"/>
  <c r="B330" i="2"/>
  <c r="R323" i="2"/>
  <c r="P323" i="2"/>
  <c r="N323" i="2"/>
  <c r="L323" i="2"/>
  <c r="J323" i="2"/>
  <c r="H323" i="2"/>
  <c r="F323" i="2"/>
  <c r="D323" i="2"/>
  <c r="B323" i="2"/>
  <c r="S322" i="2"/>
  <c r="R322" i="2"/>
  <c r="D322" i="2"/>
  <c r="B322" i="2"/>
  <c r="T321" i="2"/>
  <c r="T324" i="2" s="1"/>
  <c r="S321" i="2"/>
  <c r="R321" i="2"/>
  <c r="P321" i="2"/>
  <c r="F321" i="2"/>
  <c r="D321" i="2"/>
  <c r="B321" i="2"/>
  <c r="R320" i="2"/>
  <c r="P320" i="2"/>
  <c r="F320" i="2"/>
  <c r="D320" i="2"/>
  <c r="B320" i="2"/>
  <c r="Q316" i="2"/>
  <c r="E316" i="2"/>
  <c r="C316" i="2"/>
  <c r="B316" i="2"/>
  <c r="H313" i="2"/>
  <c r="U312" i="2" s="1"/>
  <c r="B313" i="2"/>
  <c r="T316" i="2" s="1"/>
  <c r="V312" i="2"/>
  <c r="Q312" i="2"/>
  <c r="E312" i="2"/>
  <c r="C312" i="2"/>
  <c r="B312" i="2"/>
  <c r="H309" i="2"/>
  <c r="B309" i="2"/>
  <c r="E305" i="2" s="1"/>
  <c r="D316" i="2"/>
  <c r="P322" i="2"/>
  <c r="N332" i="2"/>
  <c r="L377" i="2"/>
  <c r="J322" i="2"/>
  <c r="H322" i="2"/>
  <c r="F322" i="2"/>
  <c r="AK600" i="5" l="1"/>
  <c r="AK602" i="5" s="1"/>
  <c r="AK595" i="5"/>
  <c r="AL593" i="5"/>
  <c r="M33" i="2"/>
  <c r="O13" i="2"/>
  <c r="O16" i="2" s="1"/>
  <c r="O12" i="2"/>
  <c r="P12" i="2"/>
  <c r="P11" i="2"/>
  <c r="H698" i="2"/>
  <c r="I258" i="2"/>
  <c r="J251" i="2"/>
  <c r="H259" i="2"/>
  <c r="I257" i="2"/>
  <c r="I252" i="2"/>
  <c r="J250" i="2"/>
  <c r="T236" i="2"/>
  <c r="U235" i="2"/>
  <c r="U234" i="2"/>
  <c r="U229" i="2"/>
  <c r="BE188" i="2"/>
  <c r="BE190" i="2" s="1"/>
  <c r="BE183" i="2"/>
  <c r="BF181" i="2"/>
  <c r="K905" i="2"/>
  <c r="AK183" i="2"/>
  <c r="AK189" i="2"/>
  <c r="AK190" i="2" s="1"/>
  <c r="AL182" i="2"/>
  <c r="K213" i="2"/>
  <c r="Q212" i="2"/>
  <c r="R205" i="2"/>
  <c r="P213" i="2"/>
  <c r="Q206" i="2"/>
  <c r="Q211" i="2"/>
  <c r="L206" i="2"/>
  <c r="L211" i="2"/>
  <c r="L213" i="2" s="1"/>
  <c r="BG188" i="2"/>
  <c r="BG189" i="2"/>
  <c r="BG183" i="2"/>
  <c r="AS188" i="2"/>
  <c r="AT181" i="2"/>
  <c r="G190" i="2"/>
  <c r="H183" i="2"/>
  <c r="H188" i="2"/>
  <c r="I181" i="2"/>
  <c r="I182" i="2"/>
  <c r="H189" i="2"/>
  <c r="D355" i="2"/>
  <c r="I165" i="2"/>
  <c r="I160" i="2"/>
  <c r="I166" i="2"/>
  <c r="H167" i="2"/>
  <c r="BF136" i="2"/>
  <c r="BF137" i="2" s="1"/>
  <c r="BE143" i="2"/>
  <c r="BE144" i="2" s="1"/>
  <c r="K108" i="2"/>
  <c r="K116" i="2" s="1"/>
  <c r="K135" i="2"/>
  <c r="K142" i="2" s="1"/>
  <c r="K144" i="2" s="1"/>
  <c r="J137" i="2"/>
  <c r="M136" i="2"/>
  <c r="M143" i="2" s="1"/>
  <c r="T135" i="2"/>
  <c r="T142" i="2" s="1"/>
  <c r="I45" i="2"/>
  <c r="J309" i="2"/>
  <c r="I693" i="2"/>
  <c r="I697" i="2" s="1"/>
  <c r="P862" i="2"/>
  <c r="X865" i="2"/>
  <c r="F363" i="2"/>
  <c r="F366" i="2" s="1"/>
  <c r="B363" i="2"/>
  <c r="B366" i="2" s="1"/>
  <c r="D519" i="2"/>
  <c r="E851" i="2"/>
  <c r="E852" i="2" s="1"/>
  <c r="B340" i="2"/>
  <c r="F336" i="2" s="1"/>
  <c r="J877" i="2"/>
  <c r="P324" i="2"/>
  <c r="F316" i="2"/>
  <c r="N396" i="2"/>
  <c r="AP602" i="2"/>
  <c r="AU602" i="2"/>
  <c r="AR602" i="2"/>
  <c r="M893" i="2"/>
  <c r="N868" i="2" s="1"/>
  <c r="S324" i="2"/>
  <c r="F377" i="2"/>
  <c r="F380" i="2" s="1"/>
  <c r="C389" i="2"/>
  <c r="F521" i="2"/>
  <c r="H725" i="2"/>
  <c r="I726" i="2" s="1"/>
  <c r="J872" i="2"/>
  <c r="J879" i="2"/>
  <c r="P353" i="2"/>
  <c r="P378" i="2" s="1"/>
  <c r="G750" i="2"/>
  <c r="G751" i="2" s="1"/>
  <c r="I861" i="2"/>
  <c r="S885" i="2"/>
  <c r="L322" i="2"/>
  <c r="D503" i="2"/>
  <c r="L593" i="2"/>
  <c r="L600" i="2" s="1"/>
  <c r="L602" i="2" s="1"/>
  <c r="F352" i="2"/>
  <c r="F355" i="2" s="1"/>
  <c r="K399" i="2"/>
  <c r="J399" i="2"/>
  <c r="D422" i="2"/>
  <c r="E422" i="2" s="1"/>
  <c r="D433" i="2"/>
  <c r="E433" i="2" s="1"/>
  <c r="J602" i="2"/>
  <c r="F633" i="2"/>
  <c r="D711" i="2"/>
  <c r="J874" i="2"/>
  <c r="J875" i="2"/>
  <c r="Q3" i="2"/>
  <c r="F470" i="2"/>
  <c r="F511" i="2"/>
  <c r="K595" i="2"/>
  <c r="AW602" i="2"/>
  <c r="D698" i="2"/>
  <c r="G757" i="2"/>
  <c r="G758" i="2" s="1"/>
  <c r="J870" i="2"/>
  <c r="F543" i="2"/>
  <c r="F575" i="2"/>
  <c r="F576" i="2" s="1"/>
  <c r="C538" i="2"/>
  <c r="C563" i="2"/>
  <c r="C572" i="2" s="1"/>
  <c r="C581" i="2" s="1"/>
  <c r="F324" i="2"/>
  <c r="U316" i="2"/>
  <c r="D511" i="2"/>
  <c r="K599" i="2"/>
  <c r="K602" i="2" s="1"/>
  <c r="F312" i="2"/>
  <c r="N322" i="2"/>
  <c r="B334" i="2"/>
  <c r="R334" i="2"/>
  <c r="F332" i="2"/>
  <c r="F334" i="2" s="1"/>
  <c r="B355" i="2"/>
  <c r="R355" i="2"/>
  <c r="N352" i="2"/>
  <c r="B380" i="2"/>
  <c r="R380" i="2"/>
  <c r="N377" i="2"/>
  <c r="D444" i="2"/>
  <c r="E444" i="2" s="1"/>
  <c r="E487" i="2"/>
  <c r="E514" i="2" s="1"/>
  <c r="E549" i="2" s="1"/>
  <c r="G506" i="2"/>
  <c r="E509" i="2"/>
  <c r="E511" i="2" s="1"/>
  <c r="G519" i="2"/>
  <c r="E554" i="2"/>
  <c r="J620" i="2"/>
  <c r="L620" i="2" s="1"/>
  <c r="G607" i="2" s="1"/>
  <c r="U708" i="2"/>
  <c r="U709" i="2" s="1"/>
  <c r="H733" i="2"/>
  <c r="I734" i="2" s="1"/>
  <c r="G743" i="2"/>
  <c r="E777" i="2"/>
  <c r="F851" i="2"/>
  <c r="F852" i="2" s="1"/>
  <c r="J873" i="2"/>
  <c r="J878" i="2"/>
  <c r="AQ602" i="2"/>
  <c r="B324" i="2"/>
  <c r="R324" i="2"/>
  <c r="D334" i="2"/>
  <c r="T331" i="2"/>
  <c r="T334" i="2" s="1"/>
  <c r="R366" i="2"/>
  <c r="D380" i="2"/>
  <c r="E503" i="2"/>
  <c r="B511" i="2"/>
  <c r="G679" i="2"/>
  <c r="G680" i="2" s="1"/>
  <c r="F644" i="2" s="1"/>
  <c r="M679" i="2"/>
  <c r="M680" i="2" s="1"/>
  <c r="B745" i="2"/>
  <c r="N740" i="2"/>
  <c r="I802" i="2"/>
  <c r="L780" i="2" s="1"/>
  <c r="L783" i="2" s="1"/>
  <c r="J871" i="2"/>
  <c r="AV602" i="2"/>
  <c r="P316" i="2"/>
  <c r="D324" i="2"/>
  <c r="B399" i="2"/>
  <c r="B503" i="2"/>
  <c r="F503" i="2"/>
  <c r="E519" i="2"/>
  <c r="C595" i="2"/>
  <c r="L769" i="2"/>
  <c r="B755" i="2" s="1"/>
  <c r="J869" i="2"/>
  <c r="J876" i="2"/>
  <c r="F889" i="2"/>
  <c r="G887" i="2" s="1"/>
  <c r="E3" i="2"/>
  <c r="I12" i="2"/>
  <c r="K3" i="2" s="1"/>
  <c r="G407" i="2"/>
  <c r="G449" i="2"/>
  <c r="G450" i="2" s="1"/>
  <c r="D366" i="2"/>
  <c r="P366" i="2"/>
  <c r="D397" i="2"/>
  <c r="D399" i="2" s="1"/>
  <c r="E387" i="2"/>
  <c r="D407" i="2"/>
  <c r="D449" i="2"/>
  <c r="D450" i="2" s="1"/>
  <c r="H449" i="2"/>
  <c r="H450" i="2" s="1"/>
  <c r="H407" i="2"/>
  <c r="L407" i="2"/>
  <c r="L449" i="2"/>
  <c r="L450" i="2" s="1"/>
  <c r="D442" i="2"/>
  <c r="E442" i="2" s="1"/>
  <c r="C407" i="2"/>
  <c r="C449" i="2"/>
  <c r="C450" i="2" s="1"/>
  <c r="K407" i="2"/>
  <c r="K449" i="2"/>
  <c r="K450" i="2" s="1"/>
  <c r="H366" i="2"/>
  <c r="E449" i="2"/>
  <c r="E450" i="2" s="1"/>
  <c r="E407" i="2"/>
  <c r="I449" i="2"/>
  <c r="I450" i="2" s="1"/>
  <c r="I407" i="2"/>
  <c r="M449" i="2"/>
  <c r="M450" i="2" s="1"/>
  <c r="M407" i="2"/>
  <c r="D431" i="2"/>
  <c r="E431" i="2" s="1"/>
  <c r="J366" i="2"/>
  <c r="O396" i="2"/>
  <c r="P385" i="2"/>
  <c r="B449" i="2"/>
  <c r="B450" i="2" s="1"/>
  <c r="B407" i="2"/>
  <c r="F449" i="2"/>
  <c r="F450" i="2" s="1"/>
  <c r="F407" i="2"/>
  <c r="J449" i="2"/>
  <c r="J450" i="2" s="1"/>
  <c r="J407" i="2"/>
  <c r="D420" i="2"/>
  <c r="E420" i="2" s="1"/>
  <c r="B492" i="2"/>
  <c r="F532" i="2"/>
  <c r="D534" i="2" s="1"/>
  <c r="E534" i="2" s="1"/>
  <c r="F522" i="2" s="1"/>
  <c r="F566" i="2"/>
  <c r="F567" i="2" s="1"/>
  <c r="G584" i="2"/>
  <c r="G585" i="2" s="1"/>
  <c r="G554" i="2"/>
  <c r="D575" i="2"/>
  <c r="D576" i="2" s="1"/>
  <c r="D543" i="2"/>
  <c r="F525" i="2"/>
  <c r="E560" i="2"/>
  <c r="B595" i="2"/>
  <c r="B599" i="2"/>
  <c r="B602" i="2" s="1"/>
  <c r="N599" i="2"/>
  <c r="J595" i="2"/>
  <c r="H332" i="2"/>
  <c r="P332" i="2"/>
  <c r="P334" i="2" s="1"/>
  <c r="H352" i="2"/>
  <c r="P352" i="2"/>
  <c r="H377" i="2"/>
  <c r="P377" i="2"/>
  <c r="I386" i="2"/>
  <c r="Q386" i="2"/>
  <c r="K389" i="2"/>
  <c r="F478" i="2"/>
  <c r="F487" i="2"/>
  <c r="F514" i="2" s="1"/>
  <c r="F549" i="2" s="1"/>
  <c r="G563" i="2"/>
  <c r="G572" i="2" s="1"/>
  <c r="G581" i="2" s="1"/>
  <c r="G538" i="2"/>
  <c r="C566" i="2"/>
  <c r="C567" i="2" s="1"/>
  <c r="C532" i="2"/>
  <c r="D535" i="2" s="1"/>
  <c r="E535" i="2" s="1"/>
  <c r="G543" i="2"/>
  <c r="G575" i="2"/>
  <c r="G576" i="2" s="1"/>
  <c r="B566" i="2"/>
  <c r="B567" i="2" s="1"/>
  <c r="J630" i="2"/>
  <c r="L630" i="2" s="1"/>
  <c r="G609" i="2" s="1"/>
  <c r="I826" i="2"/>
  <c r="L814" i="2" s="1"/>
  <c r="C584" i="2"/>
  <c r="C585" i="2" s="1"/>
  <c r="J352" i="2"/>
  <c r="J377" i="2"/>
  <c r="L387" i="2"/>
  <c r="D389" i="2"/>
  <c r="C397" i="2"/>
  <c r="C399" i="2" s="1"/>
  <c r="C506" i="2"/>
  <c r="C487" i="2"/>
  <c r="C514" i="2" s="1"/>
  <c r="C549" i="2" s="1"/>
  <c r="B487" i="2"/>
  <c r="B514" i="2" s="1"/>
  <c r="B549" i="2" s="1"/>
  <c r="B519" i="2"/>
  <c r="C519" i="2"/>
  <c r="G532" i="2"/>
  <c r="D538" i="2"/>
  <c r="C543" i="2"/>
  <c r="B711" i="2"/>
  <c r="G707" i="2"/>
  <c r="J332" i="2"/>
  <c r="D312" i="2"/>
  <c r="P312" i="2"/>
  <c r="T312" i="2"/>
  <c r="L332" i="2"/>
  <c r="L352" i="2"/>
  <c r="D487" i="2"/>
  <c r="D514" i="2" s="1"/>
  <c r="D549" i="2" s="1"/>
  <c r="E563" i="2"/>
  <c r="E572" i="2" s="1"/>
  <c r="E581" i="2" s="1"/>
  <c r="E538" i="2"/>
  <c r="C503" i="2"/>
  <c r="G503" i="2"/>
  <c r="E532" i="2"/>
  <c r="E566" i="2"/>
  <c r="E567" i="2" s="1"/>
  <c r="C511" i="2"/>
  <c r="G511" i="2"/>
  <c r="E543" i="2"/>
  <c r="E575" i="2"/>
  <c r="E576" i="2" s="1"/>
  <c r="B554" i="2"/>
  <c r="B584" i="2"/>
  <c r="B585" i="2" s="1"/>
  <c r="F554" i="2"/>
  <c r="D557" i="2" s="1"/>
  <c r="E557" i="2" s="1"/>
  <c r="F584" i="2"/>
  <c r="F585" i="2" s="1"/>
  <c r="E811" i="2"/>
  <c r="C492" i="2"/>
  <c r="F538" i="2"/>
  <c r="D566" i="2"/>
  <c r="D567" i="2" s="1"/>
  <c r="B575" i="2"/>
  <c r="B576" i="2" s="1"/>
  <c r="D584" i="2"/>
  <c r="D585" i="2" s="1"/>
  <c r="C600" i="2"/>
  <c r="C602" i="2" s="1"/>
  <c r="D593" i="2"/>
  <c r="J619" i="2"/>
  <c r="L619" i="2" s="1"/>
  <c r="G606" i="2" s="1"/>
  <c r="F679" i="2"/>
  <c r="F680" i="2" s="1"/>
  <c r="D704" i="2"/>
  <c r="I843" i="2"/>
  <c r="L836" i="2" s="1"/>
  <c r="B538" i="2"/>
  <c r="H697" i="2"/>
  <c r="F899" i="2"/>
  <c r="G897" i="2" s="1"/>
  <c r="M907" i="2"/>
  <c r="F519" i="2"/>
  <c r="E599" i="2"/>
  <c r="I599" i="2"/>
  <c r="I602" i="2" s="1"/>
  <c r="I595" i="2"/>
  <c r="M599" i="2"/>
  <c r="AO602" i="2"/>
  <c r="AT602" i="2"/>
  <c r="R698" i="2"/>
  <c r="M685" i="2" s="1"/>
  <c r="H704" i="2"/>
  <c r="H703" i="2"/>
  <c r="N742" i="2"/>
  <c r="E833" i="2"/>
  <c r="M904" i="2"/>
  <c r="I707" i="2"/>
  <c r="J712" i="2" s="1"/>
  <c r="AM593" i="5" l="1"/>
  <c r="AL600" i="5"/>
  <c r="AL602" i="5" s="1"/>
  <c r="AL595" i="5"/>
  <c r="U236" i="2"/>
  <c r="I259" i="2"/>
  <c r="J252" i="2"/>
  <c r="J257" i="2"/>
  <c r="K250" i="2"/>
  <c r="K251" i="2"/>
  <c r="J258" i="2"/>
  <c r="E854" i="2"/>
  <c r="V234" i="2"/>
  <c r="V229" i="2"/>
  <c r="V235" i="2"/>
  <c r="W228" i="2"/>
  <c r="BF183" i="2"/>
  <c r="BF188" i="2"/>
  <c r="BF190" i="2" s="1"/>
  <c r="AM182" i="2"/>
  <c r="AL189" i="2"/>
  <c r="AL190" i="2" s="1"/>
  <c r="AL183" i="2"/>
  <c r="L595" i="2"/>
  <c r="Q213" i="2"/>
  <c r="R211" i="2"/>
  <c r="R206" i="2"/>
  <c r="S205" i="2"/>
  <c r="R212" i="2"/>
  <c r="BG190" i="2"/>
  <c r="BH188" i="2"/>
  <c r="BI181" i="2"/>
  <c r="BH189" i="2"/>
  <c r="BI182" i="2"/>
  <c r="BH183" i="2"/>
  <c r="AT188" i="2"/>
  <c r="I188" i="2"/>
  <c r="I183" i="2"/>
  <c r="J181" i="2"/>
  <c r="I189" i="2"/>
  <c r="J182" i="2"/>
  <c r="H190" i="2"/>
  <c r="H350" i="2"/>
  <c r="H375" i="2"/>
  <c r="H330" i="2"/>
  <c r="H320" i="2"/>
  <c r="G316" i="2"/>
  <c r="G312" i="2"/>
  <c r="I167" i="2"/>
  <c r="J165" i="2"/>
  <c r="J160" i="2"/>
  <c r="J166" i="2"/>
  <c r="K159" i="2"/>
  <c r="BH136" i="2"/>
  <c r="BF143" i="2"/>
  <c r="BF144" i="2" s="1"/>
  <c r="L135" i="2"/>
  <c r="L142" i="2" s="1"/>
  <c r="L144" i="2" s="1"/>
  <c r="K137" i="2"/>
  <c r="BG137" i="2"/>
  <c r="BH135" i="2"/>
  <c r="BH142" i="2" s="1"/>
  <c r="N136" i="2"/>
  <c r="N143" i="2" s="1"/>
  <c r="P380" i="2"/>
  <c r="P863" i="2"/>
  <c r="P864" i="2" s="1"/>
  <c r="J880" i="2"/>
  <c r="J898" i="2"/>
  <c r="P355" i="2"/>
  <c r="F805" i="2"/>
  <c r="N787" i="2"/>
  <c r="R787" i="2" s="1"/>
  <c r="R788" i="2" s="1"/>
  <c r="N757" i="2"/>
  <c r="R757" i="2" s="1"/>
  <c r="R758" i="2" s="1"/>
  <c r="F643" i="2"/>
  <c r="I849" i="2"/>
  <c r="D865" i="2" s="1"/>
  <c r="M593" i="2"/>
  <c r="M595" i="2" s="1"/>
  <c r="F513" i="2"/>
  <c r="D409" i="2"/>
  <c r="E409" i="2" s="1"/>
  <c r="D452" i="2"/>
  <c r="E452" i="2" s="1"/>
  <c r="D370" i="2"/>
  <c r="E370" i="2" s="1"/>
  <c r="F771" i="2"/>
  <c r="D867" i="2" s="1"/>
  <c r="F523" i="2"/>
  <c r="N834" i="2"/>
  <c r="L839" i="2"/>
  <c r="L397" i="2"/>
  <c r="L399" i="2" s="1"/>
  <c r="M387" i="2"/>
  <c r="J711" i="2"/>
  <c r="D578" i="2"/>
  <c r="E578" i="2" s="1"/>
  <c r="F505" i="2"/>
  <c r="F497" i="2"/>
  <c r="D684" i="2"/>
  <c r="L389" i="2"/>
  <c r="D569" i="2"/>
  <c r="E569" i="2" s="1"/>
  <c r="I396" i="2"/>
  <c r="F486" i="2"/>
  <c r="E468" i="2" s="1"/>
  <c r="E389" i="2"/>
  <c r="E397" i="2"/>
  <c r="E399" i="2" s="1"/>
  <c r="F387" i="2"/>
  <c r="H712" i="2"/>
  <c r="H711" i="2"/>
  <c r="Q396" i="2"/>
  <c r="F827" i="2"/>
  <c r="E593" i="2"/>
  <c r="D600" i="2"/>
  <c r="D602" i="2" s="1"/>
  <c r="D595" i="2"/>
  <c r="L822" i="2"/>
  <c r="N813" i="2"/>
  <c r="L817" i="2"/>
  <c r="P395" i="2"/>
  <c r="D587" i="2"/>
  <c r="E587" i="2" s="1"/>
  <c r="D411" i="2"/>
  <c r="E411" i="2" s="1"/>
  <c r="AM600" i="5" l="1"/>
  <c r="AM602" i="5" s="1"/>
  <c r="F597" i="5" s="1"/>
  <c r="AM595" i="5"/>
  <c r="F590" i="5" s="1"/>
  <c r="J259" i="2"/>
  <c r="N790" i="2"/>
  <c r="L251" i="2"/>
  <c r="K258" i="2"/>
  <c r="L250" i="2"/>
  <c r="K252" i="2"/>
  <c r="K257" i="2"/>
  <c r="W234" i="2"/>
  <c r="W229" i="2"/>
  <c r="X235" i="2"/>
  <c r="W235" i="2"/>
  <c r="V236" i="2"/>
  <c r="R213" i="2"/>
  <c r="AM189" i="2"/>
  <c r="AM190" i="2" s="1"/>
  <c r="AN182" i="2"/>
  <c r="AM183" i="2"/>
  <c r="S212" i="2"/>
  <c r="T205" i="2"/>
  <c r="S206" i="2"/>
  <c r="S211" i="2"/>
  <c r="BH190" i="2"/>
  <c r="BJ181" i="2"/>
  <c r="BJ188" i="2" s="1"/>
  <c r="BI188" i="2"/>
  <c r="BI189" i="2"/>
  <c r="BJ182" i="2"/>
  <c r="BI183" i="2"/>
  <c r="J188" i="2"/>
  <c r="J183" i="2"/>
  <c r="K181" i="2"/>
  <c r="J189" i="2"/>
  <c r="K182" i="2"/>
  <c r="I190" i="2"/>
  <c r="H376" i="2"/>
  <c r="H380" i="2" s="1"/>
  <c r="H331" i="2"/>
  <c r="H334" i="2" s="1"/>
  <c r="H321" i="2"/>
  <c r="H324" i="2" s="1"/>
  <c r="H351" i="2"/>
  <c r="H355" i="2" s="1"/>
  <c r="H316" i="2"/>
  <c r="H312" i="2"/>
  <c r="I316" i="2"/>
  <c r="I312" i="2"/>
  <c r="K166" i="2"/>
  <c r="K165" i="2"/>
  <c r="K160" i="2"/>
  <c r="J167" i="2"/>
  <c r="BI136" i="2"/>
  <c r="BH143" i="2"/>
  <c r="BH144" i="2" s="1"/>
  <c r="M135" i="2"/>
  <c r="M142" i="2" s="1"/>
  <c r="M144" i="2" s="1"/>
  <c r="L137" i="2"/>
  <c r="BH137" i="2"/>
  <c r="BI135" i="2"/>
  <c r="BI142" i="2" s="1"/>
  <c r="O136" i="2"/>
  <c r="O143" i="2" s="1"/>
  <c r="N760" i="2"/>
  <c r="P756" i="2"/>
  <c r="P757" i="2" s="1"/>
  <c r="P758" i="2" s="1"/>
  <c r="K711" i="2"/>
  <c r="P786" i="2"/>
  <c r="P787" i="2" s="1"/>
  <c r="P788" i="2" s="1"/>
  <c r="M600" i="2"/>
  <c r="M602" i="2" s="1"/>
  <c r="N593" i="2"/>
  <c r="O593" i="2" s="1"/>
  <c r="M389" i="2"/>
  <c r="M397" i="2"/>
  <c r="M399" i="2" s="1"/>
  <c r="N387" i="2"/>
  <c r="D847" i="2"/>
  <c r="E847" i="2" s="1"/>
  <c r="D866" i="2"/>
  <c r="E865" i="2" s="1"/>
  <c r="L712" i="2"/>
  <c r="K712" i="2"/>
  <c r="K720" i="2" s="1"/>
  <c r="E559" i="2"/>
  <c r="F524" i="2"/>
  <c r="F389" i="2"/>
  <c r="G387" i="2"/>
  <c r="F397" i="2"/>
  <c r="F399" i="2" s="1"/>
  <c r="P833" i="2"/>
  <c r="P834" i="2" s="1"/>
  <c r="P835" i="2" s="1"/>
  <c r="P837" i="2" s="1"/>
  <c r="N837" i="2"/>
  <c r="R834" i="2"/>
  <c r="R835" i="2" s="1"/>
  <c r="R837" i="2" s="1"/>
  <c r="R316" i="2"/>
  <c r="R312" i="2"/>
  <c r="R813" i="2"/>
  <c r="R817" i="2" s="1"/>
  <c r="R819" i="2" s="1"/>
  <c r="N816" i="2"/>
  <c r="P812" i="2"/>
  <c r="P813" i="2" s="1"/>
  <c r="P817" i="2" s="1"/>
  <c r="P819" i="2" s="1"/>
  <c r="F593" i="2"/>
  <c r="E600" i="2"/>
  <c r="E602" i="2" s="1"/>
  <c r="E595" i="2"/>
  <c r="F495" i="2"/>
  <c r="K259" i="2" l="1"/>
  <c r="M250" i="2"/>
  <c r="L257" i="2"/>
  <c r="L252" i="2"/>
  <c r="M251" i="2"/>
  <c r="L258" i="2"/>
  <c r="W236" i="2"/>
  <c r="X234" i="2"/>
  <c r="X236" i="2" s="1"/>
  <c r="X229" i="2"/>
  <c r="F224" i="2" s="1"/>
  <c r="D239" i="2" s="1"/>
  <c r="S213" i="2"/>
  <c r="R825" i="2"/>
  <c r="AO182" i="2"/>
  <c r="AN189" i="2"/>
  <c r="AN190" i="2" s="1"/>
  <c r="AN183" i="2"/>
  <c r="P825" i="2"/>
  <c r="K167" i="2"/>
  <c r="T211" i="2"/>
  <c r="T206" i="2"/>
  <c r="U205" i="2"/>
  <c r="T212" i="2"/>
  <c r="BI190" i="2"/>
  <c r="BJ189" i="2"/>
  <c r="BJ190" i="2" s="1"/>
  <c r="BK182" i="2"/>
  <c r="BJ183" i="2"/>
  <c r="K188" i="2"/>
  <c r="K183" i="2"/>
  <c r="L181" i="2"/>
  <c r="K189" i="2"/>
  <c r="L182" i="2"/>
  <c r="J190" i="2"/>
  <c r="J375" i="2"/>
  <c r="J330" i="2"/>
  <c r="J320" i="2"/>
  <c r="J350" i="2"/>
  <c r="L166" i="2"/>
  <c r="M159" i="2"/>
  <c r="L165" i="2"/>
  <c r="L160" i="2"/>
  <c r="M158" i="2"/>
  <c r="BJ136" i="2"/>
  <c r="BI143" i="2"/>
  <c r="BI144" i="2" s="1"/>
  <c r="N135" i="2"/>
  <c r="N142" i="2" s="1"/>
  <c r="N144" i="2" s="1"/>
  <c r="M137" i="2"/>
  <c r="BI137" i="2"/>
  <c r="BJ135" i="2"/>
  <c r="BJ142" i="2" s="1"/>
  <c r="N600" i="2"/>
  <c r="N602" i="2" s="1"/>
  <c r="N595" i="2"/>
  <c r="H387" i="2"/>
  <c r="G397" i="2"/>
  <c r="G399" i="2" s="1"/>
  <c r="G389" i="2"/>
  <c r="F600" i="2"/>
  <c r="F602" i="2" s="1"/>
  <c r="G593" i="2"/>
  <c r="F595" i="2"/>
  <c r="N397" i="2"/>
  <c r="N399" i="2" s="1"/>
  <c r="O387" i="2"/>
  <c r="N389" i="2"/>
  <c r="O600" i="2"/>
  <c r="O602" i="2" s="1"/>
  <c r="P593" i="2"/>
  <c r="O595" i="2"/>
  <c r="L259" i="2" l="1"/>
  <c r="M258" i="2"/>
  <c r="N251" i="2"/>
  <c r="M257" i="2"/>
  <c r="M259" i="2" s="1"/>
  <c r="M252" i="2"/>
  <c r="N250" i="2"/>
  <c r="F231" i="2"/>
  <c r="D240" i="2"/>
  <c r="D241" i="2"/>
  <c r="D243" i="2"/>
  <c r="AO189" i="2"/>
  <c r="AO190" i="2" s="1"/>
  <c r="AO183" i="2"/>
  <c r="AP182" i="2"/>
  <c r="V205" i="2"/>
  <c r="U212" i="2"/>
  <c r="T213" i="2"/>
  <c r="U211" i="2"/>
  <c r="U206" i="2"/>
  <c r="BK183" i="2"/>
  <c r="BK189" i="2"/>
  <c r="BK190" i="2" s="1"/>
  <c r="K190" i="2"/>
  <c r="L189" i="2"/>
  <c r="L188" i="2"/>
  <c r="L183" i="2"/>
  <c r="J321" i="2"/>
  <c r="J324" i="2" s="1"/>
  <c r="J351" i="2"/>
  <c r="J355" i="2" s="1"/>
  <c r="J376" i="2"/>
  <c r="J380" i="2" s="1"/>
  <c r="J331" i="2"/>
  <c r="J334" i="2" s="1"/>
  <c r="J312" i="2"/>
  <c r="J316" i="2"/>
  <c r="M165" i="2"/>
  <c r="M160" i="2"/>
  <c r="N158" i="2"/>
  <c r="M166" i="2"/>
  <c r="N159" i="2"/>
  <c r="L167" i="2"/>
  <c r="BK136" i="2"/>
  <c r="BJ143" i="2"/>
  <c r="BJ144" i="2" s="1"/>
  <c r="O135" i="2"/>
  <c r="N137" i="2"/>
  <c r="BJ137" i="2"/>
  <c r="Q136" i="2"/>
  <c r="Q143" i="2" s="1"/>
  <c r="Q144" i="2" s="1"/>
  <c r="P137" i="2"/>
  <c r="X135" i="2"/>
  <c r="X142" i="2" s="1"/>
  <c r="X144" i="2" s="1"/>
  <c r="P600" i="2"/>
  <c r="P602" i="2" s="1"/>
  <c r="Q593" i="2"/>
  <c r="P595" i="2"/>
  <c r="G600" i="2"/>
  <c r="G602" i="2" s="1"/>
  <c r="H593" i="2"/>
  <c r="G595" i="2"/>
  <c r="H397" i="2"/>
  <c r="H399" i="2" s="1"/>
  <c r="I387" i="2"/>
  <c r="H389" i="2"/>
  <c r="O397" i="2"/>
  <c r="O399" i="2" s="1"/>
  <c r="P387" i="2"/>
  <c r="O389" i="2"/>
  <c r="O251" i="2" l="1"/>
  <c r="N258" i="2"/>
  <c r="N252" i="2"/>
  <c r="O250" i="2"/>
  <c r="N257" i="2"/>
  <c r="D244" i="2"/>
  <c r="AQ182" i="2"/>
  <c r="AP189" i="2"/>
  <c r="AP190" i="2" s="1"/>
  <c r="AP183" i="2"/>
  <c r="U213" i="2"/>
  <c r="V211" i="2"/>
  <c r="V206" i="2"/>
  <c r="V212" i="2"/>
  <c r="W205" i="2"/>
  <c r="BL189" i="2"/>
  <c r="BL190" i="2" s="1"/>
  <c r="BL183" i="2"/>
  <c r="M189" i="2"/>
  <c r="N182" i="2"/>
  <c r="L190" i="2"/>
  <c r="M188" i="2"/>
  <c r="M183" i="2"/>
  <c r="N181" i="2"/>
  <c r="L351" i="2"/>
  <c r="L355" i="2" s="1"/>
  <c r="L376" i="2"/>
  <c r="L380" i="2" s="1"/>
  <c r="L331" i="2"/>
  <c r="L334" i="2" s="1"/>
  <c r="L321" i="2"/>
  <c r="L324" i="2" s="1"/>
  <c r="L312" i="2"/>
  <c r="L316" i="2"/>
  <c r="K312" i="2"/>
  <c r="K316" i="2"/>
  <c r="L320" i="2"/>
  <c r="L350" i="2"/>
  <c r="L375" i="2"/>
  <c r="L330" i="2"/>
  <c r="M167" i="2"/>
  <c r="N165" i="2"/>
  <c r="N160" i="2"/>
  <c r="N166" i="2"/>
  <c r="O166" i="2"/>
  <c r="O137" i="2"/>
  <c r="O142" i="2"/>
  <c r="O144" i="2" s="1"/>
  <c r="BL136" i="2"/>
  <c r="BK143" i="2"/>
  <c r="BK144" i="2" s="1"/>
  <c r="BK137" i="2"/>
  <c r="R136" i="2"/>
  <c r="Q137" i="2"/>
  <c r="X137" i="2"/>
  <c r="Q595" i="2"/>
  <c r="S593" i="2"/>
  <c r="Q600" i="2"/>
  <c r="Q602" i="2" s="1"/>
  <c r="H595" i="2"/>
  <c r="H600" i="2"/>
  <c r="H602" i="2" s="1"/>
  <c r="P397" i="2"/>
  <c r="P399" i="2" s="1"/>
  <c r="Q387" i="2"/>
  <c r="P389" i="2"/>
  <c r="I397" i="2"/>
  <c r="I399" i="2" s="1"/>
  <c r="I389" i="2"/>
  <c r="P250" i="2" l="1"/>
  <c r="O257" i="2"/>
  <c r="O252" i="2"/>
  <c r="N259" i="2"/>
  <c r="P251" i="2"/>
  <c r="O258" i="2"/>
  <c r="F238" i="2"/>
  <c r="R137" i="2"/>
  <c r="R143" i="2"/>
  <c r="R144" i="2" s="1"/>
  <c r="AR182" i="2"/>
  <c r="AQ183" i="2"/>
  <c r="AQ189" i="2"/>
  <c r="AQ190" i="2" s="1"/>
  <c r="W211" i="2"/>
  <c r="W206" i="2"/>
  <c r="W212" i="2"/>
  <c r="X205" i="2"/>
  <c r="V213" i="2"/>
  <c r="BM183" i="2"/>
  <c r="BM189" i="2"/>
  <c r="BM190" i="2" s="1"/>
  <c r="BN182" i="2"/>
  <c r="M190" i="2"/>
  <c r="N188" i="2"/>
  <c r="N183" i="2"/>
  <c r="N189" i="2"/>
  <c r="O189" i="2"/>
  <c r="M316" i="2"/>
  <c r="M312" i="2"/>
  <c r="O165" i="2"/>
  <c r="O167" i="2" s="1"/>
  <c r="O160" i="2"/>
  <c r="F155" i="2" s="1"/>
  <c r="N167" i="2"/>
  <c r="BM136" i="2"/>
  <c r="BL143" i="2"/>
  <c r="BL144" i="2" s="1"/>
  <c r="BL137" i="2"/>
  <c r="BM135" i="2"/>
  <c r="BM142" i="2" s="1"/>
  <c r="T136" i="2"/>
  <c r="T143" i="2" s="1"/>
  <c r="T144" i="2" s="1"/>
  <c r="S137" i="2"/>
  <c r="Y137" i="2"/>
  <c r="Q397" i="2"/>
  <c r="Q399" i="2" s="1"/>
  <c r="E393" i="2" s="1"/>
  <c r="Q389" i="2"/>
  <c r="E383" i="2" s="1"/>
  <c r="T593" i="2"/>
  <c r="S595" i="2"/>
  <c r="S600" i="2"/>
  <c r="S602" i="2" s="1"/>
  <c r="O259" i="2" l="1"/>
  <c r="P258" i="2"/>
  <c r="P257" i="2"/>
  <c r="P252" i="2"/>
  <c r="F162" i="2"/>
  <c r="AR183" i="2"/>
  <c r="AS182" i="2"/>
  <c r="AR189" i="2"/>
  <c r="AR190" i="2" s="1"/>
  <c r="W213" i="2"/>
  <c r="X212" i="2"/>
  <c r="X211" i="2"/>
  <c r="X206" i="2"/>
  <c r="BN183" i="2"/>
  <c r="BO182" i="2"/>
  <c r="BN189" i="2"/>
  <c r="BN190" i="2" s="1"/>
  <c r="O183" i="2"/>
  <c r="O188" i="2"/>
  <c r="O190" i="2" s="1"/>
  <c r="N190" i="2"/>
  <c r="N350" i="2"/>
  <c r="N375" i="2"/>
  <c r="N330" i="2"/>
  <c r="N320" i="2"/>
  <c r="BN136" i="2"/>
  <c r="BM143" i="2"/>
  <c r="BM144" i="2" s="1"/>
  <c r="BM137" i="2"/>
  <c r="BN135" i="2"/>
  <c r="BN142" i="2" s="1"/>
  <c r="T137" i="2"/>
  <c r="Z137" i="2"/>
  <c r="T600" i="2"/>
  <c r="T602" i="2" s="1"/>
  <c r="T595" i="2"/>
  <c r="U593" i="2"/>
  <c r="P259" i="2" l="1"/>
  <c r="AS189" i="2"/>
  <c r="AS190" i="2" s="1"/>
  <c r="AS183" i="2"/>
  <c r="AT182" i="2"/>
  <c r="Y212" i="2"/>
  <c r="Y211" i="2"/>
  <c r="Y206" i="2"/>
  <c r="X213" i="2"/>
  <c r="BO183" i="2"/>
  <c r="BO189" i="2"/>
  <c r="BO190" i="2" s="1"/>
  <c r="BP182" i="2"/>
  <c r="BQ182" i="2" s="1"/>
  <c r="N351" i="2"/>
  <c r="N355" i="2" s="1"/>
  <c r="F348" i="2" s="1"/>
  <c r="N376" i="2"/>
  <c r="N380" i="2" s="1"/>
  <c r="F372" i="2" s="1"/>
  <c r="N331" i="2"/>
  <c r="N334" i="2" s="1"/>
  <c r="E327" i="2" s="1"/>
  <c r="G327" i="2" s="1"/>
  <c r="N321" i="2"/>
  <c r="N324" i="2" s="1"/>
  <c r="E318" i="2" s="1"/>
  <c r="V316" i="2" s="1"/>
  <c r="N312" i="2"/>
  <c r="N316" i="2"/>
  <c r="O316" i="2"/>
  <c r="O312" i="2"/>
  <c r="BO136" i="2"/>
  <c r="BN143" i="2"/>
  <c r="BN144" i="2" s="1"/>
  <c r="BO135" i="2"/>
  <c r="BO142" i="2" s="1"/>
  <c r="BN137" i="2"/>
  <c r="V136" i="2"/>
  <c r="V143" i="2" s="1"/>
  <c r="V144" i="2" s="1"/>
  <c r="U137" i="2"/>
  <c r="AA137" i="2"/>
  <c r="U600" i="2"/>
  <c r="U602" i="2" s="1"/>
  <c r="V593" i="2"/>
  <c r="U595" i="2"/>
  <c r="AT189" i="2" l="1"/>
  <c r="AT190" i="2" s="1"/>
  <c r="AT183" i="2"/>
  <c r="S312" i="2"/>
  <c r="E311" i="2" s="1"/>
  <c r="S316" i="2"/>
  <c r="E315" i="2" s="1"/>
  <c r="Y213" i="2"/>
  <c r="Z211" i="2"/>
  <c r="Z206" i="2"/>
  <c r="AA205" i="2"/>
  <c r="Z212" i="2"/>
  <c r="BR183" i="2"/>
  <c r="BQ189" i="2"/>
  <c r="BQ190" i="2" s="1"/>
  <c r="BQ183" i="2"/>
  <c r="BP189" i="2"/>
  <c r="BP190" i="2" s="1"/>
  <c r="F185" i="2" s="1"/>
  <c r="BP183" i="2"/>
  <c r="BP136" i="2"/>
  <c r="BP143" i="2" s="1"/>
  <c r="BO143" i="2"/>
  <c r="BO144" i="2" s="1"/>
  <c r="BP135" i="2"/>
  <c r="BP142" i="2" s="1"/>
  <c r="BP144" i="2" s="1"/>
  <c r="BO137" i="2"/>
  <c r="W136" i="2"/>
  <c r="V137" i="2"/>
  <c r="AB137" i="2"/>
  <c r="V595" i="2"/>
  <c r="W593" i="2"/>
  <c r="V600" i="2"/>
  <c r="V602" i="2" s="1"/>
  <c r="W137" i="2" l="1"/>
  <c r="W143" i="2"/>
  <c r="W144" i="2" s="1"/>
  <c r="F178" i="2"/>
  <c r="AA211" i="2"/>
  <c r="AA206" i="2"/>
  <c r="AA212" i="2"/>
  <c r="Z213" i="2"/>
  <c r="BP137" i="2"/>
  <c r="AC137" i="2"/>
  <c r="W600" i="2"/>
  <c r="W602" i="2" s="1"/>
  <c r="X593" i="2"/>
  <c r="W595" i="2"/>
  <c r="AA213" i="2" l="1"/>
  <c r="AC205" i="2"/>
  <c r="AD205" i="2" s="1"/>
  <c r="AB212" i="2"/>
  <c r="AB211" i="2"/>
  <c r="AB206" i="2"/>
  <c r="AD137" i="2"/>
  <c r="X600" i="2"/>
  <c r="X602" i="2" s="1"/>
  <c r="Y593" i="2"/>
  <c r="X595" i="2"/>
  <c r="AB213" i="2" l="1"/>
  <c r="AC211" i="2"/>
  <c r="AC206" i="2"/>
  <c r="AC212" i="2"/>
  <c r="AE137" i="2"/>
  <c r="Y595" i="2"/>
  <c r="Z593" i="2"/>
  <c r="Y600" i="2"/>
  <c r="Y602" i="2" s="1"/>
  <c r="AC213" i="2" l="1"/>
  <c r="AD212" i="2"/>
  <c r="AD211" i="2"/>
  <c r="AD213" i="2" s="1"/>
  <c r="AD206" i="2"/>
  <c r="AF137" i="2"/>
  <c r="Z595" i="2"/>
  <c r="AA593" i="2"/>
  <c r="Z600" i="2"/>
  <c r="Z602" i="2" s="1"/>
  <c r="AE212" i="2" l="1"/>
  <c r="AE211" i="2"/>
  <c r="AE206" i="2"/>
  <c r="AG137" i="2"/>
  <c r="AH135" i="2"/>
  <c r="AH142" i="2" s="1"/>
  <c r="AH144" i="2" s="1"/>
  <c r="AA600" i="2"/>
  <c r="AA602" i="2" s="1"/>
  <c r="AB593" i="2"/>
  <c r="AA595" i="2"/>
  <c r="AE213" i="2" l="1"/>
  <c r="AF212" i="2"/>
  <c r="AF211" i="2"/>
  <c r="AF206" i="2"/>
  <c r="AH137" i="2"/>
  <c r="AB600" i="2"/>
  <c r="AB602" i="2" s="1"/>
  <c r="AC593" i="2"/>
  <c r="AB595" i="2"/>
  <c r="AF213" i="2" l="1"/>
  <c r="AG206" i="2"/>
  <c r="AG211" i="2"/>
  <c r="AG212" i="2"/>
  <c r="AI137" i="2"/>
  <c r="AJ135" i="2"/>
  <c r="AJ142" i="2" s="1"/>
  <c r="AJ144" i="2" s="1"/>
  <c r="F139" i="2" s="1"/>
  <c r="AC600" i="2"/>
  <c r="AC602" i="2" s="1"/>
  <c r="AD593" i="2"/>
  <c r="AC595" i="2"/>
  <c r="AG213" i="2" l="1"/>
  <c r="AH206" i="2"/>
  <c r="AH211" i="2"/>
  <c r="AH212" i="2"/>
  <c r="AJ137" i="2"/>
  <c r="AD595" i="2"/>
  <c r="AE593" i="2"/>
  <c r="AD600" i="2"/>
  <c r="AD602" i="2" s="1"/>
  <c r="AH213" i="2" l="1"/>
  <c r="AJ205" i="2"/>
  <c r="AI212" i="2"/>
  <c r="AI211" i="2"/>
  <c r="AI206" i="2"/>
  <c r="AK137" i="2"/>
  <c r="AE595" i="2"/>
  <c r="AE600" i="2"/>
  <c r="AE602" i="2" s="1"/>
  <c r="AF593" i="2"/>
  <c r="AI213" i="2" l="1"/>
  <c r="AJ211" i="2"/>
  <c r="AJ206" i="2"/>
  <c r="AJ212" i="2"/>
  <c r="AL137" i="2"/>
  <c r="AM137" i="2"/>
  <c r="F132" i="2" s="1"/>
  <c r="AF600" i="2"/>
  <c r="AF602" i="2" s="1"/>
  <c r="AG593" i="2"/>
  <c r="AF595" i="2"/>
  <c r="AJ213" i="2" l="1"/>
  <c r="AK212" i="2"/>
  <c r="AK211" i="2"/>
  <c r="AK206" i="2"/>
  <c r="AG600" i="2"/>
  <c r="AG602" i="2" s="1"/>
  <c r="AH593" i="2"/>
  <c r="AG595" i="2"/>
  <c r="AK213" i="2" l="1"/>
  <c r="AL212" i="2"/>
  <c r="AL211" i="2"/>
  <c r="AL206" i="2"/>
  <c r="G147" i="2"/>
  <c r="G151" i="2"/>
  <c r="G149" i="2"/>
  <c r="G148" i="2"/>
  <c r="AH595" i="2"/>
  <c r="AI593" i="2"/>
  <c r="AH600" i="2"/>
  <c r="AH602" i="2" s="1"/>
  <c r="AL213" i="2" l="1"/>
  <c r="AM211" i="2"/>
  <c r="AM206" i="2"/>
  <c r="AN205" i="2"/>
  <c r="AM212" i="2"/>
  <c r="AJ593" i="2"/>
  <c r="AI595" i="2"/>
  <c r="AI600" i="2"/>
  <c r="AI602" i="2" s="1"/>
  <c r="AM213" i="2" l="1"/>
  <c r="AN211" i="2"/>
  <c r="AN206" i="2"/>
  <c r="AN212" i="2"/>
  <c r="AJ600" i="2"/>
  <c r="AJ602" i="2" s="1"/>
  <c r="AJ595" i="2"/>
  <c r="AK593" i="2"/>
  <c r="AN213" i="2" l="1"/>
  <c r="AO211" i="2"/>
  <c r="AO206" i="2"/>
  <c r="AP205" i="2"/>
  <c r="AO212" i="2"/>
  <c r="AK600" i="2"/>
  <c r="AK602" i="2" s="1"/>
  <c r="AL593" i="2"/>
  <c r="AK595" i="2"/>
  <c r="AO213" i="2" l="1"/>
  <c r="AP212" i="2"/>
  <c r="AP211" i="2"/>
  <c r="AP206" i="2"/>
  <c r="AL595" i="2"/>
  <c r="AM593" i="2"/>
  <c r="AL600" i="2"/>
  <c r="AL602" i="2" s="1"/>
  <c r="AQ211" i="2" l="1"/>
  <c r="AQ206" i="2"/>
  <c r="AP213" i="2"/>
  <c r="AR205" i="2"/>
  <c r="AQ212" i="2"/>
  <c r="AQ213" i="2" s="1"/>
  <c r="AM600" i="2"/>
  <c r="AM602" i="2" s="1"/>
  <c r="F597" i="2" s="1"/>
  <c r="AM595" i="2"/>
  <c r="F590" i="2" s="1"/>
  <c r="F247" i="2" l="1"/>
  <c r="AR212" i="2"/>
  <c r="AR211" i="2"/>
  <c r="AR206" i="2"/>
  <c r="F254" i="2" l="1"/>
  <c r="D264" i="2"/>
  <c r="D266" i="2"/>
  <c r="D262" i="2"/>
  <c r="AR213" i="2"/>
  <c r="D267" i="2" l="1"/>
  <c r="F261" i="2" s="1"/>
  <c r="D198" i="2" l="1"/>
  <c r="F192" i="2" s="1"/>
  <c r="F201" i="2" l="1"/>
  <c r="D220" i="2" l="1"/>
  <c r="D216" i="2"/>
  <c r="D217" i="2"/>
  <c r="D218" i="2"/>
  <c r="F208" i="2"/>
  <c r="D221" i="2" l="1"/>
  <c r="F215" i="2" l="1"/>
  <c r="E296" i="4"/>
  <c r="E328" i="4" s="1"/>
</calcChain>
</file>

<file path=xl/sharedStrings.xml><?xml version="1.0" encoding="utf-8"?>
<sst xmlns="http://schemas.openxmlformats.org/spreadsheetml/2006/main" count="3188" uniqueCount="504">
  <si>
    <t>SUBSTRUCTURE</t>
  </si>
  <si>
    <t>D20: EXCAVATING AND FILLING</t>
  </si>
  <si>
    <t>A</t>
  </si>
  <si>
    <t xml:space="preserve">Excavate oversite to remove vegetable soil average 150mm deep. 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</si>
  <si>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</si>
  <si>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</si>
  <si>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</si>
  <si>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</si>
  <si>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</si>
  <si>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</si>
  <si>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</si>
  <si>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</si>
  <si>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</si>
  <si>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</si>
  <si>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</si>
  <si>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</si>
  <si>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</si>
  <si>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Columns</t>
  </si>
  <si>
    <t>Q</t>
  </si>
  <si>
    <t>E20: Formwork for in situ concrete</t>
  </si>
  <si>
    <t>m</t>
  </si>
  <si>
    <t>kg</t>
  </si>
  <si>
    <t>F10: Brick/Block walling</t>
  </si>
  <si>
    <t>E10: In situ concrete</t>
  </si>
  <si>
    <t>E30: Reinforcement for in situ concrete</t>
  </si>
  <si>
    <t>FRAME</t>
  </si>
  <si>
    <t>Sawn formwork to:</t>
  </si>
  <si>
    <t>STAIRCASES</t>
  </si>
  <si>
    <t>Risers of steps 150mm high</t>
  </si>
  <si>
    <t>Sides of Landing</t>
  </si>
  <si>
    <t>R</t>
  </si>
  <si>
    <t>S</t>
  </si>
  <si>
    <t>M20: Plastered/Rendered/Roughcast coatings</t>
  </si>
  <si>
    <t>Sloping soffit of staircases</t>
  </si>
  <si>
    <t>Soffit of landing</t>
  </si>
  <si>
    <t>Sides of staircases</t>
  </si>
  <si>
    <t>100mm wide hoods arround doors and windows</t>
  </si>
  <si>
    <t>length</t>
  </si>
  <si>
    <t>SUMMARY</t>
  </si>
  <si>
    <t>page /2</t>
  </si>
  <si>
    <t>page /3</t>
  </si>
  <si>
    <t>UPPER FLOORS</t>
  </si>
  <si>
    <t>COLUMN BASE</t>
  </si>
  <si>
    <t>TYPE 1</t>
  </si>
  <si>
    <t>TYPE 2</t>
  </si>
  <si>
    <t>TYPE 3</t>
  </si>
  <si>
    <t>TYPE 4</t>
  </si>
  <si>
    <t>TYPE 5</t>
  </si>
  <si>
    <t>TYPE 6</t>
  </si>
  <si>
    <t>LENGTH</t>
  </si>
  <si>
    <t>WIDTH</t>
  </si>
  <si>
    <t>DEPTH</t>
  </si>
  <si>
    <t>NOS</t>
  </si>
  <si>
    <t>TRENCH EXCAVATION</t>
  </si>
  <si>
    <t>GIRTH</t>
  </si>
  <si>
    <t>EARTHWORK SUPPORT</t>
  </si>
  <si>
    <t>DIELDREX</t>
  </si>
  <si>
    <t>LEVEL AND COMPACT</t>
  </si>
  <si>
    <t>TRENCH</t>
  </si>
  <si>
    <t>BLINDING</t>
  </si>
  <si>
    <t>in m3</t>
  </si>
  <si>
    <t xml:space="preserve"> CONCRETE IN FDTN TRENCH</t>
  </si>
  <si>
    <t>FOUNDATION BED</t>
  </si>
  <si>
    <t>Area</t>
  </si>
  <si>
    <t>Depth</t>
  </si>
  <si>
    <t>Girth</t>
  </si>
  <si>
    <t>COLUMN BASE CONCRETE</t>
  </si>
  <si>
    <t>COLUMN BASE REINFORCEMENT</t>
  </si>
  <si>
    <t>Y12</t>
  </si>
  <si>
    <t>y12</t>
  </si>
  <si>
    <t>Y20</t>
  </si>
  <si>
    <t>Y16</t>
  </si>
  <si>
    <t>COLUMN BASE FORMWORK</t>
  </si>
  <si>
    <t>COLUMN CONC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</si>
  <si>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</si>
  <si>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</si>
  <si>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</si>
  <si>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</si>
  <si>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</si>
  <si>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</si>
  <si>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</si>
  <si>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</si>
  <si>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</si>
  <si>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</si>
  <si>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</si>
  <si>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</si>
  <si>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COLUMN FORMWORK</t>
  </si>
  <si>
    <t>COLUMN REINFORCEMENT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</si>
  <si>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</si>
  <si>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</si>
  <si>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</si>
  <si>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</si>
  <si>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</si>
  <si>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</si>
  <si>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</si>
  <si>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</si>
  <si>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</si>
  <si>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</si>
  <si>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</si>
  <si>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</si>
  <si>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BAR LENGTH</t>
  </si>
  <si>
    <t>NOS OF BAR</t>
  </si>
  <si>
    <t>Y16/y12</t>
  </si>
  <si>
    <t>Y16/y13</t>
  </si>
  <si>
    <t>y16</t>
  </si>
  <si>
    <t>Y25</t>
  </si>
  <si>
    <t>y20</t>
  </si>
  <si>
    <t>STIRRUP</t>
  </si>
  <si>
    <t>Y10</t>
  </si>
  <si>
    <t>BLOCKWORK</t>
  </si>
  <si>
    <t>COLUMN CONCRETE</t>
  </si>
  <si>
    <t>GROUND</t>
  </si>
  <si>
    <t xml:space="preserve">COLUMN </t>
  </si>
  <si>
    <t>COL 1</t>
  </si>
  <si>
    <t>COL 2</t>
  </si>
  <si>
    <t>COL 2'</t>
  </si>
  <si>
    <t>COL 3</t>
  </si>
  <si>
    <t>COL 3'</t>
  </si>
  <si>
    <t>COL 4</t>
  </si>
  <si>
    <t>FIRST</t>
  </si>
  <si>
    <t>CONC</t>
  </si>
  <si>
    <t>PENT</t>
  </si>
  <si>
    <t>COL. REINFORCEMENT</t>
  </si>
  <si>
    <t>Y8</t>
  </si>
  <si>
    <t>STIRRUPS</t>
  </si>
  <si>
    <t>stirrups</t>
  </si>
  <si>
    <t>BEAM CONCRETE</t>
  </si>
  <si>
    <t>BM 1</t>
  </si>
  <si>
    <t>BM 2</t>
  </si>
  <si>
    <t>BM 3</t>
  </si>
  <si>
    <t>BM 4</t>
  </si>
  <si>
    <t>BM 5</t>
  </si>
  <si>
    <t>BM 6</t>
  </si>
  <si>
    <t>BM 7</t>
  </si>
  <si>
    <t>BM 8</t>
  </si>
  <si>
    <t>BM 9</t>
  </si>
  <si>
    <t>BM 10</t>
  </si>
  <si>
    <t>BM 11</t>
  </si>
  <si>
    <t>BM 12</t>
  </si>
  <si>
    <t>BM 13</t>
  </si>
  <si>
    <t>BM 14</t>
  </si>
  <si>
    <t>BM 15</t>
  </si>
  <si>
    <t>BM 16</t>
  </si>
  <si>
    <t>BM 17</t>
  </si>
  <si>
    <t>BM 18</t>
  </si>
  <si>
    <t>BM 19</t>
  </si>
  <si>
    <t>BM 20</t>
  </si>
  <si>
    <t>BM 21</t>
  </si>
  <si>
    <t>BM 22</t>
  </si>
  <si>
    <t>BM 23</t>
  </si>
  <si>
    <t>BM 24</t>
  </si>
  <si>
    <t>BM 25</t>
  </si>
  <si>
    <t>BM 26</t>
  </si>
  <si>
    <t>BM 27</t>
  </si>
  <si>
    <t>BM 28</t>
  </si>
  <si>
    <t>BM 29</t>
  </si>
  <si>
    <t>BM 30</t>
  </si>
  <si>
    <t>BM 31</t>
  </si>
  <si>
    <t>BM 32</t>
  </si>
  <si>
    <t>BM 33</t>
  </si>
  <si>
    <t>BM 34</t>
  </si>
  <si>
    <t>BM 35</t>
  </si>
  <si>
    <t>BM 36</t>
  </si>
  <si>
    <t>BM 37</t>
  </si>
  <si>
    <t>IN BEAM</t>
  </si>
  <si>
    <t>depth</t>
  </si>
  <si>
    <t>width</t>
  </si>
  <si>
    <t>BEAM FORMWORK</t>
  </si>
  <si>
    <t>BEAM REINFORCEMENT</t>
  </si>
  <si>
    <t>y25</t>
  </si>
  <si>
    <t>NO</t>
  </si>
  <si>
    <t>y10</t>
  </si>
  <si>
    <t>y8</t>
  </si>
  <si>
    <t>UPPER FLOOR</t>
  </si>
  <si>
    <t>CONCRETE</t>
  </si>
  <si>
    <t>FIRST FLOOR SLAB</t>
  </si>
  <si>
    <t>PENT FLOOR SLAB</t>
  </si>
  <si>
    <t>AREA</t>
  </si>
  <si>
    <t>FORMWORK</t>
  </si>
  <si>
    <t>SOFFIT</t>
  </si>
  <si>
    <t>SIDE</t>
  </si>
  <si>
    <t>REINFORCEMENT</t>
  </si>
  <si>
    <t>BAR MARK</t>
  </si>
  <si>
    <t>T/B</t>
  </si>
  <si>
    <t>FOOTING</t>
  </si>
  <si>
    <t>LANDING</t>
  </si>
  <si>
    <t>landing beam</t>
  </si>
  <si>
    <t>SIDES</t>
  </si>
  <si>
    <t>WAIST 1</t>
  </si>
  <si>
    <t>WAIST 2</t>
  </si>
  <si>
    <t>WAIST</t>
  </si>
  <si>
    <t>STAIR</t>
  </si>
  <si>
    <t>RISER</t>
  </si>
  <si>
    <t>BACKING</t>
  </si>
  <si>
    <t>THREAD</t>
  </si>
  <si>
    <t>BED</t>
  </si>
  <si>
    <t>ROOF BEAM</t>
  </si>
  <si>
    <t>PARAPET</t>
  </si>
  <si>
    <t>ROOF BEAM REINFORCEMENT</t>
  </si>
  <si>
    <t>U-BAR</t>
  </si>
  <si>
    <t>tie beam</t>
  </si>
  <si>
    <t xml:space="preserve">rafter </t>
  </si>
  <si>
    <t>PURLINS</t>
  </si>
  <si>
    <t>Struts and tie</t>
  </si>
  <si>
    <t>EXTERNAL BLOCK</t>
  </si>
  <si>
    <t xml:space="preserve">GIRTH </t>
  </si>
  <si>
    <t>HEIGHT</t>
  </si>
  <si>
    <t>LINTEL</t>
  </si>
  <si>
    <t xml:space="preserve">WINDOW </t>
  </si>
  <si>
    <t>SIZES</t>
  </si>
  <si>
    <t>LEGNTH</t>
  </si>
  <si>
    <t>DEDUCTION</t>
  </si>
  <si>
    <t>W1</t>
  </si>
  <si>
    <t>ALLUMINIUM CASEMENT</t>
  </si>
  <si>
    <t>W2</t>
  </si>
  <si>
    <t>WINDOWS TO ARCHITECT</t>
  </si>
  <si>
    <t>W3</t>
  </si>
  <si>
    <t xml:space="preserve"> APPROVAL</t>
  </si>
  <si>
    <t>W4</t>
  </si>
  <si>
    <t>W5</t>
  </si>
  <si>
    <t>W6</t>
  </si>
  <si>
    <t>W7</t>
  </si>
  <si>
    <t>D3</t>
  </si>
  <si>
    <t>D1</t>
  </si>
  <si>
    <t>INTERNAL 150MM BLOCK</t>
  </si>
  <si>
    <t>Gable</t>
  </si>
  <si>
    <t/>
  </si>
  <si>
    <t>D3a</t>
  </si>
  <si>
    <t>OP1</t>
  </si>
  <si>
    <t>D2</t>
  </si>
  <si>
    <t>INTERNAL 225MM BLOCK</t>
  </si>
  <si>
    <t>WALL FINISHING</t>
  </si>
  <si>
    <t>INTERNAL WORK</t>
  </si>
  <si>
    <t>WALL</t>
  </si>
  <si>
    <t xml:space="preserve">ISOLATED COLUMN </t>
  </si>
  <si>
    <t>BEAM</t>
  </si>
  <si>
    <t>kitchen wall</t>
  </si>
  <si>
    <t>LOUNGE</t>
  </si>
  <si>
    <t>BEDROOM</t>
  </si>
  <si>
    <t>TERRACE</t>
  </si>
  <si>
    <t xml:space="preserve">STAIR AREA </t>
  </si>
  <si>
    <t>TOILET</t>
  </si>
  <si>
    <t>KITCHEN</t>
  </si>
  <si>
    <t>ENTRANCE</t>
  </si>
  <si>
    <t>COLUMN BASE EXC.</t>
  </si>
  <si>
    <t>RETAINING WALL  EXC.</t>
  </si>
  <si>
    <t>BASE</t>
  </si>
  <si>
    <t>RETAINING WALL FORMWK.</t>
  </si>
  <si>
    <t>2MM THICK PLAIN PLATE</t>
  </si>
  <si>
    <t>RETAINING WALL REINFORCEMENT</t>
  </si>
  <si>
    <t>RETAINING WALL  CONC.</t>
  </si>
  <si>
    <t>GROUNDFLOOR SLAB CONC.</t>
  </si>
  <si>
    <t>GROUNDFLOOR SLAB FRMWK.</t>
  </si>
  <si>
    <t>GF SLAB RNFCMNT.</t>
  </si>
  <si>
    <t>BASEMENT 2 SLAB CONC.</t>
  </si>
  <si>
    <t>BASEMENT 2 SLAB FRMWK.</t>
  </si>
  <si>
    <t>BASEMENT 2 SLAB RFCMT.</t>
  </si>
  <si>
    <t>R.C PARKING LVL SLAB CONC.</t>
  </si>
  <si>
    <t>R.C PARKING LVL SLAB FRMWK.</t>
  </si>
  <si>
    <t>R.C PARKING LVL SLAB RNFCMNT.</t>
  </si>
  <si>
    <t>1ST/2ND FLR LVL SLAB CONC.</t>
  </si>
  <si>
    <t>1ST/2ND FLR LVL SLAB FRMWK.</t>
  </si>
  <si>
    <t>1ST/2ND FLR LVL SLAB RMT.</t>
  </si>
  <si>
    <t>R.C PARKING CONC. FOOTING</t>
  </si>
  <si>
    <t>R.C PARKING FRMWK.</t>
  </si>
  <si>
    <t>R.C PKNG RMT Y16MM.</t>
  </si>
  <si>
    <t>GROUND TIE BEAM</t>
  </si>
  <si>
    <t>GROUND TIE BEAM FRMK</t>
  </si>
  <si>
    <t>RAFT SLAB BSMNT 1 CONC.</t>
  </si>
  <si>
    <t>RAFT SLAB BSMNT 1 FRMK.</t>
  </si>
  <si>
    <t>RAFT SLAB BSMNT 1 RFCMT.</t>
  </si>
  <si>
    <t>LIFT FOUNDATION CONC</t>
  </si>
  <si>
    <t>LIFT FOUNDATION FRMK</t>
  </si>
  <si>
    <t>LIFT WALL CONC</t>
  </si>
  <si>
    <t>LIFT WALL FRMK</t>
  </si>
  <si>
    <t>R.C STAIRCASES</t>
  </si>
  <si>
    <t>1st and 2nd flr BEAM CONCRETE</t>
  </si>
  <si>
    <t>BM 38</t>
  </si>
  <si>
    <t>BM 39</t>
  </si>
  <si>
    <t>BM 40</t>
  </si>
  <si>
    <t>BM 41</t>
  </si>
  <si>
    <t>BM 42</t>
  </si>
  <si>
    <t>BM 43</t>
  </si>
  <si>
    <t>BM 44</t>
  </si>
  <si>
    <t>BM 45</t>
  </si>
  <si>
    <t>BM 46</t>
  </si>
  <si>
    <t>BM 47</t>
  </si>
  <si>
    <t>BM 48</t>
  </si>
  <si>
    <t>BM 49</t>
  </si>
  <si>
    <t>BM 50</t>
  </si>
  <si>
    <t>BM 51</t>
  </si>
  <si>
    <t>BM 52</t>
  </si>
  <si>
    <t>BM 53</t>
  </si>
  <si>
    <t>BM 54</t>
  </si>
  <si>
    <t>BM 55</t>
  </si>
  <si>
    <t>BM 56</t>
  </si>
  <si>
    <t>BM 57</t>
  </si>
  <si>
    <t>BM 58</t>
  </si>
  <si>
    <t>BM 59</t>
  </si>
  <si>
    <t>BM 60</t>
  </si>
  <si>
    <t>BM 61</t>
  </si>
  <si>
    <t>BM 62</t>
  </si>
  <si>
    <t>BM 63</t>
  </si>
  <si>
    <t>BM 64</t>
  </si>
  <si>
    <t>BM 65</t>
  </si>
  <si>
    <t>BM 66</t>
  </si>
  <si>
    <t>BM 67</t>
  </si>
  <si>
    <t>1st and 2nd flr BEAM FORMWORK</t>
  </si>
  <si>
    <t>PENT BEAM CONCRETE</t>
  </si>
  <si>
    <t>PENT FLOOR BEAM FORMWORK</t>
  </si>
  <si>
    <t>PENT FLOOR BEAM REINFORCEMENT</t>
  </si>
  <si>
    <t>1ST &amp; 2ND  BEAM REINFORCEMENT</t>
  </si>
  <si>
    <t>GROUND flr BEAM CONCRETE</t>
  </si>
  <si>
    <t>GROUND flr BEAM FORMWORK</t>
  </si>
  <si>
    <t>GROUND BEAM REINFORCEMENT</t>
  </si>
  <si>
    <t>BM 68</t>
  </si>
  <si>
    <t>BM 69</t>
  </si>
  <si>
    <t>R.C PARKING L FLR BEAM CONCRETE</t>
  </si>
  <si>
    <t>R.C PARKING L FLR BEAM FORMWORK</t>
  </si>
  <si>
    <t>R.C PARKING L FLR  BEAM RFMNT</t>
  </si>
  <si>
    <t>BASEMENT 2 FLR BEAM CONCRETE</t>
  </si>
  <si>
    <t>BASEMENT 2 FLR BEAM FORMWORK</t>
  </si>
  <si>
    <t>BASEMENT 2 FLR  BEAM RFMNT</t>
  </si>
  <si>
    <t>BM 70</t>
  </si>
  <si>
    <t>BM 71</t>
  </si>
  <si>
    <t>BM 72</t>
  </si>
  <si>
    <t>RAFT BEAM CONCRETE</t>
  </si>
  <si>
    <t>RAFT BEAM FORMWORK</t>
  </si>
  <si>
    <t>RAFT BEAM RFMNT</t>
  </si>
  <si>
    <t>Item</t>
  </si>
  <si>
    <t>Description</t>
  </si>
  <si>
    <t>Qty</t>
  </si>
  <si>
    <t>Unit</t>
  </si>
  <si>
    <t xml:space="preserve"> Rate</t>
  </si>
  <si>
    <t>Amount</t>
  </si>
  <si>
    <t>BILL NR 2 - MAIN BUILDING</t>
  </si>
  <si>
    <t>SUBSTRUCTURE CONT'D</t>
  </si>
  <si>
    <t>Expansion Joints</t>
  </si>
  <si>
    <t>COLLECTION</t>
  </si>
  <si>
    <t>Steps</t>
  </si>
  <si>
    <t xml:space="preserve">Reinforced Insitu Concrete </t>
  </si>
  <si>
    <t>Vibrated Concrete Grade 20</t>
  </si>
  <si>
    <r>
      <t>m</t>
    </r>
    <r>
      <rPr>
        <vertAlign val="superscript"/>
        <sz val="10"/>
        <rFont val="Comic Sans MS"/>
        <family val="4"/>
      </rPr>
      <t>3</t>
    </r>
  </si>
  <si>
    <t xml:space="preserve">High yield deformed bars to BS 4449 in concrete floor slabs </t>
  </si>
  <si>
    <r>
      <t>m</t>
    </r>
    <r>
      <rPr>
        <vertAlign val="superscript"/>
        <sz val="10"/>
        <rFont val="Comic Sans MS"/>
        <family val="4"/>
      </rPr>
      <t>2</t>
    </r>
  </si>
  <si>
    <t>ELEMENT NR. 1</t>
  </si>
  <si>
    <t>SUBSTRUCTURE (All Provisional)</t>
  </si>
  <si>
    <t>General Site Clearance</t>
  </si>
  <si>
    <t xml:space="preserve">Excavate trench to receive foundation starting from stripped level and not exceeding 1.50m deep. </t>
  </si>
  <si>
    <t xml:space="preserve">Excavate pit for raft starting from stripped level and not exceeding 2m deep. </t>
  </si>
  <si>
    <t>Ditto lift Shaft</t>
  </si>
  <si>
    <t xml:space="preserve">Excavate for working space including back filling arround retaining walls starting from stripped level and not exceeding 1.50m deep. </t>
  </si>
  <si>
    <t>Level and compact bottom of excavation to receive concrete in foundation.</t>
  </si>
  <si>
    <t>Remove surplus excavated material from site.</t>
  </si>
  <si>
    <t>Return, fill and consolidate selected excavated material around foundation.</t>
  </si>
  <si>
    <t>Approved laterite earth filling to make up level well rammed and consolidated in layers of 600mm thick.</t>
  </si>
  <si>
    <t>100mm thick approved rock hardcore filling well rammed and consolidated.</t>
  </si>
  <si>
    <t>Dieldrex 20" anti-termites to surfaces of excavation</t>
  </si>
  <si>
    <t>Vibrated Concrete Grade 15 in:</t>
  </si>
  <si>
    <t>50mm blinding under bases and Bed</t>
  </si>
  <si>
    <t>Vibrated Concrete grade 20 in</t>
  </si>
  <si>
    <t>Carried to Collection</t>
  </si>
  <si>
    <t>Reinforced  insitu concrete</t>
  </si>
  <si>
    <t>Lift Shaft base</t>
  </si>
  <si>
    <t>Raft beam</t>
  </si>
  <si>
    <t>Raft slab</t>
  </si>
  <si>
    <t>Starter column</t>
  </si>
  <si>
    <t xml:space="preserve">High yield deformed bars to BS 4449 in </t>
  </si>
  <si>
    <t>16mm diameter bar in Raft beams</t>
  </si>
  <si>
    <t>10mm diameter bar in Raft beams</t>
  </si>
  <si>
    <t>20mm diameter bar in Starter columns</t>
  </si>
  <si>
    <t>16mm diameter bar in Starter columns</t>
  </si>
  <si>
    <t>10mm diameter bar in Starter columns</t>
  </si>
  <si>
    <t>BRC Fabric mesh reinforcement to BS 4483 ref.No A.142 weighing 2.22kg/sq.m lapped 200mm at all joints in:</t>
  </si>
  <si>
    <t>Bed</t>
  </si>
  <si>
    <t>T</t>
  </si>
  <si>
    <t>U</t>
  </si>
  <si>
    <t>Ditto Raft Beams</t>
  </si>
  <si>
    <t>V</t>
  </si>
  <si>
    <t>Ditto: Edge of raft slab (350mm thick)</t>
  </si>
  <si>
    <t>W</t>
  </si>
  <si>
    <t>Ditto: Starter columns</t>
  </si>
  <si>
    <t>Carried to collection</t>
  </si>
  <si>
    <t>Edges of ground floor bed 150mm high</t>
  </si>
  <si>
    <t xml:space="preserve">Hollow sandcrete blockwork filled solid with vibrated concrete grade 15 and jointed in cement mortar </t>
  </si>
  <si>
    <t>225mm wall</t>
  </si>
  <si>
    <t>Damp Proofing</t>
  </si>
  <si>
    <t>Damp proof membrane</t>
  </si>
  <si>
    <t>0.26mm polythene damp proof membrane lapped 450mm at all welted joints, laid on hardcore</t>
  </si>
  <si>
    <t>Particle board set vertically between blockwall</t>
  </si>
  <si>
    <t>Ditto between concrete bed, 150mm high</t>
  </si>
  <si>
    <t>page /1</t>
  </si>
  <si>
    <t xml:space="preserve">SUBSTRUCTURE </t>
  </si>
  <si>
    <t>Carried to Summary</t>
  </si>
  <si>
    <t>Element Nr. 2</t>
  </si>
  <si>
    <t xml:space="preserve">High yield deformed bars to BS 4449 in beams, columns etc </t>
  </si>
  <si>
    <t>25mm diameter bar in Columns</t>
  </si>
  <si>
    <t>20mm diameter bar in Columns</t>
  </si>
  <si>
    <t>16mm diameter bar in Columns</t>
  </si>
  <si>
    <t>10mm diameter bar in Columns</t>
  </si>
  <si>
    <t>Vertical sides of columns</t>
  </si>
  <si>
    <t>carried to Summary</t>
  </si>
  <si>
    <t>Element Nr. 3</t>
  </si>
  <si>
    <t>Element Nr. 4</t>
  </si>
  <si>
    <t>Staircases including landings and beams</t>
  </si>
  <si>
    <t>High yield deformed bars to BS 4449 in beams, staircases and landing</t>
  </si>
  <si>
    <t>Soffits of landing</t>
  </si>
  <si>
    <t>15mm Thick cement and sand (1:5) smooth rendering to:</t>
  </si>
  <si>
    <t>MAIN BUILDING</t>
  </si>
  <si>
    <t>Carried to General Summary</t>
  </si>
  <si>
    <t>BASEMENT 2</t>
  </si>
  <si>
    <t>PARKING</t>
  </si>
  <si>
    <t>GROUND FLR</t>
  </si>
  <si>
    <t>1ST/ 2ND FLR</t>
  </si>
  <si>
    <t>Ditto: Lift Wall</t>
  </si>
  <si>
    <t>Ditto: Basement 2 Beams</t>
  </si>
  <si>
    <t>Ditto: Ground floor Beams</t>
  </si>
  <si>
    <t>Ditto: Parking Level Beams</t>
  </si>
  <si>
    <t>Ditto: Pent Floor Beams</t>
  </si>
  <si>
    <t>25mm diameter bar in basement 2 Beams</t>
  </si>
  <si>
    <t>20mm diameter bar in basement 2 Beams</t>
  </si>
  <si>
    <t>16mm diameter bar in basement 2 Beams</t>
  </si>
  <si>
    <t>10mm diameter bar in basement 2 Beams</t>
  </si>
  <si>
    <t>25mm diameter bar in ground floor Beams</t>
  </si>
  <si>
    <t>20mm diameter bar in ground floor Beams</t>
  </si>
  <si>
    <t>16mm diameter bar in ground floor Beams</t>
  </si>
  <si>
    <t>10mm diameter bar in ground floor Beams</t>
  </si>
  <si>
    <t>25mm diameter bar in parking level Beams</t>
  </si>
  <si>
    <t>20mm diameter bar in parking level Beams</t>
  </si>
  <si>
    <t>16mm diameter bar in parking level Beams</t>
  </si>
  <si>
    <t>10mm diameter bar in parking level Beams</t>
  </si>
  <si>
    <t>25mm diameter bar in first/second flr Beams</t>
  </si>
  <si>
    <t>20mm diameter bar in first/second flr Beams</t>
  </si>
  <si>
    <t>16mm diameter bar in first/second flr Beams</t>
  </si>
  <si>
    <t>10mm diameter bar in first/second flr Beams</t>
  </si>
  <si>
    <t>25mm diameter bar in pent floor Beams</t>
  </si>
  <si>
    <t>20mm diameter bar in pent floor Beams</t>
  </si>
  <si>
    <t>16mm diameter bar in pent floor Beams</t>
  </si>
  <si>
    <t>FRAME CONT'D</t>
  </si>
  <si>
    <t>Ditto: sides and soffit of Basement 2 Beams</t>
  </si>
  <si>
    <t>Ditto: sides and soffit of Ground floor Beams</t>
  </si>
  <si>
    <t>Ditto: sides and soffit of Parking Level Beams</t>
  </si>
  <si>
    <t>Ditto: sides and soffit of 1st/2nd flr Beams</t>
  </si>
  <si>
    <t>Ditto: sides and soffit of Pent Floor Beams</t>
  </si>
  <si>
    <t>Ditto: sides of Lift Wall</t>
  </si>
  <si>
    <t>Ditto: First / Second floor Beams</t>
  </si>
  <si>
    <t>X</t>
  </si>
  <si>
    <t>Y</t>
  </si>
  <si>
    <t>Z</t>
  </si>
  <si>
    <r>
      <t>m</t>
    </r>
    <r>
      <rPr>
        <vertAlign val="superscript"/>
        <sz val="10"/>
        <rFont val="Comic Sans MS"/>
        <family val="4"/>
      </rPr>
      <t>2</t>
    </r>
    <r>
      <rPr>
        <sz val="11"/>
        <color theme="1"/>
        <rFont val="Calibri"/>
        <family val="2"/>
        <scheme val="minor"/>
      </rPr>
      <t/>
    </r>
  </si>
  <si>
    <t>page /4</t>
  </si>
  <si>
    <t>page /5</t>
  </si>
  <si>
    <t xml:space="preserve">Suspended basement 2 floor slab </t>
  </si>
  <si>
    <t>Ditto: Ground floor Slab</t>
  </si>
  <si>
    <t>Ditto: Parking level Slab</t>
  </si>
  <si>
    <t>Ditto: first / second level floor Slab</t>
  </si>
  <si>
    <t>12mm diameter bars in Basement</t>
  </si>
  <si>
    <t>12mm diameter bars in Ground floor</t>
  </si>
  <si>
    <t>12mm diameter bars in Parking level floor</t>
  </si>
  <si>
    <t>12mm diameter bars in First and Second floor</t>
  </si>
  <si>
    <t>Horizontal soffit of Basement floor slab</t>
  </si>
  <si>
    <t>Horizontal soffit of Ground floor slab</t>
  </si>
  <si>
    <t>Edge of ground slab 200mm wide</t>
  </si>
  <si>
    <t>Horizontal soffit of Parking level floor slab</t>
  </si>
  <si>
    <t>Horizontal soffit of 1st/2nd floor slab</t>
  </si>
  <si>
    <t>Edge of parking level slab 200mm wide</t>
  </si>
  <si>
    <t>Edge of 1st / 2nd floor slab 175mm wide</t>
  </si>
  <si>
    <t>Edge of basement slab 175mm wide</t>
  </si>
  <si>
    <t xml:space="preserve">STAIRCASES </t>
  </si>
  <si>
    <t>16mm diameter bar</t>
  </si>
  <si>
    <t>12mm diameter bar</t>
  </si>
  <si>
    <t>10mm diameter links and stirrups</t>
  </si>
  <si>
    <t>Sides and soffits of beam</t>
  </si>
  <si>
    <t>Sides of staircases / ramps including cutting and fitting to risers.</t>
  </si>
  <si>
    <t xml:space="preserve">Sloping soffit of staircases </t>
  </si>
  <si>
    <t>Ground Tie beam</t>
  </si>
  <si>
    <t>Column Bases</t>
  </si>
  <si>
    <t>16mm diameter bar in ground tie beam</t>
  </si>
  <si>
    <t>10mm diameter bar in ground tie beam</t>
  </si>
  <si>
    <t>12mm diameter bar in Lift shaft base</t>
  </si>
  <si>
    <t>25mm diameter bar in Raft beams</t>
  </si>
  <si>
    <t>12mm diameter bar in Raft slab</t>
  </si>
  <si>
    <t>16mm diameter bar in columns base</t>
  </si>
  <si>
    <t>Sides of Ground tie Beam</t>
  </si>
  <si>
    <t xml:space="preserve">Ditto: lift shaft base </t>
  </si>
  <si>
    <t>Ditto: columns bases</t>
  </si>
  <si>
    <t>Retaining Wall base</t>
  </si>
  <si>
    <t>Retaining Wall footing</t>
  </si>
  <si>
    <t>12mm diameter bar in Retaining wall base/footing</t>
  </si>
  <si>
    <t>16mm diameter bar in Retaining wall base/footing</t>
  </si>
  <si>
    <t>Ditto: Retaining wall base</t>
  </si>
  <si>
    <t>Ditto: Retaining wall footing</t>
  </si>
  <si>
    <t>Ditto:Retaining Wall</t>
  </si>
  <si>
    <t>12mm diameter bar in Retaining wall</t>
  </si>
  <si>
    <t>16mm diameter bar in Retaining wall</t>
  </si>
  <si>
    <t>Ditto: sides of Retaing Wall</t>
  </si>
  <si>
    <t>25mm diameter bar in Starter columns</t>
  </si>
  <si>
    <t>Vibrated Concrete grade 35 in:</t>
  </si>
  <si>
    <t>Vibrated Concrete Grade 25</t>
  </si>
  <si>
    <t>TYPE 7</t>
  </si>
  <si>
    <t>TYPE 8</t>
  </si>
  <si>
    <t>TYPE 9</t>
  </si>
  <si>
    <t>TYPE 10</t>
  </si>
  <si>
    <t>TYPE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</si>
</sst>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-* #,##0.00_-;\-* #,##0.00_-;_-* &quot;-&quot;??_-;_-@_-"/>
    <numFmt numFmtId="166" formatCode="_(* #,##0_);_(* \(#,##0\);_(* &quot;-&quot;??_);_(@_)"/>
    <numFmt numFmtId="167" formatCode="0.000"/>
    <numFmt numFmtId="168" formatCode="0.0"/>
    <numFmt numFmtId="169" formatCode="_-* #,##0_-;\-* #,##0_-;_-* &quot;-&quot;??_-;_-@_-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20"/>
      <name val="Algerian"/>
      <family val="5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Algerian"/>
      <family val="5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1"/>
      <name val="Comic Sans MS"/>
      <family val="4"/>
    </font>
    <font>
      <sz val="12"/>
      <color theme="1"/>
      <name val="Calibri"/>
      <family val="2"/>
      <charset val="134"/>
      <scheme val="minor"/>
    </font>
    <font>
      <b/>
      <sz val="10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12"/>
      <color rgb="FF000000"/>
      <name val="Calibri"/>
      <family val="2"/>
    </font>
    <font>
      <sz val="10"/>
      <name val="Comic Sans MS"/>
      <family val="4"/>
    </font>
    <font>
      <b/>
      <u/>
      <sz val="10"/>
      <name val="Comic Sans MS"/>
      <family val="4"/>
    </font>
    <font>
      <i/>
      <sz val="10"/>
      <name val="Comic Sans MS"/>
      <family val="4"/>
    </font>
    <font>
      <sz val="8"/>
      <name val="Comic Sans MS"/>
      <family val="4"/>
    </font>
    <font>
      <u/>
      <sz val="10"/>
      <name val="Comic Sans MS"/>
      <family val="4"/>
    </font>
    <font>
      <vertAlign val="superscript"/>
      <sz val="10"/>
      <name val="Comic Sans MS"/>
      <family val="4"/>
    </font>
    <font>
      <i/>
      <sz val="8"/>
      <name val="Comic Sans MS"/>
      <family val="4"/>
    </font>
    <font>
      <b/>
      <i/>
      <sz val="10"/>
      <name val="Comic Sans MS"/>
      <family val="4"/>
    </font>
    <font>
      <b/>
      <sz val="8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0" fontId="4" fillId="0" borderId="0"/>
    <xf numFmtId="0" fontId="24" fillId="0" borderId="0"/>
    <xf numFmtId="43" fontId="3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37" fillId="0" borderId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10">
    <xf numFmtId="0" fontId="0" fillId="0" borderId="0" xfId="0"/>
    <xf numFmtId="0" fontId="7" fillId="0" borderId="0" xfId="0" applyFont="1"/>
    <xf numFmtId="0" fontId="9" fillId="0" borderId="0" xfId="0" applyFont="1"/>
    <xf numFmtId="0" fontId="9" fillId="4" borderId="2" xfId="0" applyFont="1" applyFill="1" applyBorder="1"/>
    <xf numFmtId="2" fontId="7" fillId="0" borderId="0" xfId="0" applyNumberFormat="1" applyFont="1"/>
    <xf numFmtId="0" fontId="10" fillId="0" borderId="0" xfId="0" applyFont="1"/>
    <xf numFmtId="0" fontId="10" fillId="0" borderId="3" xfId="0" applyFont="1" applyBorder="1"/>
    <xf numFmtId="0" fontId="10" fillId="0" borderId="0" xfId="0" applyFont="1" applyBorder="1"/>
    <xf numFmtId="2" fontId="10" fillId="0" borderId="0" xfId="0" applyNumberFormat="1" applyFont="1"/>
    <xf numFmtId="0" fontId="10" fillId="4" borderId="0" xfId="0" applyFont="1" applyFill="1"/>
    <xf numFmtId="0" fontId="7" fillId="0" borderId="0" xfId="0" applyFont="1" applyAlignment="1">
      <alignment horizontal="right"/>
    </xf>
    <xf numFmtId="0" fontId="10" fillId="4" borderId="2" xfId="0" applyFont="1" applyFill="1" applyBorder="1"/>
    <xf numFmtId="1" fontId="7" fillId="0" borderId="0" xfId="0" applyNumberFormat="1" applyFont="1"/>
    <xf numFmtId="0" fontId="11" fillId="3" borderId="0" xfId="0" applyFont="1" applyFill="1"/>
    <xf numFmtId="0" fontId="11" fillId="0" borderId="0" xfId="0" applyFont="1"/>
    <xf numFmtId="0" fontId="11" fillId="4" borderId="4" xfId="0" applyFont="1" applyFill="1" applyBorder="1"/>
    <xf numFmtId="0" fontId="11" fillId="4" borderId="2" xfId="0" applyFont="1" applyFill="1" applyBorder="1"/>
    <xf numFmtId="0" fontId="11" fillId="4" borderId="5" xfId="0" applyFont="1" applyFill="1" applyBorder="1"/>
    <xf numFmtId="0" fontId="10" fillId="0" borderId="6" xfId="0" applyFont="1" applyBorder="1"/>
    <xf numFmtId="0" fontId="9" fillId="3" borderId="0" xfId="0" applyFont="1" applyFill="1"/>
    <xf numFmtId="0" fontId="7" fillId="0" borderId="0" xfId="0" applyFont="1" applyAlignment="1">
      <alignment horizontal="center"/>
    </xf>
    <xf numFmtId="0" fontId="9" fillId="4" borderId="4" xfId="0" applyFont="1" applyFill="1" applyBorder="1"/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9" fillId="4" borderId="5" xfId="0" applyFont="1" applyFill="1" applyBorder="1"/>
    <xf numFmtId="0" fontId="7" fillId="4" borderId="0" xfId="0" applyFont="1" applyFill="1"/>
    <xf numFmtId="2" fontId="7" fillId="4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 applyAlignment="1">
      <alignment horizontal="right"/>
    </xf>
    <xf numFmtId="0" fontId="7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12" fillId="3" borderId="0" xfId="0" applyFont="1" applyFill="1"/>
    <xf numFmtId="0" fontId="9" fillId="3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/>
    <xf numFmtId="0" fontId="13" fillId="0" borderId="0" xfId="0" applyFont="1"/>
    <xf numFmtId="0" fontId="14" fillId="0" borderId="0" xfId="0" applyFont="1"/>
    <xf numFmtId="0" fontId="9" fillId="3" borderId="0" xfId="0" applyFont="1" applyFill="1" applyBorder="1"/>
    <xf numFmtId="0" fontId="10" fillId="0" borderId="7" xfId="0" applyFont="1" applyBorder="1"/>
    <xf numFmtId="0" fontId="10" fillId="0" borderId="8" xfId="0" applyFont="1" applyBorder="1"/>
    <xf numFmtId="0" fontId="7" fillId="0" borderId="8" xfId="0" applyFont="1" applyBorder="1"/>
    <xf numFmtId="0" fontId="15" fillId="0" borderId="0" xfId="0" applyFont="1"/>
    <xf numFmtId="0" fontId="16" fillId="0" borderId="0" xfId="0" applyFont="1"/>
    <xf numFmtId="2" fontId="17" fillId="0" borderId="0" xfId="0" applyNumberFormat="1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0" fillId="0" borderId="0" xfId="0" applyFont="1" applyAlignment="1">
      <alignment horizontal="right"/>
    </xf>
    <xf numFmtId="2" fontId="9" fillId="4" borderId="2" xfId="0" applyNumberFormat="1" applyFont="1" applyFill="1" applyBorder="1"/>
    <xf numFmtId="2" fontId="19" fillId="0" borderId="0" xfId="0" applyNumberFormat="1" applyFont="1"/>
    <xf numFmtId="0" fontId="19" fillId="0" borderId="0" xfId="0" applyFont="1"/>
    <xf numFmtId="43" fontId="19" fillId="0" borderId="0" xfId="1" applyFont="1"/>
    <xf numFmtId="43" fontId="16" fillId="0" borderId="0" xfId="1" applyFont="1"/>
    <xf numFmtId="0" fontId="12" fillId="0" borderId="0" xfId="0" applyFont="1"/>
    <xf numFmtId="166" fontId="9" fillId="4" borderId="2" xfId="1" applyNumberFormat="1" applyFont="1" applyFill="1" applyBorder="1"/>
    <xf numFmtId="0" fontId="7" fillId="0" borderId="7" xfId="0" applyFont="1" applyBorder="1"/>
    <xf numFmtId="0" fontId="7" fillId="0" borderId="9" xfId="0" applyFont="1" applyBorder="1"/>
    <xf numFmtId="167" fontId="18" fillId="0" borderId="0" xfId="0" applyNumberFormat="1" applyFont="1"/>
    <xf numFmtId="43" fontId="19" fillId="0" borderId="0" xfId="0" applyNumberFormat="1" applyFont="1"/>
    <xf numFmtId="0" fontId="9" fillId="4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9" fillId="4" borderId="5" xfId="0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26" fillId="0" borderId="0" xfId="0" applyFont="1"/>
    <xf numFmtId="0" fontId="11" fillId="3" borderId="0" xfId="0" applyFont="1" applyFill="1" applyAlignment="1"/>
    <xf numFmtId="0" fontId="24" fillId="3" borderId="1" xfId="0" applyFont="1" applyFill="1" applyBorder="1" applyAlignment="1"/>
    <xf numFmtId="0" fontId="7" fillId="0" borderId="0" xfId="0" applyFont="1" applyFill="1"/>
    <xf numFmtId="0" fontId="12" fillId="4" borderId="2" xfId="0" applyFont="1" applyFill="1" applyBorder="1"/>
    <xf numFmtId="0" fontId="10" fillId="3" borderId="0" xfId="0" applyFont="1" applyFill="1"/>
    <xf numFmtId="0" fontId="27" fillId="4" borderId="2" xfId="0" applyFont="1" applyFill="1" applyBorder="1"/>
    <xf numFmtId="2" fontId="10" fillId="0" borderId="0" xfId="0" applyNumberFormat="1" applyFont="1" applyFill="1" applyBorder="1"/>
    <xf numFmtId="0" fontId="7" fillId="0" borderId="0" xfId="0" applyFont="1" applyFill="1" applyBorder="1"/>
    <xf numFmtId="0" fontId="7" fillId="6" borderId="0" xfId="0" applyFont="1" applyFill="1"/>
    <xf numFmtId="2" fontId="7" fillId="6" borderId="0" xfId="0" applyNumberFormat="1" applyFont="1" applyFill="1"/>
    <xf numFmtId="0" fontId="28" fillId="0" borderId="0" xfId="0" applyFont="1"/>
    <xf numFmtId="2" fontId="10" fillId="0" borderId="3" xfId="0" applyNumberFormat="1" applyFont="1" applyBorder="1"/>
    <xf numFmtId="0" fontId="29" fillId="5" borderId="0" xfId="0" applyFont="1" applyFill="1" applyAlignment="1">
      <alignment horizontal="center"/>
    </xf>
    <xf numFmtId="2" fontId="10" fillId="0" borderId="0" xfId="0" applyNumberFormat="1" applyFont="1" applyBorder="1"/>
    <xf numFmtId="2" fontId="7" fillId="4" borderId="2" xfId="0" applyNumberFormat="1" applyFont="1" applyFill="1" applyBorder="1"/>
    <xf numFmtId="0" fontId="7" fillId="4" borderId="2" xfId="0" applyFont="1" applyFill="1" applyBorder="1"/>
    <xf numFmtId="2" fontId="7" fillId="4" borderId="5" xfId="0" applyNumberFormat="1" applyFont="1" applyFill="1" applyBorder="1"/>
    <xf numFmtId="2" fontId="18" fillId="0" borderId="0" xfId="0" applyNumberFormat="1" applyFont="1"/>
    <xf numFmtId="1" fontId="10" fillId="0" borderId="0" xfId="0" applyNumberFormat="1" applyFont="1"/>
    <xf numFmtId="2" fontId="15" fillId="0" borderId="6" xfId="0" applyNumberFormat="1" applyFont="1" applyBorder="1"/>
    <xf numFmtId="0" fontId="7" fillId="3" borderId="0" xfId="0" applyFont="1" applyFill="1"/>
    <xf numFmtId="168" fontId="10" fillId="0" borderId="0" xfId="0" applyNumberFormat="1" applyFont="1"/>
    <xf numFmtId="0" fontId="7" fillId="0" borderId="0" xfId="0" quotePrefix="1" applyFont="1"/>
    <xf numFmtId="2" fontId="28" fillId="0" borderId="0" xfId="0" applyNumberFormat="1" applyFont="1"/>
    <xf numFmtId="0" fontId="0" fillId="0" borderId="0" xfId="0" applyBorder="1"/>
    <xf numFmtId="2" fontId="7" fillId="0" borderId="0" xfId="0" applyNumberFormat="1" applyFont="1" applyAlignment="1">
      <alignment horizontal="right"/>
    </xf>
    <xf numFmtId="0" fontId="10" fillId="3" borderId="0" xfId="0" applyFont="1" applyFill="1" applyBorder="1"/>
    <xf numFmtId="43" fontId="10" fillId="0" borderId="0" xfId="1" applyFont="1"/>
    <xf numFmtId="0" fontId="30" fillId="6" borderId="0" xfId="0" applyFont="1" applyFill="1"/>
    <xf numFmtId="0" fontId="31" fillId="6" borderId="0" xfId="0" applyFont="1" applyFill="1"/>
    <xf numFmtId="2" fontId="30" fillId="6" borderId="0" xfId="0" applyNumberFormat="1" applyFont="1" applyFill="1"/>
    <xf numFmtId="43" fontId="7" fillId="0" borderId="0" xfId="0" applyNumberFormat="1" applyFont="1"/>
    <xf numFmtId="0" fontId="32" fillId="0" borderId="10" xfId="15" applyFont="1" applyBorder="1" applyAlignment="1">
      <alignment horizontal="center" vertical="center"/>
    </xf>
    <xf numFmtId="0" fontId="32" fillId="0" borderId="11" xfId="15" applyFont="1" applyBorder="1" applyAlignment="1">
      <alignment horizontal="center" vertical="center" wrapText="1"/>
    </xf>
    <xf numFmtId="0" fontId="32" fillId="0" borderId="12" xfId="15" applyFont="1" applyBorder="1" applyAlignment="1">
      <alignment horizontal="center" vertical="center"/>
    </xf>
    <xf numFmtId="43" fontId="34" fillId="0" borderId="13" xfId="16" applyFont="1" applyBorder="1" applyAlignment="1">
      <alignment horizontal="center" vertical="center"/>
    </xf>
    <xf numFmtId="0" fontId="32" fillId="0" borderId="14" xfId="16" applyNumberFormat="1" applyFont="1" applyBorder="1" applyAlignment="1">
      <alignment horizontal="center" vertical="center"/>
    </xf>
    <xf numFmtId="0" fontId="35" fillId="0" borderId="9" xfId="15" applyFont="1" applyBorder="1" applyAlignment="1">
      <alignment vertical="center"/>
    </xf>
    <xf numFmtId="0" fontId="35" fillId="0" borderId="0" xfId="15" applyFont="1" applyAlignment="1">
      <alignment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vertical="center"/>
    </xf>
    <xf numFmtId="4" fontId="38" fillId="0" borderId="0" xfId="3" applyNumberFormat="1" applyFont="1" applyAlignment="1">
      <alignment horizontal="center" vertical="center"/>
    </xf>
    <xf numFmtId="0" fontId="41" fillId="0" borderId="0" xfId="3" applyFont="1" applyAlignment="1">
      <alignment vertical="center"/>
    </xf>
    <xf numFmtId="0" fontId="38" fillId="0" borderId="0" xfId="3" applyFont="1" applyAlignment="1">
      <alignment vertical="center"/>
    </xf>
    <xf numFmtId="0" fontId="41" fillId="0" borderId="0" xfId="3" applyFont="1" applyAlignment="1">
      <alignment vertical="center" wrapText="1"/>
    </xf>
    <xf numFmtId="0" fontId="39" fillId="0" borderId="0" xfId="3" applyFont="1" applyAlignment="1">
      <alignment horizontal="left" vertical="center"/>
    </xf>
    <xf numFmtId="164" fontId="40" fillId="0" borderId="0" xfId="3" applyNumberFormat="1" applyFont="1" applyAlignment="1">
      <alignment vertical="center"/>
    </xf>
    <xf numFmtId="0" fontId="42" fillId="0" borderId="0" xfId="3" applyFont="1" applyAlignment="1">
      <alignment vertical="center"/>
    </xf>
    <xf numFmtId="4" fontId="38" fillId="0" borderId="0" xfId="4" applyNumberFormat="1" applyFont="1" applyAlignment="1">
      <alignment horizontal="center" vertical="center"/>
    </xf>
    <xf numFmtId="164" fontId="40" fillId="0" borderId="0" xfId="3" applyNumberFormat="1" applyFont="1" applyAlignment="1">
      <alignment horizontal="right" vertical="center"/>
    </xf>
    <xf numFmtId="164" fontId="44" fillId="0" borderId="0" xfId="4" applyNumberFormat="1" applyFont="1" applyAlignment="1">
      <alignment vertical="center"/>
    </xf>
    <xf numFmtId="0" fontId="42" fillId="0" borderId="0" xfId="3" applyFont="1" applyAlignment="1">
      <alignment vertical="center" wrapText="1"/>
    </xf>
    <xf numFmtId="169" fontId="38" fillId="0" borderId="0" xfId="19" applyNumberFormat="1" applyFont="1" applyAlignment="1">
      <alignment horizontal="center" vertical="center"/>
    </xf>
    <xf numFmtId="0" fontId="36" fillId="7" borderId="9" xfId="15" applyFont="1" applyFill="1" applyBorder="1" applyAlignment="1">
      <alignment horizontal="center" vertical="center" wrapText="1"/>
    </xf>
    <xf numFmtId="0" fontId="36" fillId="7" borderId="0" xfId="15" applyFont="1" applyFill="1" applyBorder="1" applyAlignment="1">
      <alignment horizontal="center" vertical="center" wrapText="1"/>
    </xf>
    <xf numFmtId="9" fontId="38" fillId="0" borderId="0" xfId="8" applyFont="1" applyFill="1" applyBorder="1" applyAlignment="1">
      <alignment horizontal="center" vertical="center"/>
    </xf>
    <xf numFmtId="9" fontId="39" fillId="0" borderId="0" xfId="8" applyFont="1" applyFill="1" applyBorder="1" applyAlignment="1">
      <alignment vertical="center"/>
    </xf>
    <xf numFmtId="0" fontId="38" fillId="0" borderId="0" xfId="3" applyFont="1" applyFill="1" applyBorder="1" applyAlignment="1">
      <alignment vertical="center"/>
    </xf>
    <xf numFmtId="0" fontId="38" fillId="0" borderId="0" xfId="3" applyFont="1" applyFill="1" applyBorder="1" applyAlignment="1">
      <alignment horizontal="center" vertical="center"/>
    </xf>
    <xf numFmtId="4" fontId="38" fillId="0" borderId="0" xfId="3" applyNumberFormat="1" applyFont="1" applyFill="1" applyBorder="1" applyAlignment="1">
      <alignment horizontal="center" vertical="center"/>
    </xf>
    <xf numFmtId="164" fontId="40" fillId="0" borderId="0" xfId="3" applyNumberFormat="1" applyFont="1" applyFill="1" applyBorder="1" applyAlignment="1">
      <alignment vertical="center"/>
    </xf>
    <xf numFmtId="0" fontId="41" fillId="0" borderId="0" xfId="3" applyFont="1" applyFill="1" applyBorder="1" applyAlignment="1">
      <alignment vertical="center"/>
    </xf>
    <xf numFmtId="0" fontId="34" fillId="0" borderId="0" xfId="3" applyFont="1" applyFill="1" applyBorder="1" applyAlignment="1">
      <alignment horizontal="center" vertical="center"/>
    </xf>
    <xf numFmtId="0" fontId="39" fillId="0" borderId="0" xfId="3" applyFont="1" applyFill="1" applyBorder="1" applyAlignment="1">
      <alignment vertical="center"/>
    </xf>
    <xf numFmtId="0" fontId="38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left" vertical="center"/>
    </xf>
    <xf numFmtId="0" fontId="38" fillId="0" borderId="0" xfId="3" applyFont="1" applyFill="1" applyAlignment="1">
      <alignment vertical="center"/>
    </xf>
    <xf numFmtId="4" fontId="38" fillId="0" borderId="0" xfId="11" applyNumberFormat="1" applyFont="1" applyFill="1" applyAlignment="1">
      <alignment horizontal="center" vertical="center"/>
    </xf>
    <xf numFmtId="43" fontId="38" fillId="0" borderId="0" xfId="11" applyFont="1" applyFill="1" applyAlignment="1">
      <alignment vertical="center"/>
    </xf>
    <xf numFmtId="0" fontId="41" fillId="0" borderId="0" xfId="3" applyFont="1" applyFill="1" applyAlignment="1">
      <alignment vertical="center"/>
    </xf>
    <xf numFmtId="0" fontId="4" fillId="0" borderId="0" xfId="3" applyFill="1" applyAlignment="1">
      <alignment vertical="center"/>
    </xf>
    <xf numFmtId="0" fontId="38" fillId="0" borderId="0" xfId="3" applyFont="1" applyFill="1" applyBorder="1" applyAlignment="1">
      <alignment horizontal="justify" vertical="center" wrapText="1"/>
    </xf>
    <xf numFmtId="169" fontId="38" fillId="0" borderId="0" xfId="19" applyNumberFormat="1" applyFont="1" applyFill="1" applyBorder="1" applyAlignment="1">
      <alignment vertical="center"/>
    </xf>
    <xf numFmtId="4" fontId="38" fillId="0" borderId="0" xfId="4" applyNumberFormat="1" applyFont="1" applyFill="1" applyBorder="1" applyAlignment="1">
      <alignment horizontal="center" vertical="center"/>
    </xf>
    <xf numFmtId="164" fontId="44" fillId="0" borderId="0" xfId="4" applyNumberFormat="1" applyFont="1" applyFill="1" applyBorder="1" applyAlignment="1">
      <alignment vertical="center"/>
    </xf>
    <xf numFmtId="1" fontId="41" fillId="0" borderId="0" xfId="3" applyNumberFormat="1" applyFont="1" applyFill="1" applyBorder="1" applyAlignment="1">
      <alignment vertical="center"/>
    </xf>
    <xf numFmtId="0" fontId="38" fillId="0" borderId="0" xfId="3" applyFont="1" applyFill="1" applyAlignment="1">
      <alignment vertical="center" wrapText="1"/>
    </xf>
    <xf numFmtId="169" fontId="38" fillId="0" borderId="0" xfId="19" applyNumberFormat="1" applyFont="1" applyFill="1" applyAlignment="1">
      <alignment horizontal="center" vertical="center"/>
    </xf>
    <xf numFmtId="4" fontId="38" fillId="0" borderId="0" xfId="4" applyNumberFormat="1" applyFont="1" applyFill="1" applyAlignment="1">
      <alignment horizontal="center" vertical="center"/>
    </xf>
    <xf numFmtId="0" fontId="42" fillId="0" borderId="0" xfId="3" applyFont="1" applyFill="1" applyBorder="1" applyAlignment="1">
      <alignment vertical="center"/>
    </xf>
    <xf numFmtId="0" fontId="34" fillId="0" borderId="0" xfId="3" applyFont="1" applyFill="1" applyBorder="1" applyAlignment="1">
      <alignment vertical="center"/>
    </xf>
    <xf numFmtId="4" fontId="34" fillId="0" borderId="0" xfId="4" applyNumberFormat="1" applyFont="1" applyFill="1" applyBorder="1" applyAlignment="1">
      <alignment horizontal="right" vertical="center"/>
    </xf>
    <xf numFmtId="164" fontId="45" fillId="0" borderId="0" xfId="4" applyNumberFormat="1" applyFont="1" applyFill="1" applyBorder="1" applyAlignment="1">
      <alignment vertical="center"/>
    </xf>
    <xf numFmtId="4" fontId="34" fillId="0" borderId="0" xfId="3" applyNumberFormat="1" applyFont="1" applyFill="1" applyBorder="1" applyAlignment="1">
      <alignment horizontal="center" vertical="center"/>
    </xf>
    <xf numFmtId="164" fontId="45" fillId="0" borderId="0" xfId="3" applyNumberFormat="1" applyFont="1" applyFill="1" applyBorder="1" applyAlignment="1">
      <alignment vertical="center"/>
    </xf>
    <xf numFmtId="0" fontId="46" fillId="0" borderId="0" xfId="3" applyFont="1" applyFill="1" applyBorder="1" applyAlignment="1">
      <alignment vertical="center"/>
    </xf>
    <xf numFmtId="0" fontId="42" fillId="0" borderId="0" xfId="3" applyFont="1" applyFill="1" applyBorder="1" applyAlignment="1">
      <alignment vertical="center" wrapText="1"/>
    </xf>
    <xf numFmtId="0" fontId="38" fillId="0" borderId="0" xfId="3" applyFont="1" applyFill="1" applyBorder="1" applyAlignment="1">
      <alignment vertical="center" wrapText="1"/>
    </xf>
    <xf numFmtId="0" fontId="34" fillId="0" borderId="0" xfId="3" applyFont="1" applyFill="1" applyBorder="1" applyAlignment="1">
      <alignment horizontal="left" vertical="center"/>
    </xf>
    <xf numFmtId="4" fontId="34" fillId="0" borderId="0" xfId="4" applyNumberFormat="1" applyFont="1" applyFill="1" applyBorder="1" applyAlignment="1">
      <alignment horizontal="center" vertical="center"/>
    </xf>
    <xf numFmtId="164" fontId="45" fillId="0" borderId="0" xfId="4" applyNumberFormat="1" applyFont="1" applyFill="1" applyBorder="1" applyAlignment="1">
      <alignment horizontal="right" vertical="center"/>
    </xf>
    <xf numFmtId="0" fontId="42" fillId="0" borderId="0" xfId="3" applyFont="1" applyFill="1" applyBorder="1" applyAlignment="1">
      <alignment horizontal="left" vertical="center" wrapText="1"/>
    </xf>
    <xf numFmtId="4" fontId="38" fillId="0" borderId="0" xfId="3" applyNumberFormat="1" applyFont="1" applyFill="1" applyAlignment="1">
      <alignment horizontal="center" vertical="center"/>
    </xf>
    <xf numFmtId="164" fontId="40" fillId="0" borderId="0" xfId="3" applyNumberFormat="1" applyFont="1" applyFill="1" applyAlignment="1">
      <alignment vertical="center"/>
    </xf>
    <xf numFmtId="0" fontId="40" fillId="0" borderId="0" xfId="3" applyFont="1" applyFill="1" applyBorder="1" applyAlignment="1">
      <alignment vertical="center"/>
    </xf>
    <xf numFmtId="4" fontId="38" fillId="0" borderId="0" xfId="11" applyNumberFormat="1" applyFont="1" applyFill="1" applyBorder="1" applyAlignment="1">
      <alignment horizontal="center" vertical="center"/>
    </xf>
    <xf numFmtId="0" fontId="42" fillId="0" borderId="0" xfId="3" applyFont="1" applyFill="1" applyBorder="1" applyAlignment="1">
      <alignment horizontal="justify" vertical="center" wrapText="1"/>
    </xf>
    <xf numFmtId="0" fontId="39" fillId="0" borderId="0" xfId="3" applyFont="1" applyFill="1" applyBorder="1" applyAlignment="1">
      <alignment horizontal="left" vertical="center"/>
    </xf>
    <xf numFmtId="164" fontId="40" fillId="0" borderId="0" xfId="3" applyNumberFormat="1" applyFont="1" applyFill="1" applyBorder="1" applyAlignment="1">
      <alignment horizontal="right" vertical="center"/>
    </xf>
    <xf numFmtId="0" fontId="38" fillId="0" borderId="0" xfId="3" applyFont="1" applyFill="1" applyBorder="1" applyAlignment="1">
      <alignment horizontal="right" vertical="center"/>
    </xf>
    <xf numFmtId="0" fontId="34" fillId="0" borderId="0" xfId="3" applyFont="1" applyFill="1" applyBorder="1" applyAlignment="1">
      <alignment horizontal="right" vertical="center"/>
    </xf>
    <xf numFmtId="0" fontId="38" fillId="0" borderId="0" xfId="3" applyFont="1" applyFill="1" applyBorder="1" applyAlignment="1">
      <alignment horizontal="left" vertical="center"/>
    </xf>
    <xf numFmtId="0" fontId="39" fillId="0" borderId="0" xfId="3" applyFont="1" applyFill="1" applyBorder="1" applyAlignment="1">
      <alignment vertical="center" wrapText="1"/>
    </xf>
    <xf numFmtId="164" fontId="45" fillId="0" borderId="0" xfId="3" applyNumberFormat="1" applyFont="1" applyFill="1" applyBorder="1" applyAlignment="1">
      <alignment horizontal="right" vertical="center"/>
    </xf>
    <xf numFmtId="4" fontId="34" fillId="0" borderId="0" xfId="3" applyNumberFormat="1" applyFont="1" applyFill="1" applyBorder="1" applyAlignment="1">
      <alignment vertical="center"/>
    </xf>
    <xf numFmtId="0" fontId="41" fillId="0" borderId="0" xfId="3" applyFont="1" applyFill="1" applyBorder="1" applyAlignment="1">
      <alignment vertical="center" wrapText="1"/>
    </xf>
    <xf numFmtId="164" fontId="45" fillId="0" borderId="0" xfId="3" applyNumberFormat="1" applyFont="1" applyFill="1" applyBorder="1" applyAlignment="1">
      <alignment horizontal="center" vertical="center"/>
    </xf>
    <xf numFmtId="164" fontId="40" fillId="0" borderId="0" xfId="3" applyNumberFormat="1" applyFont="1" applyFill="1" applyBorder="1" applyAlignment="1">
      <alignment horizontal="center" vertical="center"/>
    </xf>
    <xf numFmtId="0" fontId="38" fillId="0" borderId="0" xfId="3" quotePrefix="1" applyFont="1" applyFill="1" applyBorder="1" applyAlignment="1">
      <alignment vertical="center"/>
    </xf>
    <xf numFmtId="0" fontId="38" fillId="0" borderId="0" xfId="3" quotePrefix="1" applyFont="1" applyFill="1" applyBorder="1" applyAlignment="1">
      <alignment horizontal="center" vertical="center"/>
    </xf>
    <xf numFmtId="164" fontId="45" fillId="0" borderId="11" xfId="4" applyNumberFormat="1" applyFont="1" applyFill="1" applyBorder="1" applyAlignment="1">
      <alignment vertical="center"/>
    </xf>
    <xf numFmtId="9" fontId="39" fillId="0" borderId="0" xfId="8" applyFont="1" applyAlignment="1">
      <alignment vertical="center"/>
    </xf>
    <xf numFmtId="4" fontId="38" fillId="0" borderId="0" xfId="20" applyNumberFormat="1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164" fontId="40" fillId="0" borderId="0" xfId="4" applyNumberFormat="1" applyFont="1" applyAlignment="1">
      <alignment horizontal="right" vertical="center"/>
    </xf>
    <xf numFmtId="0" fontId="42" fillId="0" borderId="0" xfId="3" applyFont="1" applyAlignment="1">
      <alignment horizontal="center" vertical="center" wrapText="1"/>
    </xf>
    <xf numFmtId="0" fontId="38" fillId="0" borderId="0" xfId="3" applyFont="1" applyAlignment="1">
      <alignment vertical="center" wrapText="1"/>
    </xf>
    <xf numFmtId="0" fontId="38" fillId="0" borderId="0" xfId="3" applyFont="1" applyAlignment="1">
      <alignment horizontal="center" vertical="center" wrapText="1"/>
    </xf>
    <xf numFmtId="4" fontId="38" fillId="0" borderId="0" xfId="3" applyNumberFormat="1" applyFont="1" applyAlignment="1">
      <alignment horizontal="center" vertical="center" wrapText="1"/>
    </xf>
    <xf numFmtId="164" fontId="40" fillId="0" borderId="0" xfId="3" applyNumberFormat="1" applyFont="1" applyAlignment="1">
      <alignment vertical="center" wrapText="1"/>
    </xf>
    <xf numFmtId="0" fontId="38" fillId="0" borderId="0" xfId="3" applyFont="1" applyAlignment="1">
      <alignment horizontal="justify" vertical="center" wrapText="1"/>
    </xf>
    <xf numFmtId="0" fontId="34" fillId="0" borderId="0" xfId="3" applyFont="1" applyAlignment="1">
      <alignment vertical="center"/>
    </xf>
    <xf numFmtId="0" fontId="34" fillId="0" borderId="0" xfId="3" applyFont="1" applyAlignment="1">
      <alignment horizontal="center" vertical="center"/>
    </xf>
    <xf numFmtId="4" fontId="34" fillId="0" borderId="0" xfId="4" applyNumberFormat="1" applyFont="1" applyAlignment="1">
      <alignment horizontal="right" vertical="center"/>
    </xf>
    <xf numFmtId="0" fontId="38" fillId="0" borderId="0" xfId="3" applyFont="1" applyAlignment="1">
      <alignment horizontal="left" vertical="center"/>
    </xf>
    <xf numFmtId="0" fontId="29" fillId="5" borderId="0" xfId="0" applyFont="1" applyFill="1" applyAlignment="1">
      <alignment horizontal="center"/>
    </xf>
    <xf numFmtId="43" fontId="41" fillId="0" borderId="0" xfId="3" applyNumberFormat="1" applyFont="1" applyFill="1" applyBorder="1" applyAlignment="1">
      <alignment vertical="center"/>
    </xf>
    <xf numFmtId="0" fontId="36" fillId="7" borderId="9" xfId="15" applyFont="1" applyFill="1" applyBorder="1" applyAlignment="1">
      <alignment horizontal="center" vertical="center" wrapText="1"/>
    </xf>
    <xf numFmtId="0" fontId="36" fillId="7" borderId="0" xfId="15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0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</cellXfs>
  <cellStyles count="21">
    <cellStyle name="Comma" xfId="1" builtinId="3"/>
    <cellStyle name="Comma 10" xfId="9" xr:uid="{00000000-0005-0000-0000-000001000000}"/>
    <cellStyle name="Comma 13" xfId="19" xr:uid="{00000000-0005-0000-0000-000002000000}"/>
    <cellStyle name="Comma 2" xfId="17" xr:uid="{00000000-0005-0000-0000-000003000000}"/>
    <cellStyle name="Comma 2 2" xfId="6" xr:uid="{00000000-0005-0000-0000-000004000000}"/>
    <cellStyle name="Comma 2 3" xfId="4" xr:uid="{00000000-0005-0000-0000-000005000000}"/>
    <cellStyle name="Comma 3" xfId="11" xr:uid="{00000000-0005-0000-0000-000006000000}"/>
    <cellStyle name="Comma 3 2" xfId="10" xr:uid="{00000000-0005-0000-0000-000007000000}"/>
    <cellStyle name="Comma 3 3" xfId="16" xr:uid="{00000000-0005-0000-0000-000008000000}"/>
    <cellStyle name="Comma 4 2" xfId="13" xr:uid="{00000000-0005-0000-0000-000009000000}"/>
    <cellStyle name="Currency 2" xfId="20" xr:uid="{00000000-0005-0000-0000-00000A000000}"/>
    <cellStyle name="Normal" xfId="0" builtinId="0"/>
    <cellStyle name="Normal 2" xfId="3" xr:uid="{00000000-0005-0000-0000-00000C000000}"/>
    <cellStyle name="Normal 2 2" xfId="7" xr:uid="{00000000-0005-0000-0000-00000D000000}"/>
    <cellStyle name="Normal 3" xfId="5" xr:uid="{00000000-0005-0000-0000-00000E000000}"/>
    <cellStyle name="Normal 3 2" xfId="2" xr:uid="{00000000-0005-0000-0000-00000F000000}"/>
    <cellStyle name="Normal 3 2 2" xfId="12" xr:uid="{00000000-0005-0000-0000-000010000000}"/>
    <cellStyle name="Normal 3 2 2 2" xfId="14" xr:uid="{00000000-0005-0000-0000-000011000000}"/>
    <cellStyle name="Normal 4" xfId="15" xr:uid="{00000000-0005-0000-0000-000012000000}"/>
    <cellStyle name="Normal 4 2" xfId="18" xr:uid="{00000000-0005-0000-0000-000013000000}"/>
    <cellStyle name="Percent 2 2" xfId="8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NA%20FATIMA\Documents\YAHAYA%20ABUKUR%20DOCUMENTS\MANGAL%20PROJECT%20AT%20KADUNA\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Nsystem1/Downloads/Break%2520even%2520analysis%25202%2520as%2520at%252026th%2520June%25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SE%20BRIDGES\FRO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/ARCHIVES/Projects/7000-8000/01-7068.00%20Sunrise/01-7068.00%20EXHIBITS/Houston/Ex.%203%20Age%20Distribution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am%20Nadabo/Desktop/HOSPITALS/Users/Abubakar/Desktop/FCE%20OKENE%20PROJECTS/CONSTRUCTION%20OF%20BLOCK%20OF%20OFFICE%20AND%20CLASS%20AT%20FCE%20OKENE.%20AMMEND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Bud.Summ P n L"/>
      <sheetName val="Budgeted Profit and Loss"/>
      <sheetName val="Dep Sch"/>
      <sheetName val="Bud V Actual Funding"/>
      <sheetName val="Idale Const Budget Tracker"/>
      <sheetName val="Idale Cashflow"/>
      <sheetName val="Sheet5"/>
      <sheetName val="Variablecosts"/>
      <sheetName val="FixedCosts"/>
      <sheetName val="BEP"/>
      <sheetName val="Sheet1"/>
      <sheetName val="Break even analysis 2 as at 26t"/>
      <sheetName val="Break%20even%20analysis%202%20a"/>
    </sheetNames>
    <sheetDataSet>
      <sheetData sheetId="0"/>
      <sheetData sheetId="1">
        <row r="30">
          <cell r="U30">
            <v>229484730.66999999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9000000</v>
          </cell>
        </row>
        <row r="5">
          <cell r="C5">
            <v>2000</v>
          </cell>
        </row>
        <row r="7">
          <cell r="C7">
            <v>12401371676.029423</v>
          </cell>
        </row>
        <row r="8">
          <cell r="C8">
            <v>1505634518.6668048</v>
          </cell>
        </row>
        <row r="10">
          <cell r="C10">
            <v>2799314.1619852884</v>
          </cell>
        </row>
        <row r="11">
          <cell r="C11">
            <v>5598628323.9705763</v>
          </cell>
        </row>
        <row r="13">
          <cell r="C13">
            <v>537.8583579911591</v>
          </cell>
        </row>
      </sheetData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."/>
      <sheetName val="Sheet1"/>
      <sheetName val="Sheet2"/>
      <sheetName val="ex_"/>
    </sheetNames>
    <sheetDataSet>
      <sheetData sheetId="0"/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1"/>
  <sheetViews>
    <sheetView view="pageBreakPreview" topLeftCell="A232" zoomScale="139" zoomScaleNormal="139" zoomScaleSheetLayoutView="139" zoomScalePageLayoutView="139" workbookViewId="0">
      <selection activeCell="B309" sqref="B309"/>
    </sheetView>
  </sheetViews>
  <sheetFormatPr defaultColWidth="9.140625" defaultRowHeight="16.5"/>
  <cols>
    <col min="1" max="1" width="4.140625" style="137" customWidth="1"/>
    <col min="2" max="2" width="40.5703125" style="139" customWidth="1"/>
    <col min="3" max="3" width="9.85546875" style="139" customWidth="1"/>
    <col min="4" max="4" width="5" style="137" customWidth="1"/>
    <col min="5" max="5" width="18.42578125" style="165" customWidth="1"/>
    <col min="6" max="6" width="18.5703125" style="166" bestFit="1" customWidth="1"/>
    <col min="7" max="7" width="21.42578125" style="142" bestFit="1" customWidth="1"/>
    <col min="8" max="8" width="16.7109375" style="142" customWidth="1"/>
    <col min="9" max="9" width="12.28515625" style="142" customWidth="1"/>
    <col min="10" max="10" width="17.140625" style="142" bestFit="1" customWidth="1"/>
    <col min="11" max="11" width="16" style="142" bestFit="1" customWidth="1"/>
    <col min="12" max="16384" width="9.140625" style="142"/>
  </cols>
  <sheetData>
    <row r="1" spans="1:11" s="111" customFormat="1" ht="17.25" thickBot="1">
      <c r="A1" s="105" t="s">
        <v>329</v>
      </c>
      <c r="B1" s="106" t="s">
        <v>330</v>
      </c>
      <c r="C1" s="107" t="s">
        <v>331</v>
      </c>
      <c r="D1" s="107" t="s">
        <v>332</v>
      </c>
      <c r="E1" s="108" t="s">
        <v>333</v>
      </c>
      <c r="F1" s="109" t="s">
        <v>334</v>
      </c>
      <c r="G1" s="110"/>
    </row>
    <row r="2" spans="1:11" s="126" customFormat="1" ht="16.5" customHeight="1" thickTop="1">
      <c r="A2" s="200" t="s">
        <v>335</v>
      </c>
      <c r="B2" s="201"/>
      <c r="C2" s="201"/>
      <c r="D2" s="201"/>
      <c r="E2" s="201"/>
      <c r="F2" s="201"/>
      <c r="H2" s="127"/>
      <c r="I2" s="127"/>
      <c r="J2" s="127"/>
      <c r="K2" s="127"/>
    </row>
    <row r="3" spans="1:11" s="134" customFormat="1">
      <c r="A3" s="128"/>
      <c r="B3" s="129" t="s">
        <v>345</v>
      </c>
      <c r="C3" s="130"/>
      <c r="D3" s="131"/>
      <c r="E3" s="132"/>
      <c r="F3" s="133"/>
    </row>
    <row r="4" spans="1:11" s="134" customFormat="1">
      <c r="A4" s="131"/>
      <c r="B4" s="135"/>
      <c r="C4" s="130"/>
      <c r="D4" s="131"/>
      <c r="E4" s="132"/>
      <c r="F4" s="133"/>
    </row>
    <row r="5" spans="1:11" s="134" customFormat="1">
      <c r="A5" s="131"/>
      <c r="B5" s="136" t="s">
        <v>346</v>
      </c>
      <c r="C5" s="130"/>
      <c r="D5" s="131"/>
      <c r="E5" s="132"/>
      <c r="F5" s="133"/>
    </row>
    <row r="6" spans="1:11" s="134" customFormat="1">
      <c r="A6" s="131"/>
      <c r="B6" s="136"/>
      <c r="C6" s="130"/>
      <c r="D6" s="131"/>
      <c r="E6" s="132"/>
      <c r="F6" s="133"/>
    </row>
    <row r="7" spans="1:11" s="143" customFormat="1">
      <c r="A7" s="137"/>
      <c r="B7" s="138" t="s">
        <v>1</v>
      </c>
      <c r="C7" s="139"/>
      <c r="D7" s="137"/>
      <c r="E7" s="140"/>
      <c r="F7" s="141"/>
      <c r="G7" s="142"/>
    </row>
    <row r="8" spans="1:11" s="143" customFormat="1">
      <c r="A8" s="137"/>
      <c r="B8" s="138"/>
      <c r="C8" s="139"/>
      <c r="D8" s="137"/>
      <c r="E8" s="140"/>
      <c r="F8" s="141"/>
      <c r="G8" s="142"/>
    </row>
    <row r="9" spans="1:11" s="143" customFormat="1">
      <c r="A9" s="137"/>
      <c r="B9" s="138" t="s">
        <v>347</v>
      </c>
      <c r="C9" s="139"/>
      <c r="D9" s="137"/>
      <c r="E9" s="140"/>
      <c r="F9" s="141"/>
      <c r="G9" s="142"/>
    </row>
    <row r="10" spans="1:11" s="134" customFormat="1" ht="17.25" customHeight="1">
      <c r="A10" s="131"/>
      <c r="B10" s="130"/>
      <c r="C10" s="130"/>
      <c r="D10" s="131"/>
      <c r="E10" s="132"/>
      <c r="F10" s="133"/>
    </row>
    <row r="11" spans="1:11" s="134" customFormat="1" ht="40.5" customHeight="1">
      <c r="A11" s="131" t="s">
        <v>2</v>
      </c>
      <c r="B11" s="144" t="s">
        <v>3</v>
      </c>
      <c r="C11" s="145">
        <v>1181</v>
      </c>
      <c r="D11" s="131" t="s">
        <v>344</v>
      </c>
      <c r="E11" s="146">
        <v>100</v>
      </c>
      <c r="F11" s="133">
        <f t="shared" ref="F11:F21" si="0">C11*E11</f>
        <v>118100</v>
      </c>
      <c r="G11" s="147"/>
      <c r="H11" s="148"/>
    </row>
    <row r="12" spans="1:11" s="134" customFormat="1" ht="51.75" customHeight="1">
      <c r="A12" s="131" t="s">
        <v>4</v>
      </c>
      <c r="B12" s="144" t="s">
        <v>348</v>
      </c>
      <c r="C12" s="130">
        <f>ROUNDUP(47*0.69*1.2,0)</f>
        <v>39</v>
      </c>
      <c r="D12" s="131" t="s">
        <v>342</v>
      </c>
      <c r="E12" s="146">
        <v>1200</v>
      </c>
      <c r="F12" s="133">
        <f t="shared" si="0"/>
        <v>46800</v>
      </c>
      <c r="G12" s="147"/>
      <c r="H12" s="148"/>
    </row>
    <row r="13" spans="1:11" s="134" customFormat="1" ht="45" customHeight="1">
      <c r="A13" s="131" t="s">
        <v>5</v>
      </c>
      <c r="B13" s="144" t="s">
        <v>349</v>
      </c>
      <c r="C13" s="130">
        <v>3897</v>
      </c>
      <c r="D13" s="131" t="s">
        <v>342</v>
      </c>
      <c r="E13" s="146">
        <f>E12</f>
        <v>1200</v>
      </c>
      <c r="F13" s="133">
        <f t="shared" si="0"/>
        <v>4676400</v>
      </c>
      <c r="G13" s="147"/>
      <c r="H13" s="148"/>
    </row>
    <row r="14" spans="1:11" s="134" customFormat="1" ht="17.25" customHeight="1">
      <c r="A14" s="131" t="s">
        <v>6</v>
      </c>
      <c r="B14" s="144" t="s">
        <v>350</v>
      </c>
      <c r="C14" s="130">
        <v>3</v>
      </c>
      <c r="D14" s="131" t="s">
        <v>342</v>
      </c>
      <c r="E14" s="146">
        <f>E13</f>
        <v>1200</v>
      </c>
      <c r="F14" s="133">
        <f>C14*E14</f>
        <v>3600</v>
      </c>
      <c r="G14" s="147"/>
      <c r="H14" s="148"/>
    </row>
    <row r="15" spans="1:11" s="134" customFormat="1" ht="55.5" customHeight="1">
      <c r="A15" s="131" t="s">
        <v>7</v>
      </c>
      <c r="B15" s="144" t="s">
        <v>351</v>
      </c>
      <c r="C15" s="130">
        <f>ROUNDUP((116*2.4*0.4)+(116*0.3*0.4),0)</f>
        <v>126</v>
      </c>
      <c r="D15" s="131" t="s">
        <v>342</v>
      </c>
      <c r="E15" s="146">
        <v>1200</v>
      </c>
      <c r="F15" s="133">
        <f t="shared" si="0"/>
        <v>151200</v>
      </c>
      <c r="H15" s="148"/>
    </row>
    <row r="16" spans="1:11" s="134" customFormat="1" ht="30.75" customHeight="1">
      <c r="A16" s="131" t="s">
        <v>8</v>
      </c>
      <c r="B16" s="144" t="s">
        <v>352</v>
      </c>
      <c r="C16" s="130">
        <f>ROUNDUP((116*2.4)+(116*0.4)+(47*0.69)+(2.7*2.7)+(55),0)</f>
        <v>420</v>
      </c>
      <c r="D16" s="131" t="s">
        <v>344</v>
      </c>
      <c r="E16" s="146">
        <v>150</v>
      </c>
      <c r="F16" s="133">
        <f t="shared" si="0"/>
        <v>63000</v>
      </c>
      <c r="G16" s="147"/>
      <c r="H16" s="148"/>
    </row>
    <row r="17" spans="1:8" s="134" customFormat="1" ht="30.75" customHeight="1">
      <c r="A17" s="131" t="s">
        <v>9</v>
      </c>
      <c r="B17" s="144" t="s">
        <v>353</v>
      </c>
      <c r="C17" s="130">
        <f>C13</f>
        <v>3897</v>
      </c>
      <c r="D17" s="131" t="s">
        <v>342</v>
      </c>
      <c r="E17" s="146">
        <v>450</v>
      </c>
      <c r="F17" s="133">
        <f t="shared" si="0"/>
        <v>1753650</v>
      </c>
      <c r="G17" s="147"/>
      <c r="H17" s="148"/>
    </row>
    <row r="18" spans="1:8" s="134" customFormat="1" ht="44.25" customHeight="1">
      <c r="A18" s="137" t="s">
        <v>10</v>
      </c>
      <c r="B18" s="144" t="s">
        <v>354</v>
      </c>
      <c r="C18" s="130">
        <v>76</v>
      </c>
      <c r="D18" s="131" t="s">
        <v>342</v>
      </c>
      <c r="E18" s="146">
        <v>400</v>
      </c>
      <c r="F18" s="133">
        <f t="shared" si="0"/>
        <v>30400</v>
      </c>
      <c r="G18" s="147"/>
      <c r="H18" s="148"/>
    </row>
    <row r="19" spans="1:8" s="134" customFormat="1" ht="44.25" customHeight="1">
      <c r="A19" s="131" t="s">
        <v>11</v>
      </c>
      <c r="B19" s="149" t="s">
        <v>355</v>
      </c>
      <c r="C19" s="150"/>
      <c r="D19" s="131" t="s">
        <v>342</v>
      </c>
      <c r="E19" s="151">
        <v>3000</v>
      </c>
      <c r="F19" s="133">
        <f t="shared" si="0"/>
        <v>0</v>
      </c>
      <c r="G19" s="147"/>
      <c r="H19" s="148"/>
    </row>
    <row r="20" spans="1:8" s="134" customFormat="1" ht="36" customHeight="1">
      <c r="A20" s="131" t="s">
        <v>12</v>
      </c>
      <c r="B20" s="144" t="s">
        <v>356</v>
      </c>
      <c r="C20" s="145"/>
      <c r="D20" s="131" t="s">
        <v>344</v>
      </c>
      <c r="E20" s="146">
        <v>1200</v>
      </c>
      <c r="F20" s="133">
        <f t="shared" si="0"/>
        <v>0</v>
      </c>
      <c r="G20" s="147"/>
      <c r="H20" s="148"/>
    </row>
    <row r="21" spans="1:8" s="134" customFormat="1" ht="36" customHeight="1">
      <c r="A21" s="131" t="s">
        <v>13</v>
      </c>
      <c r="B21" s="144" t="s">
        <v>357</v>
      </c>
      <c r="C21" s="145"/>
      <c r="D21" s="131" t="s">
        <v>344</v>
      </c>
      <c r="E21" s="146">
        <v>150</v>
      </c>
      <c r="F21" s="133">
        <f t="shared" si="0"/>
        <v>0</v>
      </c>
      <c r="G21" s="147"/>
      <c r="H21" s="148"/>
    </row>
    <row r="22" spans="1:8" s="134" customFormat="1">
      <c r="A22" s="131"/>
      <c r="B22" s="138" t="s">
        <v>23</v>
      </c>
      <c r="C22" s="130"/>
      <c r="D22" s="131"/>
      <c r="E22" s="146"/>
      <c r="F22" s="133"/>
      <c r="H22" s="148"/>
    </row>
    <row r="23" spans="1:8" s="134" customFormat="1" ht="17.25" customHeight="1">
      <c r="A23" s="131"/>
      <c r="B23" s="152" t="s">
        <v>358</v>
      </c>
      <c r="C23" s="130"/>
      <c r="D23" s="131"/>
      <c r="E23" s="146"/>
      <c r="F23" s="133"/>
      <c r="H23" s="148"/>
    </row>
    <row r="24" spans="1:8" s="134" customFormat="1" ht="17.25" customHeight="1">
      <c r="A24" s="131" t="s">
        <v>14</v>
      </c>
      <c r="B24" s="130" t="s">
        <v>359</v>
      </c>
      <c r="C24" s="130">
        <f>32+55+255</f>
        <v>342</v>
      </c>
      <c r="D24" s="131" t="s">
        <v>344</v>
      </c>
      <c r="E24" s="146">
        <v>1250</v>
      </c>
      <c r="F24" s="133">
        <f>C24*E24</f>
        <v>427500</v>
      </c>
      <c r="G24" s="147"/>
      <c r="H24" s="148"/>
    </row>
    <row r="25" spans="1:8" s="134" customFormat="1" ht="17.25" customHeight="1">
      <c r="A25" s="131" t="s">
        <v>15</v>
      </c>
      <c r="B25" s="130" t="s">
        <v>350</v>
      </c>
      <c r="C25" s="130"/>
      <c r="D25" s="131" t="s">
        <v>344</v>
      </c>
      <c r="E25" s="146">
        <v>1250</v>
      </c>
      <c r="F25" s="133">
        <f>C25*E25</f>
        <v>0</v>
      </c>
      <c r="G25" s="147"/>
      <c r="H25" s="148"/>
    </row>
    <row r="26" spans="1:8" s="134" customFormat="1" ht="17.25" customHeight="1">
      <c r="A26" s="131"/>
      <c r="B26" s="152" t="s">
        <v>360</v>
      </c>
      <c r="C26" s="130"/>
      <c r="D26" s="131"/>
      <c r="E26" s="146"/>
      <c r="F26" s="133"/>
      <c r="H26" s="148"/>
    </row>
    <row r="27" spans="1:8" s="134" customFormat="1" ht="17.25" customHeight="1">
      <c r="A27" s="131" t="s">
        <v>16</v>
      </c>
      <c r="B27" s="130" t="s">
        <v>339</v>
      </c>
      <c r="C27" s="130"/>
      <c r="D27" s="131" t="s">
        <v>342</v>
      </c>
      <c r="E27" s="146">
        <v>40000</v>
      </c>
      <c r="F27" s="133">
        <f>C27*E27</f>
        <v>0</v>
      </c>
      <c r="G27" s="147"/>
      <c r="H27" s="148"/>
    </row>
    <row r="28" spans="1:8" s="134" customFormat="1" ht="17.25" customHeight="1">
      <c r="A28" s="131"/>
      <c r="B28" s="153" t="s">
        <v>361</v>
      </c>
      <c r="C28" s="153"/>
      <c r="D28" s="135"/>
      <c r="E28" s="154" t="s">
        <v>15</v>
      </c>
      <c r="F28" s="155">
        <f>SUM(F7:F27)</f>
        <v>7270650</v>
      </c>
      <c r="H28" s="148"/>
    </row>
    <row r="29" spans="1:8" s="158" customFormat="1" ht="17.25" customHeight="1">
      <c r="A29" s="135"/>
      <c r="B29" s="136" t="s">
        <v>336</v>
      </c>
      <c r="C29" s="153"/>
      <c r="D29" s="135"/>
      <c r="E29" s="156"/>
      <c r="F29" s="157"/>
      <c r="H29" s="148"/>
    </row>
    <row r="30" spans="1:8" s="134" customFormat="1" ht="30.75" customHeight="1">
      <c r="A30" s="131"/>
      <c r="B30" s="152" t="s">
        <v>362</v>
      </c>
      <c r="C30" s="130"/>
      <c r="D30" s="131"/>
      <c r="E30" s="132"/>
      <c r="F30" s="133"/>
      <c r="H30" s="148"/>
    </row>
    <row r="31" spans="1:8" s="134" customFormat="1" ht="17.25" customHeight="1">
      <c r="A31" s="131"/>
      <c r="B31" s="152" t="s">
        <v>497</v>
      </c>
      <c r="C31" s="130"/>
      <c r="D31" s="131"/>
      <c r="E31" s="132"/>
      <c r="F31" s="133"/>
      <c r="H31" s="148"/>
    </row>
    <row r="32" spans="1:8" s="134" customFormat="1" ht="23.25" customHeight="1">
      <c r="A32" s="131" t="s">
        <v>2</v>
      </c>
      <c r="B32" s="130" t="s">
        <v>475</v>
      </c>
      <c r="C32" s="130">
        <v>5</v>
      </c>
      <c r="D32" s="131" t="s">
        <v>342</v>
      </c>
      <c r="E32" s="146">
        <v>80000</v>
      </c>
      <c r="F32" s="133">
        <f t="shared" ref="F32:F39" si="1">C32*E32</f>
        <v>400000</v>
      </c>
      <c r="G32" s="147"/>
      <c r="H32" s="148"/>
    </row>
    <row r="33" spans="1:8" s="134" customFormat="1" ht="23.25" customHeight="1">
      <c r="A33" s="131" t="s">
        <v>4</v>
      </c>
      <c r="B33" s="130" t="s">
        <v>363</v>
      </c>
      <c r="C33" s="130">
        <v>3</v>
      </c>
      <c r="D33" s="131" t="s">
        <v>342</v>
      </c>
      <c r="E33" s="146">
        <f>E32</f>
        <v>80000</v>
      </c>
      <c r="F33" s="133">
        <f t="shared" si="1"/>
        <v>240000</v>
      </c>
      <c r="G33" s="147"/>
      <c r="H33" s="148"/>
    </row>
    <row r="34" spans="1:8" s="134" customFormat="1" ht="21.75" customHeight="1">
      <c r="A34" s="131" t="s">
        <v>5</v>
      </c>
      <c r="B34" s="130" t="s">
        <v>364</v>
      </c>
      <c r="C34" s="130">
        <v>242</v>
      </c>
      <c r="D34" s="131" t="s">
        <v>342</v>
      </c>
      <c r="E34" s="146">
        <f>E32</f>
        <v>80000</v>
      </c>
      <c r="F34" s="133">
        <f t="shared" si="1"/>
        <v>19360000</v>
      </c>
      <c r="G34" s="147"/>
      <c r="H34" s="148"/>
    </row>
    <row r="35" spans="1:8" s="134" customFormat="1" ht="21.75" customHeight="1">
      <c r="A35" s="131" t="s">
        <v>6</v>
      </c>
      <c r="B35" s="130" t="s">
        <v>365</v>
      </c>
      <c r="C35" s="130">
        <v>267</v>
      </c>
      <c r="D35" s="131" t="s">
        <v>342</v>
      </c>
      <c r="E35" s="146">
        <f>E33</f>
        <v>80000</v>
      </c>
      <c r="F35" s="133">
        <f t="shared" si="1"/>
        <v>21360000</v>
      </c>
      <c r="G35" s="147"/>
      <c r="H35" s="148"/>
    </row>
    <row r="36" spans="1:8" s="134" customFormat="1" ht="21.75" customHeight="1">
      <c r="A36" s="131" t="s">
        <v>6</v>
      </c>
      <c r="B36" s="130" t="s">
        <v>486</v>
      </c>
      <c r="C36" s="130">
        <v>102</v>
      </c>
      <c r="D36" s="131" t="s">
        <v>342</v>
      </c>
      <c r="E36" s="146">
        <f>E34</f>
        <v>80000</v>
      </c>
      <c r="F36" s="133">
        <f t="shared" si="1"/>
        <v>8160000</v>
      </c>
      <c r="G36" s="147"/>
      <c r="H36" s="148"/>
    </row>
    <row r="37" spans="1:8" s="134" customFormat="1" ht="21.75" customHeight="1">
      <c r="A37" s="131" t="s">
        <v>6</v>
      </c>
      <c r="B37" s="130" t="s">
        <v>487</v>
      </c>
      <c r="C37" s="130">
        <v>14</v>
      </c>
      <c r="D37" s="131" t="s">
        <v>342</v>
      </c>
      <c r="E37" s="146">
        <f>E35</f>
        <v>80000</v>
      </c>
      <c r="F37" s="133">
        <f t="shared" si="1"/>
        <v>1120000</v>
      </c>
      <c r="G37" s="147"/>
      <c r="H37" s="148"/>
    </row>
    <row r="38" spans="1:8" s="134" customFormat="1" ht="21.75" customHeight="1">
      <c r="A38" s="131" t="s">
        <v>6</v>
      </c>
      <c r="B38" s="130" t="s">
        <v>476</v>
      </c>
      <c r="C38" s="130">
        <v>31</v>
      </c>
      <c r="D38" s="131" t="s">
        <v>342</v>
      </c>
      <c r="E38" s="146">
        <f>E34</f>
        <v>80000</v>
      </c>
      <c r="F38" s="133">
        <f t="shared" si="1"/>
        <v>2480000</v>
      </c>
      <c r="G38" s="147"/>
      <c r="H38" s="148"/>
    </row>
    <row r="39" spans="1:8" s="134" customFormat="1" ht="21.75" customHeight="1">
      <c r="A39" s="131" t="s">
        <v>7</v>
      </c>
      <c r="B39" s="130" t="s">
        <v>366</v>
      </c>
      <c r="C39" s="130">
        <v>34</v>
      </c>
      <c r="D39" s="131" t="s">
        <v>342</v>
      </c>
      <c r="E39" s="146">
        <f>E34</f>
        <v>80000</v>
      </c>
      <c r="F39" s="133">
        <f t="shared" si="1"/>
        <v>2720000</v>
      </c>
      <c r="G39" s="147"/>
      <c r="H39" s="148"/>
    </row>
    <row r="40" spans="1:8" s="134" customFormat="1" ht="21.75" customHeight="1">
      <c r="A40" s="131"/>
      <c r="B40" s="138" t="s">
        <v>24</v>
      </c>
      <c r="C40" s="130"/>
      <c r="D40" s="131"/>
      <c r="E40" s="132"/>
      <c r="F40" s="133"/>
      <c r="H40" s="148"/>
    </row>
    <row r="41" spans="1:8" s="134" customFormat="1">
      <c r="A41" s="131"/>
      <c r="B41" s="159" t="s">
        <v>367</v>
      </c>
      <c r="C41" s="130"/>
      <c r="D41" s="131"/>
      <c r="E41" s="132"/>
      <c r="F41" s="133"/>
      <c r="H41" s="148"/>
    </row>
    <row r="42" spans="1:8" s="134" customFormat="1">
      <c r="A42" s="131" t="s">
        <v>8</v>
      </c>
      <c r="B42" s="160" t="s">
        <v>477</v>
      </c>
      <c r="C42" s="145">
        <v>319</v>
      </c>
      <c r="D42" s="131" t="s">
        <v>21</v>
      </c>
      <c r="E42" s="146">
        <v>600</v>
      </c>
      <c r="F42" s="133">
        <f t="shared" ref="F42:F55" si="2">C42*E42</f>
        <v>191400</v>
      </c>
      <c r="G42" s="147"/>
      <c r="H42" s="148"/>
    </row>
    <row r="43" spans="1:8" s="134" customFormat="1">
      <c r="A43" s="131" t="s">
        <v>8</v>
      </c>
      <c r="B43" s="160" t="s">
        <v>478</v>
      </c>
      <c r="C43" s="145">
        <v>191</v>
      </c>
      <c r="D43" s="131" t="s">
        <v>21</v>
      </c>
      <c r="E43" s="146">
        <f>E42</f>
        <v>600</v>
      </c>
      <c r="F43" s="133">
        <f t="shared" ref="F43" si="3">C43*E43</f>
        <v>114600</v>
      </c>
      <c r="G43" s="147"/>
      <c r="H43" s="148"/>
    </row>
    <row r="44" spans="1:8" s="134" customFormat="1" ht="22.5" customHeight="1">
      <c r="A44" s="131" t="s">
        <v>9</v>
      </c>
      <c r="B44" s="130" t="s">
        <v>479</v>
      </c>
      <c r="C44" s="145">
        <v>385</v>
      </c>
      <c r="D44" s="131" t="s">
        <v>21</v>
      </c>
      <c r="E44" s="146">
        <f>E42</f>
        <v>600</v>
      </c>
      <c r="F44" s="133">
        <f t="shared" si="2"/>
        <v>231000</v>
      </c>
      <c r="G44" s="147"/>
      <c r="H44" s="148"/>
    </row>
    <row r="45" spans="1:8" s="134" customFormat="1" ht="18" customHeight="1">
      <c r="A45" s="131" t="s">
        <v>10</v>
      </c>
      <c r="B45" s="130" t="s">
        <v>480</v>
      </c>
      <c r="C45" s="145">
        <v>21296</v>
      </c>
      <c r="D45" s="131" t="s">
        <v>21</v>
      </c>
      <c r="E45" s="146">
        <f>E44</f>
        <v>600</v>
      </c>
      <c r="F45" s="133">
        <f t="shared" si="2"/>
        <v>12777600</v>
      </c>
      <c r="G45" s="147"/>
      <c r="H45" s="148"/>
    </row>
    <row r="46" spans="1:8" s="134" customFormat="1" ht="18" customHeight="1">
      <c r="A46" s="131" t="s">
        <v>11</v>
      </c>
      <c r="B46" s="130" t="s">
        <v>368</v>
      </c>
      <c r="C46" s="145">
        <v>18634</v>
      </c>
      <c r="D46" s="131" t="s">
        <v>21</v>
      </c>
      <c r="E46" s="146">
        <f>E45</f>
        <v>600</v>
      </c>
      <c r="F46" s="133">
        <f t="shared" si="2"/>
        <v>11180400</v>
      </c>
      <c r="G46" s="147"/>
      <c r="H46" s="148"/>
    </row>
    <row r="47" spans="1:8" s="134" customFormat="1" ht="22.5" customHeight="1">
      <c r="A47" s="131" t="s">
        <v>13</v>
      </c>
      <c r="B47" s="130" t="s">
        <v>369</v>
      </c>
      <c r="C47" s="145">
        <v>6534</v>
      </c>
      <c r="D47" s="131" t="s">
        <v>21</v>
      </c>
      <c r="E47" s="146">
        <f>E46</f>
        <v>600</v>
      </c>
      <c r="F47" s="133">
        <f t="shared" si="2"/>
        <v>3920400</v>
      </c>
      <c r="G47" s="147"/>
      <c r="H47" s="148"/>
    </row>
    <row r="48" spans="1:8" s="134" customFormat="1" ht="18" customHeight="1">
      <c r="A48" s="131" t="s">
        <v>14</v>
      </c>
      <c r="B48" s="130" t="s">
        <v>481</v>
      </c>
      <c r="C48" s="145">
        <v>46208</v>
      </c>
      <c r="D48" s="131" t="s">
        <v>21</v>
      </c>
      <c r="E48" s="146">
        <f>E46</f>
        <v>600</v>
      </c>
      <c r="F48" s="133">
        <f t="shared" si="2"/>
        <v>27724800</v>
      </c>
      <c r="G48" s="147"/>
      <c r="H48" s="148"/>
    </row>
    <row r="49" spans="1:9" s="134" customFormat="1" ht="18" customHeight="1">
      <c r="A49" s="131" t="s">
        <v>14</v>
      </c>
      <c r="B49" s="130" t="s">
        <v>489</v>
      </c>
      <c r="C49" s="145">
        <v>5863</v>
      </c>
      <c r="D49" s="131" t="s">
        <v>21</v>
      </c>
      <c r="E49" s="146">
        <f>E47</f>
        <v>600</v>
      </c>
      <c r="F49" s="133">
        <f t="shared" ref="F49" si="4">C49*E49</f>
        <v>3517800</v>
      </c>
      <c r="G49" s="147"/>
      <c r="H49" s="148"/>
    </row>
    <row r="50" spans="1:9" s="134" customFormat="1" ht="18" customHeight="1">
      <c r="A50" s="131" t="s">
        <v>14</v>
      </c>
      <c r="B50" s="130" t="s">
        <v>488</v>
      </c>
      <c r="C50" s="145">
        <v>2884</v>
      </c>
      <c r="D50" s="131" t="s">
        <v>21</v>
      </c>
      <c r="E50" s="146">
        <f>E48</f>
        <v>600</v>
      </c>
      <c r="F50" s="133">
        <f t="shared" ref="F50" si="5">C50*E50</f>
        <v>1730400</v>
      </c>
      <c r="G50" s="147"/>
      <c r="H50" s="145"/>
      <c r="I50" s="199"/>
    </row>
    <row r="51" spans="1:9" s="134" customFormat="1" ht="19.5" customHeight="1">
      <c r="A51" s="131" t="s">
        <v>15</v>
      </c>
      <c r="B51" s="130" t="s">
        <v>482</v>
      </c>
      <c r="C51" s="130">
        <v>1491</v>
      </c>
      <c r="D51" s="131" t="s">
        <v>21</v>
      </c>
      <c r="E51" s="146">
        <f>E48</f>
        <v>600</v>
      </c>
      <c r="F51" s="133">
        <f t="shared" si="2"/>
        <v>894600</v>
      </c>
      <c r="G51" s="147"/>
      <c r="H51" s="145"/>
      <c r="I51" s="199"/>
    </row>
    <row r="52" spans="1:9" s="134" customFormat="1" ht="19.5" customHeight="1">
      <c r="A52" s="131" t="s">
        <v>16</v>
      </c>
      <c r="B52" s="130" t="s">
        <v>496</v>
      </c>
      <c r="C52" s="130">
        <v>956</v>
      </c>
      <c r="D52" s="131" t="s">
        <v>21</v>
      </c>
      <c r="E52" s="146">
        <f>E49</f>
        <v>600</v>
      </c>
      <c r="F52" s="133">
        <f t="shared" ref="F52" si="6">C52*E52</f>
        <v>573600</v>
      </c>
      <c r="G52" s="147"/>
      <c r="H52" s="145"/>
      <c r="I52" s="199"/>
    </row>
    <row r="53" spans="1:9" s="134" customFormat="1" ht="19.5" customHeight="1">
      <c r="A53" s="131" t="s">
        <v>18</v>
      </c>
      <c r="B53" s="130" t="s">
        <v>370</v>
      </c>
      <c r="C53" s="130">
        <v>167</v>
      </c>
      <c r="D53" s="131" t="s">
        <v>21</v>
      </c>
      <c r="E53" s="146">
        <f>E47</f>
        <v>600</v>
      </c>
      <c r="F53" s="133">
        <f t="shared" si="2"/>
        <v>100200</v>
      </c>
      <c r="G53" s="147"/>
      <c r="H53" s="145"/>
      <c r="I53" s="199"/>
    </row>
    <row r="54" spans="1:9" s="134" customFormat="1" ht="19.5" customHeight="1">
      <c r="A54" s="131" t="s">
        <v>30</v>
      </c>
      <c r="B54" s="130" t="s">
        <v>371</v>
      </c>
      <c r="C54" s="130">
        <v>3291</v>
      </c>
      <c r="D54" s="131" t="s">
        <v>21</v>
      </c>
      <c r="E54" s="146">
        <f>E48</f>
        <v>600</v>
      </c>
      <c r="F54" s="133">
        <f t="shared" si="2"/>
        <v>1974600</v>
      </c>
      <c r="G54" s="147"/>
      <c r="H54" s="145"/>
      <c r="I54" s="199"/>
    </row>
    <row r="55" spans="1:9" s="134" customFormat="1" ht="19.5" customHeight="1">
      <c r="A55" s="131" t="s">
        <v>31</v>
      </c>
      <c r="B55" s="130" t="s">
        <v>372</v>
      </c>
      <c r="C55" s="130">
        <v>376</v>
      </c>
      <c r="D55" s="131" t="s">
        <v>21</v>
      </c>
      <c r="E55" s="146">
        <f>E54</f>
        <v>600</v>
      </c>
      <c r="F55" s="133">
        <f t="shared" si="2"/>
        <v>225600</v>
      </c>
      <c r="G55" s="147"/>
      <c r="H55" s="148"/>
    </row>
    <row r="56" spans="1:9" s="134" customFormat="1" ht="49.5" customHeight="1">
      <c r="A56" s="131"/>
      <c r="B56" s="159" t="s">
        <v>373</v>
      </c>
      <c r="C56" s="130"/>
      <c r="D56" s="131"/>
      <c r="E56" s="132"/>
      <c r="F56" s="133"/>
      <c r="H56" s="148"/>
    </row>
    <row r="57" spans="1:9" s="134" customFormat="1" ht="20.25" customHeight="1">
      <c r="A57" s="131" t="s">
        <v>31</v>
      </c>
      <c r="B57" s="160" t="s">
        <v>374</v>
      </c>
      <c r="C57" s="130">
        <v>0</v>
      </c>
      <c r="D57" s="131" t="s">
        <v>344</v>
      </c>
      <c r="E57" s="132">
        <v>650</v>
      </c>
      <c r="F57" s="133">
        <f>C57*E57</f>
        <v>0</v>
      </c>
      <c r="G57" s="147"/>
      <c r="H57" s="148"/>
    </row>
    <row r="58" spans="1:9" s="134" customFormat="1" ht="21" customHeight="1">
      <c r="A58" s="131"/>
      <c r="B58" s="138" t="s">
        <v>19</v>
      </c>
      <c r="C58" s="130"/>
      <c r="D58" s="131"/>
      <c r="E58" s="132"/>
      <c r="F58" s="133"/>
      <c r="H58" s="148"/>
    </row>
    <row r="59" spans="1:9" s="134" customFormat="1" ht="24.75" customHeight="1">
      <c r="A59" s="131"/>
      <c r="B59" s="152" t="s">
        <v>26</v>
      </c>
      <c r="C59" s="130"/>
      <c r="D59" s="131"/>
      <c r="E59" s="132"/>
      <c r="F59" s="133"/>
      <c r="H59" s="148"/>
    </row>
    <row r="60" spans="1:9" s="134" customFormat="1" ht="18.75" customHeight="1">
      <c r="A60" s="131" t="s">
        <v>375</v>
      </c>
      <c r="B60" s="130" t="s">
        <v>483</v>
      </c>
      <c r="C60" s="130">
        <v>42</v>
      </c>
      <c r="D60" s="131" t="s">
        <v>344</v>
      </c>
      <c r="E60" s="146">
        <v>4000</v>
      </c>
      <c r="F60" s="133">
        <f t="shared" ref="F60:F66" si="7">C60*E60</f>
        <v>168000</v>
      </c>
      <c r="G60" s="147"/>
      <c r="H60" s="148"/>
    </row>
    <row r="61" spans="1:9" s="134" customFormat="1" ht="18.75" customHeight="1">
      <c r="A61" s="131" t="s">
        <v>375</v>
      </c>
      <c r="B61" s="130" t="s">
        <v>484</v>
      </c>
      <c r="C61" s="130">
        <v>4</v>
      </c>
      <c r="D61" s="131" t="s">
        <v>344</v>
      </c>
      <c r="E61" s="146">
        <v>4000</v>
      </c>
      <c r="F61" s="133">
        <f t="shared" ref="F61" si="8">C61*E61</f>
        <v>16000</v>
      </c>
      <c r="G61" s="147"/>
      <c r="H61" s="148"/>
    </row>
    <row r="62" spans="1:9" s="134" customFormat="1" ht="18.75" customHeight="1">
      <c r="A62" s="131" t="s">
        <v>376</v>
      </c>
      <c r="B62" s="130" t="s">
        <v>377</v>
      </c>
      <c r="C62" s="130">
        <v>1318</v>
      </c>
      <c r="D62" s="131" t="s">
        <v>344</v>
      </c>
      <c r="E62" s="146">
        <f>E60</f>
        <v>4000</v>
      </c>
      <c r="F62" s="133">
        <f t="shared" si="7"/>
        <v>5272000</v>
      </c>
      <c r="G62" s="147"/>
      <c r="H62" s="148"/>
    </row>
    <row r="63" spans="1:9" s="134" customFormat="1" ht="18.75" customHeight="1">
      <c r="A63" s="131" t="s">
        <v>378</v>
      </c>
      <c r="B63" s="130" t="s">
        <v>379</v>
      </c>
      <c r="C63" s="130">
        <v>130</v>
      </c>
      <c r="D63" s="131" t="s">
        <v>20</v>
      </c>
      <c r="E63" s="146">
        <f>E62*0.3</f>
        <v>1200</v>
      </c>
      <c r="F63" s="133">
        <f t="shared" si="7"/>
        <v>156000</v>
      </c>
      <c r="G63" s="147"/>
      <c r="H63" s="148"/>
    </row>
    <row r="64" spans="1:9" s="134" customFormat="1" ht="18.75" customHeight="1">
      <c r="A64" s="131" t="s">
        <v>378</v>
      </c>
      <c r="B64" s="130" t="s">
        <v>490</v>
      </c>
      <c r="C64" s="130">
        <v>95</v>
      </c>
      <c r="D64" s="131" t="s">
        <v>344</v>
      </c>
      <c r="E64" s="146">
        <f>E62</f>
        <v>4000</v>
      </c>
      <c r="F64" s="133">
        <f t="shared" ref="F64" si="9">C64*E64</f>
        <v>380000</v>
      </c>
      <c r="G64" s="147"/>
      <c r="H64" s="148"/>
    </row>
    <row r="65" spans="1:8" s="134" customFormat="1" ht="18.75" customHeight="1">
      <c r="A65" s="131" t="s">
        <v>378</v>
      </c>
      <c r="B65" s="130" t="s">
        <v>491</v>
      </c>
      <c r="C65" s="130">
        <v>70</v>
      </c>
      <c r="D65" s="131" t="s">
        <v>344</v>
      </c>
      <c r="E65" s="146">
        <f>E64</f>
        <v>4000</v>
      </c>
      <c r="F65" s="133">
        <f t="shared" ref="F65" si="10">C65*E65</f>
        <v>280000</v>
      </c>
      <c r="G65" s="147"/>
      <c r="H65" s="148"/>
    </row>
    <row r="66" spans="1:8" s="134" customFormat="1">
      <c r="A66" s="131" t="s">
        <v>380</v>
      </c>
      <c r="B66" s="130" t="s">
        <v>485</v>
      </c>
      <c r="C66" s="130">
        <v>40</v>
      </c>
      <c r="D66" s="131" t="s">
        <v>344</v>
      </c>
      <c r="E66" s="146">
        <f>E62</f>
        <v>4000</v>
      </c>
      <c r="F66" s="133">
        <f t="shared" si="7"/>
        <v>160000</v>
      </c>
      <c r="H66" s="148"/>
    </row>
    <row r="67" spans="1:8" s="134" customFormat="1">
      <c r="A67" s="131" t="s">
        <v>380</v>
      </c>
      <c r="B67" s="130" t="s">
        <v>381</v>
      </c>
      <c r="C67" s="130">
        <v>300</v>
      </c>
      <c r="D67" s="131" t="s">
        <v>344</v>
      </c>
      <c r="E67" s="146">
        <f>E62</f>
        <v>4000</v>
      </c>
      <c r="F67" s="133">
        <f t="shared" ref="F67" si="11">C67*E67</f>
        <v>1200000</v>
      </c>
      <c r="H67" s="148"/>
    </row>
    <row r="68" spans="1:8" s="134" customFormat="1">
      <c r="A68" s="131"/>
      <c r="B68" s="130"/>
      <c r="C68" s="130"/>
      <c r="D68" s="131"/>
      <c r="E68" s="132"/>
      <c r="F68" s="133"/>
      <c r="H68" s="148"/>
    </row>
    <row r="69" spans="1:8" s="134" customFormat="1">
      <c r="A69" s="131"/>
      <c r="B69" s="130"/>
      <c r="C69" s="130"/>
      <c r="D69" s="131"/>
      <c r="E69" s="132"/>
      <c r="F69" s="133"/>
      <c r="H69" s="148"/>
    </row>
    <row r="70" spans="1:8" s="134" customFormat="1">
      <c r="A70" s="131"/>
      <c r="B70" s="130"/>
      <c r="C70" s="130"/>
      <c r="D70" s="131"/>
      <c r="E70" s="132"/>
      <c r="F70" s="133"/>
      <c r="H70" s="148"/>
    </row>
    <row r="71" spans="1:8" s="134" customFormat="1">
      <c r="A71" s="131"/>
      <c r="B71" s="161" t="s">
        <v>382</v>
      </c>
      <c r="C71" s="130"/>
      <c r="D71" s="131"/>
      <c r="E71" s="154" t="s">
        <v>15</v>
      </c>
      <c r="F71" s="157">
        <f>SUM(F31:F70)</f>
        <v>128629000</v>
      </c>
      <c r="H71" s="148"/>
    </row>
    <row r="72" spans="1:8" s="134" customFormat="1">
      <c r="A72" s="131"/>
      <c r="B72" s="136" t="s">
        <v>336</v>
      </c>
      <c r="C72" s="130"/>
      <c r="D72" s="131"/>
      <c r="E72" s="132"/>
      <c r="F72" s="133"/>
      <c r="H72" s="148"/>
    </row>
    <row r="73" spans="1:8" s="134" customFormat="1">
      <c r="A73" s="131"/>
      <c r="B73" s="136"/>
      <c r="C73" s="130"/>
      <c r="D73" s="131"/>
      <c r="E73" s="132"/>
      <c r="F73" s="133"/>
      <c r="H73" s="148"/>
    </row>
    <row r="74" spans="1:8" s="134" customFormat="1">
      <c r="A74" s="131"/>
      <c r="B74" s="152" t="s">
        <v>26</v>
      </c>
      <c r="C74" s="130"/>
      <c r="D74" s="131"/>
      <c r="E74" s="132"/>
      <c r="F74" s="133"/>
      <c r="H74" s="148"/>
    </row>
    <row r="75" spans="1:8" s="134" customFormat="1">
      <c r="A75" s="131"/>
      <c r="B75" s="152"/>
      <c r="C75" s="130"/>
      <c r="D75" s="131"/>
      <c r="E75" s="132"/>
      <c r="F75" s="133"/>
      <c r="H75" s="148"/>
    </row>
    <row r="76" spans="1:8" s="134" customFormat="1">
      <c r="A76" s="131" t="s">
        <v>2</v>
      </c>
      <c r="B76" s="130" t="s">
        <v>383</v>
      </c>
      <c r="C76" s="130"/>
      <c r="D76" s="131" t="s">
        <v>20</v>
      </c>
      <c r="E76" s="146">
        <v>600</v>
      </c>
      <c r="F76" s="133">
        <f>C76*E76</f>
        <v>0</v>
      </c>
      <c r="G76" s="147"/>
      <c r="H76" s="148"/>
    </row>
    <row r="77" spans="1:8" s="134" customFormat="1">
      <c r="A77" s="131"/>
      <c r="B77" s="130"/>
      <c r="C77" s="130"/>
      <c r="D77" s="131"/>
      <c r="E77" s="146"/>
      <c r="F77" s="133"/>
      <c r="G77" s="147"/>
      <c r="H77" s="148"/>
    </row>
    <row r="78" spans="1:8" s="134" customFormat="1">
      <c r="A78" s="131"/>
      <c r="B78" s="138" t="s">
        <v>22</v>
      </c>
      <c r="C78" s="153"/>
      <c r="D78" s="135"/>
      <c r="E78" s="162"/>
      <c r="F78" s="163"/>
      <c r="H78" s="148"/>
    </row>
    <row r="79" spans="1:8" s="134" customFormat="1">
      <c r="A79" s="131"/>
      <c r="B79" s="164"/>
      <c r="C79" s="153"/>
      <c r="D79" s="135"/>
      <c r="E79" s="162"/>
      <c r="F79" s="163"/>
      <c r="H79" s="148"/>
    </row>
    <row r="80" spans="1:8" s="134" customFormat="1" ht="57.75" customHeight="1">
      <c r="A80" s="131"/>
      <c r="B80" s="159" t="s">
        <v>384</v>
      </c>
      <c r="C80" s="153"/>
      <c r="D80" s="135"/>
      <c r="E80" s="162"/>
      <c r="F80" s="163"/>
      <c r="H80" s="148"/>
    </row>
    <row r="81" spans="1:10" s="134" customFormat="1">
      <c r="A81" s="131"/>
      <c r="B81" s="159"/>
      <c r="C81" s="153"/>
      <c r="D81" s="135"/>
      <c r="E81" s="162"/>
      <c r="F81" s="163"/>
      <c r="H81" s="148"/>
    </row>
    <row r="82" spans="1:10" s="134" customFormat="1">
      <c r="A82" s="131" t="s">
        <v>4</v>
      </c>
      <c r="B82" s="160" t="s">
        <v>385</v>
      </c>
      <c r="C82" s="130">
        <v>56</v>
      </c>
      <c r="D82" s="131" t="s">
        <v>344</v>
      </c>
      <c r="E82" s="146">
        <v>5500</v>
      </c>
      <c r="F82" s="133">
        <f>C82*E82</f>
        <v>308000</v>
      </c>
      <c r="G82" s="147"/>
      <c r="H82" s="148"/>
    </row>
    <row r="83" spans="1:10">
      <c r="H83" s="148"/>
    </row>
    <row r="84" spans="1:10" s="134" customFormat="1">
      <c r="A84" s="131"/>
      <c r="B84" s="152" t="s">
        <v>386</v>
      </c>
      <c r="C84" s="130"/>
      <c r="D84" s="131"/>
      <c r="E84" s="132"/>
      <c r="F84" s="167"/>
      <c r="H84" s="148"/>
    </row>
    <row r="85" spans="1:10" s="134" customFormat="1">
      <c r="A85" s="131"/>
      <c r="B85" s="130"/>
      <c r="C85" s="130"/>
      <c r="D85" s="131"/>
      <c r="E85" s="132"/>
      <c r="F85" s="167"/>
      <c r="H85" s="148"/>
    </row>
    <row r="86" spans="1:10" s="134" customFormat="1">
      <c r="A86" s="131"/>
      <c r="B86" s="152" t="s">
        <v>387</v>
      </c>
      <c r="C86" s="130"/>
      <c r="D86" s="131"/>
      <c r="E86" s="132"/>
      <c r="F86" s="167"/>
      <c r="H86" s="148"/>
    </row>
    <row r="87" spans="1:10" s="134" customFormat="1">
      <c r="A87" s="131"/>
      <c r="B87" s="130"/>
      <c r="C87" s="130"/>
      <c r="D87" s="131"/>
      <c r="E87" s="132"/>
      <c r="F87" s="167"/>
      <c r="H87" s="148"/>
    </row>
    <row r="88" spans="1:10" s="134" customFormat="1" ht="51" customHeight="1">
      <c r="A88" s="131" t="s">
        <v>5</v>
      </c>
      <c r="B88" s="144" t="s">
        <v>388</v>
      </c>
      <c r="C88" s="130"/>
      <c r="D88" s="131" t="s">
        <v>344</v>
      </c>
      <c r="E88" s="168">
        <v>250</v>
      </c>
      <c r="F88" s="133">
        <f>C88*E88</f>
        <v>0</v>
      </c>
      <c r="H88" s="148"/>
    </row>
    <row r="89" spans="1:10" s="134" customFormat="1">
      <c r="A89" s="131"/>
      <c r="B89" s="144"/>
      <c r="C89" s="130"/>
      <c r="D89" s="131"/>
      <c r="E89" s="132"/>
      <c r="F89" s="133"/>
      <c r="H89" s="148"/>
    </row>
    <row r="90" spans="1:10" s="134" customFormat="1" ht="29.25" customHeight="1">
      <c r="A90" s="131"/>
      <c r="B90" s="169" t="s">
        <v>337</v>
      </c>
      <c r="C90" s="130"/>
      <c r="D90" s="145"/>
      <c r="E90" s="131"/>
      <c r="F90" s="133"/>
      <c r="G90" s="168"/>
      <c r="H90" s="148"/>
      <c r="I90" s="133"/>
      <c r="J90" s="130"/>
    </row>
    <row r="91" spans="1:10" s="134" customFormat="1" ht="29.25" customHeight="1">
      <c r="A91" s="131" t="s">
        <v>6</v>
      </c>
      <c r="B91" s="144" t="s">
        <v>389</v>
      </c>
      <c r="C91" s="130"/>
      <c r="D91" s="131" t="s">
        <v>344</v>
      </c>
      <c r="E91" s="168">
        <v>4500</v>
      </c>
      <c r="F91" s="133">
        <f t="shared" ref="F91:F92" si="12">C91*E91</f>
        <v>0</v>
      </c>
      <c r="H91" s="148"/>
      <c r="I91" s="133"/>
      <c r="J91" s="130"/>
    </row>
    <row r="92" spans="1:10" s="134" customFormat="1" ht="29.25" customHeight="1">
      <c r="A92" s="131" t="s">
        <v>7</v>
      </c>
      <c r="B92" s="144" t="s">
        <v>390</v>
      </c>
      <c r="C92" s="130"/>
      <c r="D92" s="131" t="s">
        <v>344</v>
      </c>
      <c r="E92" s="168">
        <v>675</v>
      </c>
      <c r="F92" s="133">
        <f t="shared" si="12"/>
        <v>0</v>
      </c>
      <c r="H92" s="148"/>
      <c r="I92" s="133"/>
      <c r="J92" s="130"/>
    </row>
    <row r="93" spans="1:10" s="134" customFormat="1">
      <c r="A93" s="131"/>
      <c r="B93" s="144"/>
      <c r="C93" s="130"/>
      <c r="D93" s="131"/>
      <c r="E93" s="132"/>
      <c r="F93" s="167"/>
      <c r="H93" s="148"/>
    </row>
    <row r="94" spans="1:10" s="134" customFormat="1" ht="18.75" customHeight="1">
      <c r="A94" s="131"/>
      <c r="B94" s="161" t="s">
        <v>382</v>
      </c>
      <c r="C94" s="130"/>
      <c r="D94" s="131"/>
      <c r="E94" s="154" t="s">
        <v>15</v>
      </c>
      <c r="F94" s="157">
        <f>SUM(F75:F93)</f>
        <v>308000</v>
      </c>
      <c r="H94" s="148"/>
    </row>
    <row r="95" spans="1:10" s="134" customFormat="1">
      <c r="A95" s="131"/>
      <c r="B95" s="144"/>
      <c r="C95" s="130"/>
      <c r="D95" s="131"/>
      <c r="E95" s="132"/>
      <c r="F95" s="167"/>
      <c r="H95" s="148"/>
    </row>
    <row r="96" spans="1:10" s="134" customFormat="1">
      <c r="A96" s="131"/>
      <c r="B96" s="161"/>
      <c r="C96" s="130"/>
      <c r="D96" s="131"/>
      <c r="E96" s="154"/>
      <c r="F96" s="155"/>
      <c r="H96" s="148"/>
    </row>
    <row r="97" spans="1:8" s="134" customFormat="1">
      <c r="A97" s="131"/>
      <c r="B97" s="170" t="s">
        <v>338</v>
      </c>
      <c r="C97" s="130"/>
      <c r="D97" s="131"/>
      <c r="E97" s="154"/>
      <c r="F97" s="155"/>
      <c r="H97" s="148"/>
    </row>
    <row r="98" spans="1:8" s="134" customFormat="1">
      <c r="A98" s="131"/>
      <c r="B98" s="130"/>
      <c r="C98" s="130"/>
      <c r="D98" s="131"/>
      <c r="E98" s="132"/>
      <c r="F98" s="171"/>
      <c r="H98" s="148"/>
    </row>
    <row r="99" spans="1:8" s="134" customFormat="1">
      <c r="A99" s="131"/>
      <c r="B99" s="172" t="s">
        <v>391</v>
      </c>
      <c r="C99" s="130"/>
      <c r="D99" s="131"/>
      <c r="E99" s="132">
        <f>F28</f>
        <v>7270650</v>
      </c>
      <c r="F99" s="171"/>
      <c r="H99" s="148"/>
    </row>
    <row r="100" spans="1:8" s="134" customFormat="1">
      <c r="A100" s="131"/>
      <c r="B100" s="173"/>
      <c r="C100" s="130"/>
      <c r="D100" s="131"/>
      <c r="E100" s="132"/>
      <c r="F100" s="171"/>
      <c r="H100" s="148"/>
    </row>
    <row r="101" spans="1:8" s="134" customFormat="1">
      <c r="A101" s="131"/>
      <c r="B101" s="172" t="s">
        <v>39</v>
      </c>
      <c r="C101" s="130"/>
      <c r="D101" s="131"/>
      <c r="E101" s="132">
        <f>F71</f>
        <v>128629000</v>
      </c>
      <c r="F101" s="171"/>
      <c r="H101" s="148"/>
    </row>
    <row r="102" spans="1:8" s="134" customFormat="1">
      <c r="A102" s="131"/>
      <c r="B102" s="172"/>
      <c r="C102" s="130"/>
      <c r="D102" s="131"/>
      <c r="E102" s="132"/>
      <c r="F102" s="171"/>
      <c r="H102" s="148"/>
    </row>
    <row r="103" spans="1:8" s="134" customFormat="1">
      <c r="A103" s="131"/>
      <c r="B103" s="172" t="s">
        <v>40</v>
      </c>
      <c r="C103" s="130"/>
      <c r="D103" s="131"/>
      <c r="E103" s="132">
        <f>F94</f>
        <v>308000</v>
      </c>
      <c r="F103" s="171"/>
      <c r="H103" s="148"/>
    </row>
    <row r="104" spans="1:8" s="134" customFormat="1">
      <c r="A104" s="131"/>
      <c r="B104" s="174"/>
      <c r="C104" s="130"/>
      <c r="D104" s="131"/>
      <c r="E104" s="132"/>
      <c r="F104" s="171"/>
      <c r="H104" s="148"/>
    </row>
    <row r="105" spans="1:8" s="134" customFormat="1">
      <c r="A105" s="131"/>
      <c r="B105" s="174"/>
      <c r="C105" s="130"/>
      <c r="D105" s="131"/>
      <c r="E105" s="132"/>
      <c r="F105" s="171"/>
      <c r="H105" s="148"/>
    </row>
    <row r="106" spans="1:8" s="134" customFormat="1">
      <c r="A106" s="131"/>
      <c r="B106" s="174"/>
      <c r="C106" s="130"/>
      <c r="D106" s="131"/>
      <c r="E106" s="132"/>
      <c r="F106" s="171"/>
      <c r="H106" s="148"/>
    </row>
    <row r="107" spans="1:8" s="134" customFormat="1">
      <c r="A107" s="131"/>
      <c r="B107" s="174"/>
      <c r="C107" s="130"/>
      <c r="D107" s="131"/>
      <c r="E107" s="132"/>
      <c r="F107" s="171"/>
      <c r="H107" s="148"/>
    </row>
    <row r="108" spans="1:8" s="134" customFormat="1">
      <c r="A108" s="131"/>
      <c r="B108" s="175" t="s">
        <v>392</v>
      </c>
      <c r="C108" s="153"/>
      <c r="D108" s="135"/>
      <c r="E108" s="132"/>
      <c r="F108" s="176"/>
    </row>
    <row r="109" spans="1:8" s="134" customFormat="1">
      <c r="A109" s="131"/>
      <c r="B109" s="153" t="s">
        <v>393</v>
      </c>
      <c r="C109" s="153"/>
      <c r="D109" s="135"/>
      <c r="E109" s="154" t="s">
        <v>15</v>
      </c>
      <c r="F109" s="177">
        <f>SUM(E99:E103)</f>
        <v>136207650</v>
      </c>
      <c r="H109" s="163"/>
    </row>
    <row r="110" spans="1:8" s="134" customFormat="1">
      <c r="A110" s="131"/>
      <c r="B110" s="129" t="s">
        <v>394</v>
      </c>
      <c r="C110" s="130"/>
      <c r="D110" s="131"/>
      <c r="E110" s="132"/>
      <c r="F110" s="133"/>
    </row>
    <row r="111" spans="1:8" s="134" customFormat="1">
      <c r="A111" s="131"/>
      <c r="B111" s="130"/>
      <c r="C111" s="130"/>
      <c r="D111" s="131"/>
      <c r="E111" s="132"/>
      <c r="F111" s="133"/>
    </row>
    <row r="112" spans="1:8" s="134" customFormat="1">
      <c r="A112" s="131"/>
      <c r="B112" s="136" t="s">
        <v>25</v>
      </c>
      <c r="C112" s="130"/>
      <c r="D112" s="131"/>
      <c r="E112" s="132"/>
      <c r="F112" s="133"/>
    </row>
    <row r="113" spans="1:8" s="134" customFormat="1">
      <c r="A113" s="131"/>
      <c r="B113" s="138" t="s">
        <v>23</v>
      </c>
      <c r="C113" s="130"/>
      <c r="D113" s="131"/>
      <c r="E113" s="132"/>
      <c r="F113" s="133"/>
    </row>
    <row r="114" spans="1:8" s="134" customFormat="1">
      <c r="A114" s="131"/>
      <c r="B114" s="130"/>
      <c r="C114" s="130"/>
      <c r="D114" s="131"/>
      <c r="E114" s="130"/>
      <c r="F114" s="133"/>
    </row>
    <row r="115" spans="1:8" s="134" customFormat="1">
      <c r="A115" s="131"/>
      <c r="B115" s="152" t="s">
        <v>340</v>
      </c>
      <c r="C115" s="130"/>
      <c r="D115" s="131"/>
      <c r="E115" s="132"/>
      <c r="F115" s="133"/>
    </row>
    <row r="116" spans="1:8" s="134" customFormat="1">
      <c r="A116" s="131"/>
      <c r="B116" s="152" t="s">
        <v>498</v>
      </c>
      <c r="C116" s="130"/>
      <c r="D116" s="131"/>
      <c r="E116" s="132"/>
      <c r="F116" s="133"/>
    </row>
    <row r="117" spans="1:8" s="134" customFormat="1">
      <c r="A117" s="131"/>
      <c r="B117" s="130"/>
      <c r="C117" s="130"/>
      <c r="D117" s="131"/>
      <c r="E117" s="132"/>
      <c r="F117" s="133"/>
    </row>
    <row r="118" spans="1:8" s="134" customFormat="1">
      <c r="A118" s="131" t="s">
        <v>2</v>
      </c>
      <c r="B118" s="130" t="s">
        <v>17</v>
      </c>
      <c r="C118" s="130">
        <v>192</v>
      </c>
      <c r="D118" s="131" t="s">
        <v>342</v>
      </c>
      <c r="E118" s="146">
        <v>60000</v>
      </c>
      <c r="F118" s="133">
        <f>C118*E118</f>
        <v>11520000</v>
      </c>
      <c r="G118" s="147"/>
      <c r="H118" s="148"/>
    </row>
    <row r="119" spans="1:8" s="134" customFormat="1">
      <c r="A119" s="131" t="s">
        <v>4</v>
      </c>
      <c r="B119" s="130" t="s">
        <v>415</v>
      </c>
      <c r="C119" s="130">
        <v>120</v>
      </c>
      <c r="D119" s="131" t="s">
        <v>342</v>
      </c>
      <c r="E119" s="146">
        <f>E118</f>
        <v>60000</v>
      </c>
      <c r="F119" s="133">
        <f>C119*E119</f>
        <v>7200000</v>
      </c>
      <c r="G119" s="147"/>
      <c r="H119" s="148"/>
    </row>
    <row r="120" spans="1:8" s="134" customFormat="1">
      <c r="A120" s="131" t="s">
        <v>5</v>
      </c>
      <c r="B120" s="130" t="s">
        <v>416</v>
      </c>
      <c r="C120" s="130">
        <v>90</v>
      </c>
      <c r="D120" s="131" t="s">
        <v>342</v>
      </c>
      <c r="E120" s="146">
        <f t="shared" ref="E120:E124" si="13">E119</f>
        <v>60000</v>
      </c>
      <c r="F120" s="133">
        <f t="shared" ref="F120:F123" si="14">C120*E120</f>
        <v>5400000</v>
      </c>
      <c r="G120" s="147"/>
      <c r="H120" s="148"/>
    </row>
    <row r="121" spans="1:8" s="134" customFormat="1">
      <c r="A121" s="131" t="s">
        <v>6</v>
      </c>
      <c r="B121" s="130" t="s">
        <v>417</v>
      </c>
      <c r="C121" s="130">
        <v>73</v>
      </c>
      <c r="D121" s="131" t="s">
        <v>342</v>
      </c>
      <c r="E121" s="146">
        <f t="shared" si="13"/>
        <v>60000</v>
      </c>
      <c r="F121" s="133">
        <f t="shared" si="14"/>
        <v>4380000</v>
      </c>
      <c r="G121" s="147"/>
      <c r="H121" s="148"/>
    </row>
    <row r="122" spans="1:8" s="134" customFormat="1">
      <c r="A122" s="131" t="s">
        <v>7</v>
      </c>
      <c r="B122" s="130" t="s">
        <v>445</v>
      </c>
      <c r="C122" s="130">
        <v>176</v>
      </c>
      <c r="D122" s="131" t="s">
        <v>342</v>
      </c>
      <c r="E122" s="146">
        <f t="shared" si="13"/>
        <v>60000</v>
      </c>
      <c r="F122" s="133">
        <f t="shared" si="14"/>
        <v>10560000</v>
      </c>
      <c r="G122" s="147"/>
      <c r="H122" s="148"/>
    </row>
    <row r="123" spans="1:8" s="134" customFormat="1">
      <c r="A123" s="131" t="s">
        <v>8</v>
      </c>
      <c r="B123" s="130" t="s">
        <v>418</v>
      </c>
      <c r="C123" s="130">
        <v>85</v>
      </c>
      <c r="D123" s="131" t="s">
        <v>342</v>
      </c>
      <c r="E123" s="146">
        <f t="shared" si="13"/>
        <v>60000</v>
      </c>
      <c r="F123" s="133">
        <f t="shared" si="14"/>
        <v>5100000</v>
      </c>
      <c r="G123" s="147"/>
      <c r="H123" s="148"/>
    </row>
    <row r="124" spans="1:8" s="134" customFormat="1">
      <c r="A124" s="131" t="s">
        <v>9</v>
      </c>
      <c r="B124" s="130" t="s">
        <v>414</v>
      </c>
      <c r="C124" s="130">
        <v>54</v>
      </c>
      <c r="D124" s="131" t="s">
        <v>342</v>
      </c>
      <c r="E124" s="146">
        <f t="shared" si="13"/>
        <v>60000</v>
      </c>
      <c r="F124" s="133">
        <f>C124*E124</f>
        <v>3240000</v>
      </c>
      <c r="G124" s="147"/>
      <c r="H124" s="148"/>
    </row>
    <row r="125" spans="1:8" s="134" customFormat="1">
      <c r="A125" s="131" t="s">
        <v>10</v>
      </c>
      <c r="B125" s="130" t="s">
        <v>492</v>
      </c>
      <c r="C125" s="130">
        <v>134</v>
      </c>
      <c r="D125" s="131" t="s">
        <v>342</v>
      </c>
      <c r="E125" s="146">
        <f t="shared" ref="E125" si="15">E124</f>
        <v>60000</v>
      </c>
      <c r="F125" s="133">
        <f>C125*E125</f>
        <v>8040000</v>
      </c>
      <c r="G125" s="147"/>
      <c r="H125" s="148"/>
    </row>
    <row r="126" spans="1:8" s="134" customFormat="1">
      <c r="A126" s="131"/>
      <c r="B126" s="130"/>
      <c r="C126" s="130"/>
      <c r="D126" s="131"/>
      <c r="E126" s="146"/>
      <c r="F126" s="133"/>
      <c r="G126" s="147"/>
      <c r="H126" s="148"/>
    </row>
    <row r="127" spans="1:8" s="134" customFormat="1">
      <c r="A127" s="131"/>
      <c r="B127" s="138" t="s">
        <v>24</v>
      </c>
      <c r="C127" s="130"/>
      <c r="D127" s="131"/>
      <c r="E127" s="132"/>
      <c r="F127" s="133"/>
      <c r="H127" s="148"/>
    </row>
    <row r="128" spans="1:8" s="134" customFormat="1" ht="30">
      <c r="A128" s="131"/>
      <c r="B128" s="159" t="s">
        <v>395</v>
      </c>
      <c r="C128" s="130"/>
      <c r="D128" s="131"/>
      <c r="E128" s="132"/>
      <c r="F128" s="133"/>
      <c r="H128" s="148"/>
    </row>
    <row r="129" spans="1:8" s="134" customFormat="1">
      <c r="A129" s="131"/>
      <c r="B129" s="159"/>
      <c r="C129" s="130"/>
      <c r="D129" s="131"/>
      <c r="E129" s="132"/>
      <c r="F129" s="133"/>
      <c r="H129" s="148"/>
    </row>
    <row r="130" spans="1:8" s="134" customFormat="1">
      <c r="A130" s="131" t="s">
        <v>11</v>
      </c>
      <c r="B130" s="130" t="s">
        <v>396</v>
      </c>
      <c r="C130" s="145">
        <v>5353</v>
      </c>
      <c r="D130" s="131" t="s">
        <v>21</v>
      </c>
      <c r="E130" s="146">
        <f>E42</f>
        <v>600</v>
      </c>
      <c r="F130" s="133">
        <f>E130*C130</f>
        <v>3211800</v>
      </c>
      <c r="G130" s="147"/>
      <c r="H130" s="148"/>
    </row>
    <row r="131" spans="1:8" s="134" customFormat="1">
      <c r="A131" s="131" t="s">
        <v>12</v>
      </c>
      <c r="B131" s="130" t="s">
        <v>397</v>
      </c>
      <c r="C131" s="145">
        <v>934</v>
      </c>
      <c r="D131" s="131" t="s">
        <v>21</v>
      </c>
      <c r="E131" s="146">
        <f>E130</f>
        <v>600</v>
      </c>
      <c r="F131" s="133">
        <f>E131*C131</f>
        <v>560400</v>
      </c>
      <c r="G131" s="147"/>
      <c r="H131" s="148"/>
    </row>
    <row r="132" spans="1:8" s="134" customFormat="1">
      <c r="A132" s="131" t="s">
        <v>13</v>
      </c>
      <c r="B132" s="130" t="s">
        <v>398</v>
      </c>
      <c r="C132" s="145">
        <v>18432</v>
      </c>
      <c r="D132" s="131" t="s">
        <v>21</v>
      </c>
      <c r="E132" s="146">
        <f t="shared" ref="E132:E154" si="16">E131</f>
        <v>600</v>
      </c>
      <c r="F132" s="133">
        <f t="shared" ref="F132:F133" si="17">E132*C132</f>
        <v>11059200</v>
      </c>
      <c r="G132" s="147"/>
      <c r="H132" s="148"/>
    </row>
    <row r="133" spans="1:8" s="134" customFormat="1">
      <c r="A133" s="131" t="s">
        <v>14</v>
      </c>
      <c r="B133" s="130" t="s">
        <v>399</v>
      </c>
      <c r="C133" s="145">
        <v>2104</v>
      </c>
      <c r="D133" s="131" t="s">
        <v>21</v>
      </c>
      <c r="E133" s="146">
        <f t="shared" si="16"/>
        <v>600</v>
      </c>
      <c r="F133" s="133">
        <f t="shared" si="17"/>
        <v>1262400</v>
      </c>
      <c r="G133" s="147"/>
      <c r="H133" s="148"/>
    </row>
    <row r="134" spans="1:8" s="134" customFormat="1">
      <c r="A134" s="131" t="s">
        <v>15</v>
      </c>
      <c r="B134" s="130" t="s">
        <v>419</v>
      </c>
      <c r="C134" s="145">
        <v>9360</v>
      </c>
      <c r="D134" s="131" t="s">
        <v>21</v>
      </c>
      <c r="E134" s="146">
        <f t="shared" si="16"/>
        <v>600</v>
      </c>
      <c r="F134" s="133">
        <f>E134*C134</f>
        <v>5616000</v>
      </c>
      <c r="G134" s="147"/>
      <c r="H134" s="148"/>
    </row>
    <row r="135" spans="1:8" s="134" customFormat="1">
      <c r="A135" s="131" t="s">
        <v>16</v>
      </c>
      <c r="B135" s="130" t="s">
        <v>420</v>
      </c>
      <c r="C135" s="145">
        <v>2040</v>
      </c>
      <c r="D135" s="131" t="s">
        <v>21</v>
      </c>
      <c r="E135" s="146">
        <f t="shared" si="16"/>
        <v>600</v>
      </c>
      <c r="F135" s="133">
        <f>E135*C135</f>
        <v>1224000</v>
      </c>
      <c r="G135" s="147"/>
      <c r="H135" s="148"/>
    </row>
    <row r="136" spans="1:8" s="134" customFormat="1">
      <c r="A136" s="131" t="s">
        <v>18</v>
      </c>
      <c r="B136" s="130" t="s">
        <v>421</v>
      </c>
      <c r="C136" s="145">
        <v>3600</v>
      </c>
      <c r="D136" s="131" t="s">
        <v>21</v>
      </c>
      <c r="E136" s="146">
        <f t="shared" si="16"/>
        <v>600</v>
      </c>
      <c r="F136" s="133">
        <f t="shared" ref="F136:F137" si="18">E136*C136</f>
        <v>2160000</v>
      </c>
      <c r="G136" s="147"/>
      <c r="H136" s="148"/>
    </row>
    <row r="137" spans="1:8" s="134" customFormat="1">
      <c r="A137" s="131" t="s">
        <v>30</v>
      </c>
      <c r="B137" s="130" t="s">
        <v>422</v>
      </c>
      <c r="C137" s="145">
        <v>2640</v>
      </c>
      <c r="D137" s="131" t="s">
        <v>21</v>
      </c>
      <c r="E137" s="146">
        <f t="shared" si="16"/>
        <v>600</v>
      </c>
      <c r="F137" s="133">
        <f t="shared" si="18"/>
        <v>1584000</v>
      </c>
      <c r="G137" s="147"/>
      <c r="H137" s="148"/>
    </row>
    <row r="138" spans="1:8" s="134" customFormat="1">
      <c r="A138" s="131" t="s">
        <v>31</v>
      </c>
      <c r="B138" s="130" t="s">
        <v>423</v>
      </c>
      <c r="C138" s="145">
        <v>7046</v>
      </c>
      <c r="D138" s="131" t="s">
        <v>21</v>
      </c>
      <c r="E138" s="146">
        <f t="shared" si="16"/>
        <v>600</v>
      </c>
      <c r="F138" s="133">
        <f>E138*C138</f>
        <v>4227600</v>
      </c>
      <c r="G138" s="147"/>
      <c r="H138" s="148"/>
    </row>
    <row r="139" spans="1:8" s="134" customFormat="1">
      <c r="A139" s="131" t="s">
        <v>375</v>
      </c>
      <c r="B139" s="130" t="s">
        <v>424</v>
      </c>
      <c r="C139" s="145">
        <v>1509</v>
      </c>
      <c r="D139" s="131" t="s">
        <v>21</v>
      </c>
      <c r="E139" s="146">
        <f t="shared" si="16"/>
        <v>600</v>
      </c>
      <c r="F139" s="133">
        <f>E139*C139</f>
        <v>905400</v>
      </c>
      <c r="G139" s="147"/>
      <c r="H139" s="148"/>
    </row>
    <row r="140" spans="1:8" s="134" customFormat="1">
      <c r="A140" s="131" t="s">
        <v>376</v>
      </c>
      <c r="B140" s="130" t="s">
        <v>425</v>
      </c>
      <c r="C140" s="145">
        <v>2705</v>
      </c>
      <c r="D140" s="131" t="s">
        <v>21</v>
      </c>
      <c r="E140" s="146">
        <f t="shared" si="16"/>
        <v>600</v>
      </c>
      <c r="F140" s="133">
        <f t="shared" ref="F140:F141" si="19">E140*C140</f>
        <v>1623000</v>
      </c>
      <c r="G140" s="147"/>
      <c r="H140" s="148"/>
    </row>
    <row r="141" spans="1:8" s="134" customFormat="1">
      <c r="A141" s="131" t="s">
        <v>378</v>
      </c>
      <c r="B141" s="130" t="s">
        <v>426</v>
      </c>
      <c r="C141" s="145">
        <v>1978</v>
      </c>
      <c r="D141" s="131" t="s">
        <v>21</v>
      </c>
      <c r="E141" s="146">
        <f t="shared" si="16"/>
        <v>600</v>
      </c>
      <c r="F141" s="133">
        <f t="shared" si="19"/>
        <v>1186800</v>
      </c>
      <c r="G141" s="147"/>
      <c r="H141" s="148"/>
    </row>
    <row r="142" spans="1:8" s="134" customFormat="1">
      <c r="A142" s="131" t="s">
        <v>380</v>
      </c>
      <c r="B142" s="130" t="s">
        <v>427</v>
      </c>
      <c r="C142" s="145">
        <v>5694</v>
      </c>
      <c r="D142" s="131" t="s">
        <v>21</v>
      </c>
      <c r="E142" s="146">
        <f t="shared" si="16"/>
        <v>600</v>
      </c>
      <c r="F142" s="133">
        <f>E142*C142</f>
        <v>3416400</v>
      </c>
      <c r="G142" s="147"/>
      <c r="H142" s="148"/>
    </row>
    <row r="143" spans="1:8" s="134" customFormat="1">
      <c r="A143" s="131" t="s">
        <v>446</v>
      </c>
      <c r="B143" s="130" t="s">
        <v>428</v>
      </c>
      <c r="C143" s="145">
        <v>1241</v>
      </c>
      <c r="D143" s="131" t="s">
        <v>21</v>
      </c>
      <c r="E143" s="146">
        <f t="shared" si="16"/>
        <v>600</v>
      </c>
      <c r="F143" s="133">
        <f>E143*C143</f>
        <v>744600</v>
      </c>
      <c r="G143" s="147"/>
      <c r="H143" s="148"/>
    </row>
    <row r="144" spans="1:8" s="134" customFormat="1">
      <c r="A144" s="131" t="s">
        <v>447</v>
      </c>
      <c r="B144" s="130" t="s">
        <v>429</v>
      </c>
      <c r="C144" s="145">
        <v>2190</v>
      </c>
      <c r="D144" s="131" t="s">
        <v>21</v>
      </c>
      <c r="E144" s="146">
        <f t="shared" si="16"/>
        <v>600</v>
      </c>
      <c r="F144" s="133">
        <f t="shared" ref="F144:F145" si="20">E144*C144</f>
        <v>1314000</v>
      </c>
      <c r="G144" s="147"/>
      <c r="H144" s="148"/>
    </row>
    <row r="145" spans="1:8" s="134" customFormat="1">
      <c r="A145" s="131" t="s">
        <v>448</v>
      </c>
      <c r="B145" s="130" t="s">
        <v>430</v>
      </c>
      <c r="C145" s="145">
        <v>1606</v>
      </c>
      <c r="D145" s="131" t="s">
        <v>21</v>
      </c>
      <c r="E145" s="146">
        <f t="shared" si="16"/>
        <v>600</v>
      </c>
      <c r="F145" s="133">
        <f t="shared" si="20"/>
        <v>963600</v>
      </c>
      <c r="G145" s="147"/>
      <c r="H145" s="148"/>
    </row>
    <row r="146" spans="1:8" s="134" customFormat="1">
      <c r="A146" s="131" t="s">
        <v>2</v>
      </c>
      <c r="B146" s="130" t="s">
        <v>431</v>
      </c>
      <c r="C146" s="145">
        <v>13778</v>
      </c>
      <c r="D146" s="131" t="s">
        <v>21</v>
      </c>
      <c r="E146" s="146">
        <f t="shared" si="16"/>
        <v>600</v>
      </c>
      <c r="F146" s="133">
        <f>E146*C146</f>
        <v>8266800</v>
      </c>
      <c r="G146" s="147"/>
      <c r="H146" s="148"/>
    </row>
    <row r="147" spans="1:8" s="134" customFormat="1">
      <c r="A147" s="131" t="s">
        <v>4</v>
      </c>
      <c r="B147" s="130" t="s">
        <v>432</v>
      </c>
      <c r="C147" s="145">
        <v>2950</v>
      </c>
      <c r="D147" s="131" t="s">
        <v>21</v>
      </c>
      <c r="E147" s="146">
        <f t="shared" si="16"/>
        <v>600</v>
      </c>
      <c r="F147" s="133">
        <f>E147*C147</f>
        <v>1770000</v>
      </c>
      <c r="G147" s="147"/>
      <c r="H147" s="148"/>
    </row>
    <row r="148" spans="1:8" s="134" customFormat="1">
      <c r="A148" s="131" t="s">
        <v>5</v>
      </c>
      <c r="B148" s="130" t="s">
        <v>433</v>
      </c>
      <c r="C148" s="145">
        <v>5288</v>
      </c>
      <c r="D148" s="131" t="s">
        <v>21</v>
      </c>
      <c r="E148" s="146">
        <f t="shared" si="16"/>
        <v>600</v>
      </c>
      <c r="F148" s="133">
        <f t="shared" ref="F148:F149" si="21">E148*C148</f>
        <v>3172800</v>
      </c>
      <c r="G148" s="147"/>
      <c r="H148" s="148"/>
    </row>
    <row r="149" spans="1:8" s="134" customFormat="1">
      <c r="A149" s="131" t="s">
        <v>6</v>
      </c>
      <c r="B149" s="130" t="s">
        <v>434</v>
      </c>
      <c r="C149" s="145">
        <v>3868</v>
      </c>
      <c r="D149" s="131" t="s">
        <v>21</v>
      </c>
      <c r="E149" s="146">
        <f t="shared" si="16"/>
        <v>600</v>
      </c>
      <c r="F149" s="133">
        <f t="shared" si="21"/>
        <v>2320800</v>
      </c>
      <c r="G149" s="147"/>
      <c r="H149" s="148"/>
    </row>
    <row r="150" spans="1:8" s="134" customFormat="1">
      <c r="A150" s="131" t="s">
        <v>7</v>
      </c>
      <c r="B150" s="130" t="s">
        <v>435</v>
      </c>
      <c r="C150" s="145">
        <v>6822</v>
      </c>
      <c r="D150" s="131" t="s">
        <v>21</v>
      </c>
      <c r="E150" s="146">
        <f t="shared" si="16"/>
        <v>600</v>
      </c>
      <c r="F150" s="133">
        <f>E150*C150</f>
        <v>4093200</v>
      </c>
      <c r="G150" s="147"/>
      <c r="H150" s="148"/>
    </row>
    <row r="151" spans="1:8" s="134" customFormat="1">
      <c r="A151" s="131" t="s">
        <v>8</v>
      </c>
      <c r="B151" s="130" t="s">
        <v>436</v>
      </c>
      <c r="C151" s="145">
        <v>1419</v>
      </c>
      <c r="D151" s="131" t="s">
        <v>21</v>
      </c>
      <c r="E151" s="146">
        <f t="shared" si="16"/>
        <v>600</v>
      </c>
      <c r="F151" s="133">
        <f>E151*C151</f>
        <v>851400</v>
      </c>
      <c r="G151" s="147"/>
      <c r="H151" s="148"/>
    </row>
    <row r="152" spans="1:8" s="134" customFormat="1">
      <c r="A152" s="131" t="s">
        <v>9</v>
      </c>
      <c r="B152" s="130" t="s">
        <v>437</v>
      </c>
      <c r="C152" s="145">
        <v>3130</v>
      </c>
      <c r="D152" s="131" t="s">
        <v>21</v>
      </c>
      <c r="E152" s="146">
        <f t="shared" si="16"/>
        <v>600</v>
      </c>
      <c r="F152" s="133">
        <f t="shared" ref="F152:F153" si="22">E152*C152</f>
        <v>1878000</v>
      </c>
      <c r="G152" s="147"/>
      <c r="H152" s="148"/>
    </row>
    <row r="153" spans="1:8" s="134" customFormat="1">
      <c r="A153" s="131" t="s">
        <v>10</v>
      </c>
      <c r="B153" s="130" t="s">
        <v>494</v>
      </c>
      <c r="C153" s="145">
        <v>10131</v>
      </c>
      <c r="D153" s="131" t="s">
        <v>21</v>
      </c>
      <c r="E153" s="146">
        <f t="shared" si="16"/>
        <v>600</v>
      </c>
      <c r="F153" s="133">
        <f t="shared" si="22"/>
        <v>6078600</v>
      </c>
      <c r="G153" s="147"/>
      <c r="H153" s="148"/>
    </row>
    <row r="154" spans="1:8" s="134" customFormat="1">
      <c r="A154" s="131" t="s">
        <v>11</v>
      </c>
      <c r="B154" s="130" t="s">
        <v>493</v>
      </c>
      <c r="C154" s="145">
        <v>4533</v>
      </c>
      <c r="D154" s="131" t="s">
        <v>21</v>
      </c>
      <c r="E154" s="146">
        <f t="shared" si="16"/>
        <v>600</v>
      </c>
      <c r="F154" s="133">
        <f t="shared" ref="F154" si="23">E154*C154</f>
        <v>2719800</v>
      </c>
      <c r="G154" s="147"/>
      <c r="H154" s="148"/>
    </row>
    <row r="155" spans="1:8" s="134" customFormat="1">
      <c r="A155" s="131"/>
      <c r="B155" s="130"/>
      <c r="C155" s="145"/>
      <c r="D155" s="131"/>
      <c r="E155" s="146"/>
      <c r="F155" s="133"/>
      <c r="G155" s="147"/>
      <c r="H155" s="148"/>
    </row>
    <row r="156" spans="1:8" s="134" customFormat="1">
      <c r="A156" s="131"/>
      <c r="B156" s="130"/>
      <c r="C156" s="145"/>
      <c r="D156" s="131"/>
      <c r="E156" s="146"/>
      <c r="F156" s="133"/>
      <c r="G156" s="147"/>
      <c r="H156" s="148"/>
    </row>
    <row r="157" spans="1:8" s="134" customFormat="1">
      <c r="A157" s="131"/>
      <c r="B157" s="130"/>
      <c r="C157" s="145"/>
      <c r="D157" s="131"/>
      <c r="E157" s="146"/>
      <c r="F157" s="133"/>
      <c r="G157" s="147"/>
      <c r="H157" s="148"/>
    </row>
    <row r="158" spans="1:8" s="134" customFormat="1">
      <c r="A158" s="131"/>
      <c r="B158" s="130"/>
      <c r="C158" s="145"/>
      <c r="D158" s="131"/>
      <c r="E158" s="146"/>
      <c r="F158" s="133"/>
      <c r="G158" s="147"/>
      <c r="H158" s="148"/>
    </row>
    <row r="159" spans="1:8" s="134" customFormat="1">
      <c r="A159" s="131"/>
      <c r="B159" s="161" t="s">
        <v>382</v>
      </c>
      <c r="C159" s="130"/>
      <c r="D159" s="131"/>
      <c r="E159" s="154" t="s">
        <v>15</v>
      </c>
      <c r="F159" s="157">
        <f>SUM(F113:F158)</f>
        <v>127650600</v>
      </c>
      <c r="G159" s="147"/>
      <c r="H159" s="148"/>
    </row>
    <row r="160" spans="1:8" s="134" customFormat="1">
      <c r="A160" s="131"/>
      <c r="B160" s="136" t="s">
        <v>438</v>
      </c>
      <c r="C160" s="130"/>
      <c r="D160" s="131"/>
      <c r="E160" s="132"/>
      <c r="F160" s="133"/>
      <c r="H160" s="148"/>
    </row>
    <row r="161" spans="1:8" s="134" customFormat="1">
      <c r="A161" s="131"/>
      <c r="B161" s="136"/>
      <c r="C161" s="130"/>
      <c r="D161" s="131"/>
      <c r="E161" s="132"/>
      <c r="F161" s="133"/>
      <c r="H161" s="148"/>
    </row>
    <row r="162" spans="1:8" s="134" customFormat="1">
      <c r="A162" s="131"/>
      <c r="B162" s="138" t="s">
        <v>19</v>
      </c>
      <c r="C162" s="130"/>
      <c r="D162" s="131"/>
      <c r="E162" s="132"/>
      <c r="F162" s="133"/>
      <c r="H162" s="148"/>
    </row>
    <row r="163" spans="1:8" s="134" customFormat="1">
      <c r="A163" s="131"/>
      <c r="B163" s="152" t="s">
        <v>26</v>
      </c>
      <c r="C163" s="130"/>
      <c r="D163" s="131"/>
      <c r="E163" s="132"/>
      <c r="F163" s="133"/>
      <c r="H163" s="148"/>
    </row>
    <row r="164" spans="1:8" s="134" customFormat="1">
      <c r="A164" s="131"/>
      <c r="B164" s="130"/>
      <c r="C164" s="130"/>
      <c r="D164" s="131"/>
      <c r="E164" s="132"/>
      <c r="F164" s="133"/>
      <c r="H164" s="148"/>
    </row>
    <row r="165" spans="1:8" s="134" customFormat="1">
      <c r="A165" s="131" t="s">
        <v>2</v>
      </c>
      <c r="B165" s="130" t="s">
        <v>400</v>
      </c>
      <c r="C165" s="145">
        <v>1681</v>
      </c>
      <c r="D165" s="131" t="s">
        <v>344</v>
      </c>
      <c r="E165" s="146">
        <f>E60</f>
        <v>4000</v>
      </c>
      <c r="F165" s="133">
        <f>C165*E165</f>
        <v>6724000</v>
      </c>
      <c r="G165" s="147"/>
      <c r="H165" s="148"/>
    </row>
    <row r="166" spans="1:8" s="134" customFormat="1">
      <c r="A166" s="131" t="s">
        <v>4</v>
      </c>
      <c r="B166" s="130" t="s">
        <v>439</v>
      </c>
      <c r="C166" s="145">
        <v>758</v>
      </c>
      <c r="D166" s="131" t="s">
        <v>344</v>
      </c>
      <c r="E166" s="146">
        <f>E165</f>
        <v>4000</v>
      </c>
      <c r="F166" s="133">
        <f>C166*E166</f>
        <v>3032000</v>
      </c>
      <c r="G166" s="147"/>
      <c r="H166" s="148"/>
    </row>
    <row r="167" spans="1:8" s="134" customFormat="1">
      <c r="A167" s="131" t="s">
        <v>5</v>
      </c>
      <c r="B167" s="130" t="s">
        <v>440</v>
      </c>
      <c r="C167" s="145">
        <v>804</v>
      </c>
      <c r="D167" s="131" t="s">
        <v>344</v>
      </c>
      <c r="E167" s="146">
        <f t="shared" ref="E167:E171" si="24">E166</f>
        <v>4000</v>
      </c>
      <c r="F167" s="133">
        <f t="shared" ref="F167:F171" si="25">C167*E167</f>
        <v>3216000</v>
      </c>
      <c r="G167" s="147"/>
      <c r="H167" s="148"/>
    </row>
    <row r="168" spans="1:8" s="134" customFormat="1">
      <c r="A168" s="131" t="s">
        <v>6</v>
      </c>
      <c r="B168" s="130" t="s">
        <v>441</v>
      </c>
      <c r="C168" s="145">
        <v>644</v>
      </c>
      <c r="D168" s="131" t="s">
        <v>449</v>
      </c>
      <c r="E168" s="146">
        <f t="shared" si="24"/>
        <v>4000</v>
      </c>
      <c r="F168" s="133">
        <f t="shared" si="25"/>
        <v>2576000</v>
      </c>
      <c r="G168" s="147"/>
      <c r="H168" s="148"/>
    </row>
    <row r="169" spans="1:8" s="134" customFormat="1">
      <c r="A169" s="131" t="s">
        <v>7</v>
      </c>
      <c r="B169" s="130" t="s">
        <v>442</v>
      </c>
      <c r="C169" s="145">
        <v>1538</v>
      </c>
      <c r="D169" s="131" t="s">
        <v>449</v>
      </c>
      <c r="E169" s="146">
        <f t="shared" si="24"/>
        <v>4000</v>
      </c>
      <c r="F169" s="133">
        <f t="shared" si="25"/>
        <v>6152000</v>
      </c>
      <c r="G169" s="147"/>
      <c r="H169" s="148"/>
    </row>
    <row r="170" spans="1:8" s="134" customFormat="1">
      <c r="A170" s="131" t="s">
        <v>8</v>
      </c>
      <c r="B170" s="130" t="s">
        <v>443</v>
      </c>
      <c r="C170" s="145">
        <v>756</v>
      </c>
      <c r="D170" s="131" t="s">
        <v>449</v>
      </c>
      <c r="E170" s="146">
        <f t="shared" si="24"/>
        <v>4000</v>
      </c>
      <c r="F170" s="133">
        <f t="shared" si="25"/>
        <v>3024000</v>
      </c>
      <c r="G170" s="147"/>
      <c r="H170" s="148"/>
    </row>
    <row r="171" spans="1:8" s="134" customFormat="1">
      <c r="A171" s="131" t="s">
        <v>9</v>
      </c>
      <c r="B171" s="130" t="s">
        <v>444</v>
      </c>
      <c r="C171" s="145">
        <v>473</v>
      </c>
      <c r="D171" s="131" t="s">
        <v>449</v>
      </c>
      <c r="E171" s="146">
        <f t="shared" si="24"/>
        <v>4000</v>
      </c>
      <c r="F171" s="133">
        <f t="shared" si="25"/>
        <v>1892000</v>
      </c>
      <c r="G171" s="147"/>
      <c r="H171" s="148"/>
    </row>
    <row r="172" spans="1:8" s="134" customFormat="1">
      <c r="A172" s="131" t="s">
        <v>10</v>
      </c>
      <c r="B172" s="130" t="s">
        <v>495</v>
      </c>
      <c r="C172" s="145">
        <v>768</v>
      </c>
      <c r="D172" s="131" t="s">
        <v>449</v>
      </c>
      <c r="E172" s="146">
        <f t="shared" ref="E172" si="26">E171</f>
        <v>4000</v>
      </c>
      <c r="F172" s="133">
        <f t="shared" ref="F172" si="27">C172*E172</f>
        <v>3072000</v>
      </c>
      <c r="G172" s="147"/>
      <c r="H172" s="148"/>
    </row>
    <row r="173" spans="1:8" s="134" customFormat="1">
      <c r="A173" s="131"/>
      <c r="B173" s="130"/>
      <c r="C173" s="145"/>
      <c r="D173" s="131"/>
      <c r="E173" s="146"/>
      <c r="F173" s="133"/>
      <c r="G173" s="147"/>
      <c r="H173" s="148"/>
    </row>
    <row r="174" spans="1:8" s="134" customFormat="1">
      <c r="A174" s="131"/>
      <c r="B174" s="130"/>
      <c r="C174" s="145"/>
      <c r="D174" s="131"/>
      <c r="E174" s="146"/>
      <c r="F174" s="133"/>
      <c r="G174" s="147"/>
      <c r="H174" s="148"/>
    </row>
    <row r="175" spans="1:8" s="134" customFormat="1">
      <c r="A175" s="131"/>
      <c r="B175" s="161" t="s">
        <v>382</v>
      </c>
      <c r="C175" s="130"/>
      <c r="D175" s="131"/>
      <c r="E175" s="154" t="s">
        <v>15</v>
      </c>
      <c r="F175" s="157">
        <f>SUM(F162:F174)</f>
        <v>29688000</v>
      </c>
      <c r="G175" s="147"/>
      <c r="H175" s="148"/>
    </row>
    <row r="176" spans="1:8" s="134" customFormat="1">
      <c r="A176" s="131"/>
      <c r="B176" s="144"/>
      <c r="C176" s="130"/>
      <c r="D176" s="131"/>
      <c r="E176" s="132"/>
      <c r="F176" s="167"/>
      <c r="G176" s="147"/>
      <c r="H176" s="148"/>
    </row>
    <row r="177" spans="1:8" s="134" customFormat="1">
      <c r="A177" s="131"/>
      <c r="B177" s="161"/>
      <c r="C177" s="130"/>
      <c r="D177" s="131"/>
      <c r="E177" s="154"/>
      <c r="F177" s="155"/>
      <c r="G177" s="147"/>
      <c r="H177" s="148"/>
    </row>
    <row r="178" spans="1:8" s="134" customFormat="1">
      <c r="A178" s="131"/>
      <c r="B178" s="170" t="s">
        <v>338</v>
      </c>
      <c r="C178" s="130"/>
      <c r="D178" s="131"/>
      <c r="E178" s="154"/>
      <c r="F178" s="155"/>
      <c r="G178" s="147"/>
      <c r="H178" s="148"/>
    </row>
    <row r="179" spans="1:8" s="134" customFormat="1">
      <c r="A179" s="131"/>
      <c r="B179" s="130"/>
      <c r="C179" s="130"/>
      <c r="D179" s="131"/>
      <c r="E179" s="132"/>
      <c r="F179" s="171"/>
      <c r="G179" s="147"/>
      <c r="H179" s="148"/>
    </row>
    <row r="180" spans="1:8" s="134" customFormat="1">
      <c r="A180" s="131"/>
      <c r="B180" s="172" t="s">
        <v>450</v>
      </c>
      <c r="C180" s="130"/>
      <c r="D180" s="131"/>
      <c r="E180" s="132">
        <f>F159</f>
        <v>127650600</v>
      </c>
      <c r="F180" s="171"/>
      <c r="G180" s="147"/>
      <c r="H180" s="148"/>
    </row>
    <row r="181" spans="1:8" s="134" customFormat="1">
      <c r="A181" s="131"/>
      <c r="B181" s="173"/>
      <c r="C181" s="130"/>
      <c r="D181" s="131"/>
      <c r="E181" s="132"/>
      <c r="F181" s="171"/>
      <c r="G181" s="147"/>
      <c r="H181" s="148"/>
    </row>
    <row r="182" spans="1:8" s="134" customFormat="1">
      <c r="A182" s="131"/>
      <c r="B182" s="172" t="s">
        <v>451</v>
      </c>
      <c r="C182" s="130"/>
      <c r="D182" s="131"/>
      <c r="E182" s="132">
        <f>F175</f>
        <v>29688000</v>
      </c>
      <c r="F182" s="171"/>
      <c r="G182" s="147"/>
      <c r="H182" s="148"/>
    </row>
    <row r="183" spans="1:8" s="134" customFormat="1" ht="15">
      <c r="A183" s="131"/>
      <c r="G183" s="147"/>
      <c r="H183" s="148"/>
    </row>
    <row r="184" spans="1:8" s="134" customFormat="1" ht="15">
      <c r="A184" s="131"/>
      <c r="G184" s="147"/>
      <c r="H184" s="148"/>
    </row>
    <row r="185" spans="1:8" s="134" customFormat="1" ht="15">
      <c r="A185" s="131"/>
      <c r="G185" s="147"/>
      <c r="H185" s="148"/>
    </row>
    <row r="186" spans="1:8" s="134" customFormat="1" ht="15">
      <c r="A186" s="131"/>
      <c r="G186" s="147"/>
      <c r="H186" s="148"/>
    </row>
    <row r="187" spans="1:8" s="134" customFormat="1" ht="15">
      <c r="A187" s="131"/>
      <c r="G187" s="147"/>
      <c r="H187" s="148"/>
    </row>
    <row r="188" spans="1:8" s="134" customFormat="1" ht="15">
      <c r="A188" s="131"/>
      <c r="G188" s="147"/>
      <c r="H188" s="148"/>
    </row>
    <row r="189" spans="1:8" s="134" customFormat="1">
      <c r="A189" s="131"/>
      <c r="B189" s="130"/>
      <c r="C189" s="145"/>
      <c r="D189" s="131"/>
      <c r="E189" s="146"/>
      <c r="F189" s="133"/>
      <c r="G189" s="147"/>
      <c r="H189" s="148"/>
    </row>
    <row r="190" spans="1:8" ht="8.25" customHeight="1">
      <c r="H190" s="148"/>
    </row>
    <row r="191" spans="1:8" s="134" customFormat="1">
      <c r="A191" s="131"/>
      <c r="B191" s="136" t="s">
        <v>25</v>
      </c>
      <c r="C191" s="130"/>
      <c r="D191" s="131"/>
      <c r="E191" s="132"/>
      <c r="F191" s="133"/>
      <c r="H191" s="148"/>
    </row>
    <row r="192" spans="1:8" s="134" customFormat="1">
      <c r="A192" s="131"/>
      <c r="B192" s="153" t="s">
        <v>401</v>
      </c>
      <c r="C192" s="130"/>
      <c r="D192" s="131"/>
      <c r="E192" s="154" t="s">
        <v>15</v>
      </c>
      <c r="F192" s="155">
        <f>SUM(E179:E182)</f>
        <v>157338600</v>
      </c>
      <c r="H192" s="148"/>
    </row>
    <row r="193" spans="1:8" s="134" customFormat="1">
      <c r="A193" s="131"/>
      <c r="B193" s="129" t="s">
        <v>402</v>
      </c>
      <c r="C193" s="130"/>
      <c r="D193" s="131"/>
      <c r="E193" s="132"/>
      <c r="F193" s="133"/>
      <c r="H193" s="148"/>
    </row>
    <row r="194" spans="1:8" s="134" customFormat="1">
      <c r="A194" s="131"/>
      <c r="B194" s="130"/>
      <c r="C194" s="130"/>
      <c r="D194" s="131"/>
      <c r="E194" s="132"/>
      <c r="F194" s="133"/>
      <c r="H194" s="148"/>
    </row>
    <row r="195" spans="1:8" s="134" customFormat="1">
      <c r="A195" s="131"/>
      <c r="B195" s="136" t="s">
        <v>173</v>
      </c>
      <c r="C195" s="130"/>
      <c r="D195" s="131"/>
      <c r="E195" s="132"/>
      <c r="F195" s="167"/>
      <c r="H195" s="148"/>
    </row>
    <row r="196" spans="1:8" s="178" customFormat="1">
      <c r="A196" s="131"/>
      <c r="B196" s="130"/>
      <c r="C196" s="130"/>
      <c r="D196" s="131"/>
      <c r="E196" s="132"/>
      <c r="F196" s="167"/>
      <c r="H196" s="148"/>
    </row>
    <row r="197" spans="1:8" s="134" customFormat="1">
      <c r="A197" s="131"/>
      <c r="B197" s="138" t="s">
        <v>23</v>
      </c>
      <c r="C197" s="130"/>
      <c r="D197" s="131"/>
      <c r="E197" s="132"/>
      <c r="F197" s="133"/>
      <c r="H197" s="148"/>
    </row>
    <row r="198" spans="1:8" s="178" customFormat="1">
      <c r="A198" s="131"/>
      <c r="B198" s="130"/>
      <c r="C198" s="130"/>
      <c r="D198" s="131"/>
      <c r="E198" s="132"/>
      <c r="F198" s="133"/>
      <c r="H198" s="148"/>
    </row>
    <row r="199" spans="1:8" s="178" customFormat="1">
      <c r="A199" s="131"/>
      <c r="B199" s="152" t="s">
        <v>340</v>
      </c>
      <c r="C199" s="130"/>
      <c r="D199" s="131"/>
      <c r="E199" s="132"/>
      <c r="F199" s="133"/>
      <c r="H199" s="148"/>
    </row>
    <row r="200" spans="1:8" s="178" customFormat="1">
      <c r="A200" s="131"/>
      <c r="B200" s="152"/>
      <c r="C200" s="130"/>
      <c r="D200" s="131"/>
      <c r="E200" s="132"/>
      <c r="F200" s="133"/>
      <c r="H200" s="148"/>
    </row>
    <row r="201" spans="1:8" s="134" customFormat="1">
      <c r="A201" s="131"/>
      <c r="B201" s="152" t="s">
        <v>498</v>
      </c>
      <c r="C201" s="130"/>
      <c r="D201" s="131"/>
      <c r="E201" s="132"/>
      <c r="F201" s="133"/>
      <c r="H201" s="148"/>
    </row>
    <row r="202" spans="1:8" s="134" customFormat="1">
      <c r="A202" s="131"/>
      <c r="B202" s="130"/>
      <c r="C202" s="130"/>
      <c r="D202" s="131"/>
      <c r="E202" s="132"/>
      <c r="F202" s="133"/>
      <c r="H202" s="148"/>
    </row>
    <row r="203" spans="1:8" s="134" customFormat="1">
      <c r="A203" s="131" t="s">
        <v>2</v>
      </c>
      <c r="B203" s="130" t="s">
        <v>452</v>
      </c>
      <c r="C203" s="130">
        <v>128</v>
      </c>
      <c r="D203" s="131" t="s">
        <v>342</v>
      </c>
      <c r="E203" s="146">
        <f>E118</f>
        <v>60000</v>
      </c>
      <c r="F203" s="133">
        <f>C203*E203</f>
        <v>7680000</v>
      </c>
      <c r="H203" s="148"/>
    </row>
    <row r="204" spans="1:8" s="134" customFormat="1">
      <c r="A204" s="131" t="s">
        <v>4</v>
      </c>
      <c r="B204" s="130" t="s">
        <v>454</v>
      </c>
      <c r="C204" s="130">
        <v>166</v>
      </c>
      <c r="D204" s="131" t="s">
        <v>342</v>
      </c>
      <c r="E204" s="146">
        <f t="shared" ref="E204:E206" si="28">E120</f>
        <v>60000</v>
      </c>
      <c r="F204" s="133">
        <f t="shared" ref="F204" si="29">C204*E204</f>
        <v>9960000</v>
      </c>
      <c r="H204" s="148"/>
    </row>
    <row r="205" spans="1:8" s="134" customFormat="1">
      <c r="A205" s="131" t="s">
        <v>5</v>
      </c>
      <c r="B205" s="130" t="s">
        <v>453</v>
      </c>
      <c r="C205" s="130">
        <v>148</v>
      </c>
      <c r="D205" s="131" t="s">
        <v>342</v>
      </c>
      <c r="E205" s="146">
        <f t="shared" si="28"/>
        <v>60000</v>
      </c>
      <c r="F205" s="133">
        <f t="shared" ref="F205" si="30">C205*E205</f>
        <v>8880000</v>
      </c>
      <c r="H205" s="148"/>
    </row>
    <row r="206" spans="1:8" s="134" customFormat="1">
      <c r="A206" s="131" t="s">
        <v>6</v>
      </c>
      <c r="B206" s="130" t="s">
        <v>455</v>
      </c>
      <c r="C206" s="130">
        <v>300</v>
      </c>
      <c r="D206" s="131" t="s">
        <v>342</v>
      </c>
      <c r="E206" s="146">
        <f t="shared" si="28"/>
        <v>60000</v>
      </c>
      <c r="F206" s="133">
        <f t="shared" ref="F206" si="31">C206*E206</f>
        <v>18000000</v>
      </c>
      <c r="H206" s="148"/>
    </row>
    <row r="207" spans="1:8" s="134" customFormat="1">
      <c r="A207" s="131"/>
      <c r="B207" s="130"/>
      <c r="C207" s="130"/>
      <c r="D207" s="131"/>
      <c r="E207" s="146"/>
      <c r="F207" s="133"/>
      <c r="H207" s="148"/>
    </row>
    <row r="208" spans="1:8" s="134" customFormat="1">
      <c r="A208" s="131"/>
      <c r="B208" s="138" t="s">
        <v>24</v>
      </c>
      <c r="C208" s="130"/>
      <c r="D208" s="131"/>
      <c r="E208" s="132"/>
      <c r="F208" s="133"/>
      <c r="H208" s="148"/>
    </row>
    <row r="209" spans="1:8" s="134" customFormat="1">
      <c r="A209" s="131"/>
      <c r="B209" s="130"/>
      <c r="C209" s="130"/>
      <c r="D209" s="131"/>
      <c r="E209" s="132"/>
      <c r="F209" s="133"/>
      <c r="H209" s="148"/>
    </row>
    <row r="210" spans="1:8" s="134" customFormat="1" ht="30">
      <c r="A210" s="131"/>
      <c r="B210" s="159" t="s">
        <v>343</v>
      </c>
      <c r="C210" s="130"/>
      <c r="D210" s="131"/>
      <c r="E210" s="132"/>
      <c r="F210" s="133"/>
      <c r="H210" s="148"/>
    </row>
    <row r="211" spans="1:8" s="134" customFormat="1">
      <c r="A211" s="131"/>
      <c r="B211" s="159"/>
      <c r="C211" s="130"/>
      <c r="D211" s="131"/>
      <c r="E211" s="132"/>
      <c r="F211" s="133"/>
      <c r="H211" s="148"/>
    </row>
    <row r="212" spans="1:8" s="134" customFormat="1">
      <c r="A212" s="131" t="s">
        <v>7</v>
      </c>
      <c r="B212" s="130" t="s">
        <v>456</v>
      </c>
      <c r="C212" s="145">
        <v>6418</v>
      </c>
      <c r="D212" s="131" t="s">
        <v>21</v>
      </c>
      <c r="E212" s="146">
        <f>E130</f>
        <v>600</v>
      </c>
      <c r="F212" s="133">
        <f>C212*E212</f>
        <v>3850800</v>
      </c>
      <c r="G212" s="147"/>
      <c r="H212" s="148"/>
    </row>
    <row r="213" spans="1:8" s="134" customFormat="1">
      <c r="A213" s="131" t="s">
        <v>8</v>
      </c>
      <c r="B213" s="130" t="s">
        <v>458</v>
      </c>
      <c r="C213" s="145">
        <v>7348</v>
      </c>
      <c r="D213" s="131" t="s">
        <v>21</v>
      </c>
      <c r="E213" s="146">
        <f>E131</f>
        <v>600</v>
      </c>
      <c r="F213" s="133">
        <f>C213*E213</f>
        <v>4408800</v>
      </c>
      <c r="G213" s="147"/>
      <c r="H213" s="148"/>
    </row>
    <row r="214" spans="1:8" s="134" customFormat="1">
      <c r="A214" s="131" t="s">
        <v>9</v>
      </c>
      <c r="B214" s="130" t="s">
        <v>457</v>
      </c>
      <c r="C214" s="145">
        <v>7470</v>
      </c>
      <c r="D214" s="131" t="s">
        <v>21</v>
      </c>
      <c r="E214" s="146">
        <f>E132</f>
        <v>600</v>
      </c>
      <c r="F214" s="133">
        <f>C214*E214</f>
        <v>4482000</v>
      </c>
      <c r="G214" s="147"/>
      <c r="H214" s="148"/>
    </row>
    <row r="215" spans="1:8" s="134" customFormat="1">
      <c r="A215" s="131" t="s">
        <v>10</v>
      </c>
      <c r="B215" s="130" t="s">
        <v>459</v>
      </c>
      <c r="C215" s="145">
        <v>14940</v>
      </c>
      <c r="D215" s="131" t="s">
        <v>21</v>
      </c>
      <c r="E215" s="146">
        <f>E133</f>
        <v>600</v>
      </c>
      <c r="F215" s="133">
        <f>C215*E215</f>
        <v>8964000</v>
      </c>
      <c r="G215" s="147"/>
      <c r="H215" s="148"/>
    </row>
    <row r="216" spans="1:8" s="134" customFormat="1">
      <c r="A216" s="131"/>
      <c r="B216" s="130"/>
      <c r="C216" s="145"/>
      <c r="D216" s="131"/>
      <c r="E216" s="146"/>
      <c r="F216" s="133"/>
      <c r="G216" s="147"/>
      <c r="H216" s="148"/>
    </row>
    <row r="217" spans="1:8" s="134" customFormat="1">
      <c r="A217" s="131"/>
      <c r="B217" s="138" t="s">
        <v>19</v>
      </c>
      <c r="C217" s="130"/>
      <c r="D217" s="131"/>
      <c r="E217" s="146"/>
      <c r="F217" s="133"/>
      <c r="G217" s="147"/>
      <c r="H217" s="148"/>
    </row>
    <row r="218" spans="1:8" s="134" customFormat="1">
      <c r="A218" s="131"/>
      <c r="B218" s="130"/>
      <c r="C218" s="130"/>
      <c r="D218" s="131"/>
      <c r="E218" s="146"/>
      <c r="F218" s="133"/>
      <c r="G218" s="147"/>
      <c r="H218" s="148"/>
    </row>
    <row r="219" spans="1:8" s="134" customFormat="1">
      <c r="A219" s="131"/>
      <c r="B219" s="152" t="s">
        <v>26</v>
      </c>
      <c r="C219" s="130"/>
      <c r="D219" s="131"/>
      <c r="E219" s="162"/>
      <c r="F219" s="155"/>
      <c r="H219" s="148"/>
    </row>
    <row r="220" spans="1:8" s="134" customFormat="1">
      <c r="A220" s="131"/>
      <c r="B220" s="130"/>
      <c r="C220" s="130"/>
      <c r="D220" s="131"/>
      <c r="E220" s="162"/>
      <c r="F220" s="155"/>
      <c r="H220" s="148"/>
    </row>
    <row r="221" spans="1:8" s="134" customFormat="1">
      <c r="A221" s="131" t="s">
        <v>11</v>
      </c>
      <c r="B221" s="130" t="s">
        <v>460</v>
      </c>
      <c r="C221" s="130">
        <v>18405</v>
      </c>
      <c r="D221" s="131" t="s">
        <v>344</v>
      </c>
      <c r="E221" s="146">
        <f>E166</f>
        <v>4000</v>
      </c>
      <c r="F221" s="133">
        <f>C221*E221</f>
        <v>73620000</v>
      </c>
      <c r="H221" s="148"/>
    </row>
    <row r="222" spans="1:8" s="134" customFormat="1">
      <c r="A222" s="131" t="s">
        <v>12</v>
      </c>
      <c r="B222" s="130" t="s">
        <v>467</v>
      </c>
      <c r="C222" s="130">
        <v>1135</v>
      </c>
      <c r="D222" s="131" t="s">
        <v>20</v>
      </c>
      <c r="E222" s="146">
        <f>E76</f>
        <v>600</v>
      </c>
      <c r="F222" s="133">
        <f>C222*E222</f>
        <v>681000</v>
      </c>
      <c r="H222" s="148"/>
    </row>
    <row r="223" spans="1:8" s="134" customFormat="1">
      <c r="A223" s="135"/>
      <c r="B223" s="130"/>
      <c r="C223" s="153"/>
      <c r="D223" s="135"/>
      <c r="E223" s="162"/>
      <c r="F223" s="155"/>
      <c r="H223" s="148"/>
    </row>
    <row r="224" spans="1:8" s="134" customFormat="1">
      <c r="A224" s="131" t="s">
        <v>13</v>
      </c>
      <c r="B224" s="130" t="s">
        <v>463</v>
      </c>
      <c r="C224" s="130">
        <v>18405</v>
      </c>
      <c r="D224" s="131" t="s">
        <v>344</v>
      </c>
      <c r="E224" s="146">
        <f>E221</f>
        <v>4000</v>
      </c>
      <c r="F224" s="133">
        <f>C224*E224</f>
        <v>73620000</v>
      </c>
      <c r="H224" s="148"/>
    </row>
    <row r="225" spans="1:8" s="134" customFormat="1">
      <c r="A225" s="131" t="s">
        <v>14</v>
      </c>
      <c r="B225" s="130" t="s">
        <v>465</v>
      </c>
      <c r="C225" s="130">
        <v>1135</v>
      </c>
      <c r="D225" s="131" t="s">
        <v>20</v>
      </c>
      <c r="E225" s="146">
        <f>E222</f>
        <v>600</v>
      </c>
      <c r="F225" s="133">
        <f>C225*E225</f>
        <v>681000</v>
      </c>
      <c r="H225" s="148"/>
    </row>
    <row r="226" spans="1:8" s="134" customFormat="1">
      <c r="A226" s="131"/>
      <c r="B226" s="130"/>
      <c r="C226" s="130"/>
      <c r="D226" s="131"/>
      <c r="E226" s="146"/>
      <c r="F226" s="133"/>
      <c r="H226" s="148"/>
    </row>
    <row r="227" spans="1:8" s="134" customFormat="1">
      <c r="A227" s="131" t="s">
        <v>15</v>
      </c>
      <c r="B227" s="130" t="s">
        <v>461</v>
      </c>
      <c r="C227" s="130">
        <v>18405</v>
      </c>
      <c r="D227" s="131" t="s">
        <v>344</v>
      </c>
      <c r="E227" s="146">
        <f>E224</f>
        <v>4000</v>
      </c>
      <c r="F227" s="133">
        <f>C227*E227</f>
        <v>73620000</v>
      </c>
      <c r="H227" s="148"/>
    </row>
    <row r="228" spans="1:8" s="134" customFormat="1">
      <c r="A228" s="131" t="s">
        <v>16</v>
      </c>
      <c r="B228" s="130" t="s">
        <v>462</v>
      </c>
      <c r="C228" s="130">
        <v>1135</v>
      </c>
      <c r="D228" s="131" t="s">
        <v>20</v>
      </c>
      <c r="E228" s="146">
        <f>E225</f>
        <v>600</v>
      </c>
      <c r="F228" s="133">
        <f>C228*E228</f>
        <v>681000</v>
      </c>
      <c r="H228" s="148"/>
    </row>
    <row r="230" spans="1:8" s="134" customFormat="1">
      <c r="A230" s="131" t="s">
        <v>18</v>
      </c>
      <c r="B230" s="130" t="s">
        <v>464</v>
      </c>
      <c r="C230" s="130">
        <v>18405</v>
      </c>
      <c r="D230" s="131" t="s">
        <v>344</v>
      </c>
      <c r="E230" s="165">
        <f>E227</f>
        <v>4000</v>
      </c>
      <c r="F230" s="133">
        <f>C230*E230</f>
        <v>73620000</v>
      </c>
      <c r="H230" s="148"/>
    </row>
    <row r="231" spans="1:8" s="134" customFormat="1">
      <c r="A231" s="131" t="s">
        <v>30</v>
      </c>
      <c r="B231" s="130" t="s">
        <v>466</v>
      </c>
      <c r="C231" s="130">
        <v>1135</v>
      </c>
      <c r="D231" s="131" t="s">
        <v>20</v>
      </c>
      <c r="E231" s="165">
        <f>E228</f>
        <v>600</v>
      </c>
      <c r="F231" s="133">
        <f>C231*E231</f>
        <v>681000</v>
      </c>
      <c r="H231" s="148"/>
    </row>
    <row r="232" spans="1:8" s="134" customFormat="1">
      <c r="A232" s="131"/>
      <c r="B232" s="130"/>
      <c r="C232" s="130"/>
      <c r="D232" s="131"/>
      <c r="E232" s="146"/>
      <c r="F232" s="133"/>
      <c r="H232" s="148"/>
    </row>
    <row r="233" spans="1:8" s="134" customFormat="1">
      <c r="A233" s="131"/>
      <c r="B233" s="130"/>
      <c r="C233" s="130"/>
      <c r="D233" s="131"/>
      <c r="E233" s="146"/>
      <c r="F233" s="133"/>
      <c r="H233" s="148"/>
    </row>
    <row r="234" spans="1:8" s="134" customFormat="1">
      <c r="A234" s="131"/>
      <c r="B234" s="130"/>
      <c r="C234" s="130"/>
      <c r="D234" s="131"/>
      <c r="E234" s="146"/>
      <c r="F234" s="133"/>
      <c r="H234" s="148"/>
    </row>
    <row r="235" spans="1:8" s="134" customFormat="1">
      <c r="A235" s="131"/>
      <c r="B235" s="130"/>
      <c r="C235" s="130"/>
      <c r="D235" s="131"/>
      <c r="E235" s="146"/>
      <c r="F235" s="133"/>
      <c r="H235" s="148"/>
    </row>
    <row r="236" spans="1:8" s="134" customFormat="1">
      <c r="A236" s="131"/>
      <c r="B236" s="130"/>
      <c r="C236" s="130"/>
      <c r="D236" s="131"/>
      <c r="E236" s="146"/>
      <c r="F236" s="133"/>
      <c r="H236" s="148"/>
    </row>
    <row r="237" spans="1:8" s="134" customFormat="1">
      <c r="A237" s="131"/>
      <c r="B237" s="136" t="s">
        <v>173</v>
      </c>
      <c r="C237" s="130"/>
      <c r="D237" s="131"/>
      <c r="E237" s="146"/>
      <c r="F237" s="133"/>
      <c r="H237" s="148"/>
    </row>
    <row r="238" spans="1:8" s="134" customFormat="1">
      <c r="A238" s="131"/>
      <c r="B238" s="153" t="s">
        <v>393</v>
      </c>
      <c r="C238" s="130"/>
      <c r="D238" s="131"/>
      <c r="E238" s="154" t="s">
        <v>15</v>
      </c>
      <c r="F238" s="155">
        <f>SUM(F199:F231)</f>
        <v>363429600</v>
      </c>
      <c r="H238" s="148"/>
    </row>
    <row r="239" spans="1:8" s="115" customFormat="1">
      <c r="A239" s="112"/>
      <c r="B239" s="184" t="s">
        <v>403</v>
      </c>
      <c r="C239" s="112"/>
      <c r="D239" s="112"/>
      <c r="E239" s="114"/>
      <c r="F239" s="122"/>
      <c r="G239" s="122"/>
    </row>
    <row r="240" spans="1:8" s="115" customFormat="1">
      <c r="A240" s="112"/>
      <c r="B240" s="112"/>
      <c r="C240" s="112"/>
      <c r="D240" s="112"/>
      <c r="E240" s="185"/>
      <c r="F240" s="122"/>
      <c r="G240" s="122"/>
    </row>
    <row r="241" spans="1:8" s="115" customFormat="1">
      <c r="A241" s="112"/>
      <c r="B241" s="113" t="s">
        <v>468</v>
      </c>
      <c r="C241" s="112"/>
      <c r="D241" s="112"/>
      <c r="E241" s="114"/>
      <c r="F241" s="122"/>
      <c r="G241" s="122"/>
    </row>
    <row r="242" spans="1:8" s="115" customFormat="1" ht="10.5" customHeight="1">
      <c r="A242" s="186"/>
      <c r="B242" s="113"/>
      <c r="C242" s="112"/>
      <c r="D242" s="112"/>
      <c r="E242" s="114"/>
      <c r="F242" s="122"/>
      <c r="G242" s="122"/>
    </row>
    <row r="243" spans="1:8" s="115" customFormat="1">
      <c r="A243" s="186"/>
      <c r="B243" s="118" t="s">
        <v>23</v>
      </c>
      <c r="C243" s="112"/>
      <c r="D243" s="112"/>
      <c r="E243" s="114"/>
      <c r="F243" s="122"/>
      <c r="G243" s="122"/>
    </row>
    <row r="244" spans="1:8" s="115" customFormat="1">
      <c r="A244" s="186"/>
      <c r="B244" s="116"/>
      <c r="C244" s="112"/>
      <c r="D244" s="112"/>
      <c r="E244" s="114"/>
      <c r="F244" s="122"/>
      <c r="G244" s="122"/>
    </row>
    <row r="245" spans="1:8" s="115" customFormat="1">
      <c r="A245" s="112"/>
      <c r="B245" s="120" t="s">
        <v>340</v>
      </c>
      <c r="C245" s="112"/>
      <c r="D245" s="112"/>
      <c r="E245" s="114"/>
      <c r="F245" s="122"/>
      <c r="G245" s="122"/>
    </row>
    <row r="246" spans="1:8" s="115" customFormat="1" ht="11.25" customHeight="1">
      <c r="A246" s="186"/>
      <c r="B246" s="120"/>
      <c r="C246" s="112"/>
      <c r="D246" s="112"/>
      <c r="E246" s="114"/>
      <c r="F246" s="122"/>
      <c r="G246" s="122"/>
    </row>
    <row r="247" spans="1:8" s="115" customFormat="1">
      <c r="A247" s="186"/>
      <c r="B247" s="120" t="s">
        <v>341</v>
      </c>
      <c r="C247" s="112"/>
      <c r="D247" s="112"/>
      <c r="E247" s="114"/>
      <c r="F247" s="122"/>
      <c r="G247" s="122"/>
    </row>
    <row r="248" spans="1:8" s="115" customFormat="1" ht="9" customHeight="1">
      <c r="A248" s="186"/>
      <c r="B248" s="116"/>
      <c r="C248" s="112"/>
      <c r="D248" s="112"/>
      <c r="E248" s="114"/>
      <c r="F248" s="122"/>
      <c r="G248" s="122"/>
    </row>
    <row r="249" spans="1:8" s="115" customFormat="1">
      <c r="A249" s="112" t="s">
        <v>2</v>
      </c>
      <c r="B249" s="116" t="s">
        <v>404</v>
      </c>
      <c r="C249" s="112">
        <v>23</v>
      </c>
      <c r="D249" s="112" t="s">
        <v>342</v>
      </c>
      <c r="E249" s="121">
        <f>E203</f>
        <v>60000</v>
      </c>
      <c r="F249" s="187">
        <f>C249*E249</f>
        <v>1380000</v>
      </c>
      <c r="G249" s="187"/>
      <c r="H249" s="123"/>
    </row>
    <row r="250" spans="1:8" s="115" customFormat="1" ht="10.5" customHeight="1">
      <c r="A250" s="112"/>
      <c r="B250" s="116"/>
      <c r="C250" s="112"/>
      <c r="D250" s="112"/>
      <c r="E250" s="121"/>
      <c r="F250" s="187"/>
      <c r="G250" s="187"/>
      <c r="H250" s="123"/>
    </row>
    <row r="251" spans="1:8" s="115" customFormat="1" ht="12.75" customHeight="1">
      <c r="A251" s="186"/>
      <c r="B251" s="118" t="s">
        <v>24</v>
      </c>
      <c r="C251" s="112"/>
      <c r="D251" s="112"/>
      <c r="E251" s="114"/>
      <c r="F251" s="122"/>
      <c r="G251" s="122"/>
    </row>
    <row r="252" spans="1:8" s="115" customFormat="1" ht="9.75" customHeight="1">
      <c r="A252" s="112"/>
      <c r="B252" s="116"/>
      <c r="C252" s="112"/>
      <c r="D252" s="112"/>
      <c r="E252" s="114"/>
      <c r="F252" s="122"/>
      <c r="G252" s="122"/>
    </row>
    <row r="253" spans="1:8" s="115" customFormat="1" ht="30">
      <c r="A253" s="112"/>
      <c r="B253" s="124" t="s">
        <v>405</v>
      </c>
      <c r="C253" s="112"/>
      <c r="D253" s="112"/>
      <c r="E253" s="114"/>
      <c r="F253" s="119"/>
      <c r="G253" s="119"/>
    </row>
    <row r="254" spans="1:8" s="115" customFormat="1" ht="15.75" customHeight="1">
      <c r="A254" s="112"/>
      <c r="B254" s="124"/>
      <c r="C254" s="112"/>
      <c r="D254" s="112"/>
      <c r="E254" s="114"/>
      <c r="F254" s="119"/>
      <c r="G254" s="119"/>
    </row>
    <row r="255" spans="1:8" s="115" customFormat="1">
      <c r="A255" s="112" t="s">
        <v>4</v>
      </c>
      <c r="B255" s="116" t="s">
        <v>469</v>
      </c>
      <c r="C255" s="112">
        <v>226</v>
      </c>
      <c r="D255" s="112" t="s">
        <v>21</v>
      </c>
      <c r="E255" s="121">
        <f>E212</f>
        <v>600</v>
      </c>
      <c r="F255" s="119">
        <f>C255*E255</f>
        <v>135600</v>
      </c>
      <c r="G255" s="119"/>
      <c r="H255" s="123"/>
    </row>
    <row r="256" spans="1:8" s="115" customFormat="1">
      <c r="A256" s="112"/>
      <c r="B256" s="116"/>
      <c r="C256" s="125"/>
      <c r="D256" s="112"/>
      <c r="E256" s="121"/>
      <c r="F256" s="119"/>
      <c r="G256" s="119"/>
      <c r="H256" s="123"/>
    </row>
    <row r="257" spans="1:8" s="115" customFormat="1" ht="17.25" customHeight="1">
      <c r="A257" s="112" t="s">
        <v>5</v>
      </c>
      <c r="B257" s="116" t="s">
        <v>470</v>
      </c>
      <c r="C257" s="112">
        <v>1175</v>
      </c>
      <c r="D257" s="112" t="s">
        <v>21</v>
      </c>
      <c r="E257" s="121">
        <f>E255</f>
        <v>600</v>
      </c>
      <c r="F257" s="119">
        <f>C257*E257</f>
        <v>705000</v>
      </c>
      <c r="G257" s="119"/>
      <c r="H257" s="123"/>
    </row>
    <row r="258" spans="1:8" s="115" customFormat="1">
      <c r="A258" s="112"/>
      <c r="B258" s="124"/>
      <c r="C258" s="112"/>
      <c r="D258" s="112"/>
      <c r="E258" s="114"/>
      <c r="F258" s="119"/>
      <c r="G258" s="119"/>
    </row>
    <row r="259" spans="1:8" s="115" customFormat="1">
      <c r="A259" s="112" t="s">
        <v>6</v>
      </c>
      <c r="B259" s="116" t="s">
        <v>471</v>
      </c>
      <c r="C259" s="112">
        <v>78</v>
      </c>
      <c r="D259" s="112" t="s">
        <v>21</v>
      </c>
      <c r="E259" s="121">
        <f>E257</f>
        <v>600</v>
      </c>
      <c r="F259" s="119">
        <f>C259*E259</f>
        <v>46800</v>
      </c>
      <c r="G259" s="119"/>
    </row>
    <row r="260" spans="1:8" s="117" customFormat="1">
      <c r="A260" s="188"/>
      <c r="B260" s="189"/>
      <c r="C260" s="190"/>
      <c r="D260" s="190"/>
      <c r="E260" s="191"/>
      <c r="F260" s="192"/>
      <c r="G260" s="192"/>
    </row>
    <row r="261" spans="1:8" s="115" customFormat="1">
      <c r="A261" s="186"/>
      <c r="B261" s="118" t="s">
        <v>19</v>
      </c>
      <c r="C261" s="112"/>
      <c r="D261" s="112"/>
      <c r="E261" s="114"/>
      <c r="F261" s="122"/>
      <c r="G261" s="122"/>
    </row>
    <row r="262" spans="1:8" s="115" customFormat="1">
      <c r="A262" s="112"/>
      <c r="B262" s="120" t="s">
        <v>26</v>
      </c>
      <c r="C262" s="112"/>
      <c r="D262" s="112"/>
      <c r="E262" s="114"/>
      <c r="F262" s="122"/>
      <c r="G262" s="122"/>
    </row>
    <row r="263" spans="1:8" s="115" customFormat="1">
      <c r="A263" s="112"/>
      <c r="B263" s="116"/>
      <c r="C263" s="112"/>
      <c r="D263" s="112"/>
      <c r="E263" s="114"/>
      <c r="F263" s="122"/>
      <c r="G263" s="122"/>
    </row>
    <row r="264" spans="1:8" s="115" customFormat="1">
      <c r="A264" s="112" t="s">
        <v>7</v>
      </c>
      <c r="B264" s="116" t="s">
        <v>474</v>
      </c>
      <c r="C264" s="112">
        <v>46</v>
      </c>
      <c r="D264" s="112" t="s">
        <v>344</v>
      </c>
      <c r="E264" s="121">
        <f>E221</f>
        <v>4000</v>
      </c>
      <c r="F264" s="119">
        <f>C264*E264</f>
        <v>184000</v>
      </c>
      <c r="G264" s="119"/>
      <c r="H264" s="123"/>
    </row>
    <row r="265" spans="1:8" s="115" customFormat="1">
      <c r="A265" s="112"/>
      <c r="B265" s="116"/>
      <c r="C265" s="112"/>
      <c r="D265" s="112"/>
      <c r="E265" s="121"/>
      <c r="F265" s="122"/>
      <c r="G265" s="122"/>
    </row>
    <row r="266" spans="1:8" s="115" customFormat="1">
      <c r="A266" s="112" t="s">
        <v>8</v>
      </c>
      <c r="B266" s="116" t="s">
        <v>406</v>
      </c>
      <c r="C266" s="112">
        <v>45</v>
      </c>
      <c r="D266" s="112" t="s">
        <v>344</v>
      </c>
      <c r="E266" s="121">
        <f>E264</f>
        <v>4000</v>
      </c>
      <c r="F266" s="119">
        <f>C266*E266</f>
        <v>180000</v>
      </c>
      <c r="G266" s="119"/>
      <c r="H266" s="123"/>
    </row>
    <row r="267" spans="1:8" s="115" customFormat="1">
      <c r="A267" s="112"/>
      <c r="B267" s="116"/>
      <c r="C267" s="112"/>
      <c r="D267" s="112"/>
      <c r="E267" s="121"/>
      <c r="F267" s="119"/>
      <c r="G267" s="119"/>
      <c r="H267" s="123"/>
    </row>
    <row r="268" spans="1:8" s="115" customFormat="1">
      <c r="A268" s="112" t="s">
        <v>9</v>
      </c>
      <c r="B268" s="116" t="s">
        <v>472</v>
      </c>
      <c r="C268" s="112">
        <v>18</v>
      </c>
      <c r="D268" s="112" t="s">
        <v>344</v>
      </c>
      <c r="E268" s="121">
        <f>E266</f>
        <v>4000</v>
      </c>
      <c r="F268" s="119">
        <f>C268*E268</f>
        <v>72000</v>
      </c>
      <c r="G268" s="119"/>
      <c r="H268" s="123"/>
    </row>
    <row r="269" spans="1:8" s="115" customFormat="1">
      <c r="A269" s="112"/>
      <c r="B269" s="116"/>
      <c r="C269" s="112"/>
      <c r="D269" s="112"/>
      <c r="E269" s="121"/>
      <c r="F269" s="122"/>
      <c r="G269" s="122"/>
    </row>
    <row r="270" spans="1:8" s="115" customFormat="1" ht="30">
      <c r="A270" s="112" t="s">
        <v>10</v>
      </c>
      <c r="B270" s="193" t="s">
        <v>473</v>
      </c>
      <c r="C270" s="112">
        <v>19</v>
      </c>
      <c r="D270" s="112" t="s">
        <v>344</v>
      </c>
      <c r="E270" s="121">
        <f>E268</f>
        <v>4000</v>
      </c>
      <c r="F270" s="119">
        <f>C270*E270</f>
        <v>76000</v>
      </c>
      <c r="G270" s="119"/>
      <c r="H270" s="123"/>
    </row>
    <row r="271" spans="1:8" s="115" customFormat="1">
      <c r="A271" s="112"/>
      <c r="B271" s="193"/>
      <c r="C271" s="112"/>
      <c r="D271" s="112"/>
      <c r="E271" s="114"/>
      <c r="F271" s="122"/>
      <c r="G271" s="122"/>
    </row>
    <row r="272" spans="1:8" s="115" customFormat="1">
      <c r="A272" s="112" t="s">
        <v>11</v>
      </c>
      <c r="B272" s="116" t="s">
        <v>28</v>
      </c>
      <c r="C272" s="112">
        <v>144</v>
      </c>
      <c r="D272" s="112" t="s">
        <v>20</v>
      </c>
      <c r="E272" s="121">
        <f>E222</f>
        <v>600</v>
      </c>
      <c r="F272" s="119">
        <f>C272*E272</f>
        <v>86400</v>
      </c>
      <c r="G272" s="119"/>
      <c r="H272" s="123"/>
    </row>
    <row r="273" spans="1:8" s="115" customFormat="1">
      <c r="A273" s="112"/>
      <c r="B273" s="116"/>
      <c r="C273" s="112"/>
      <c r="D273" s="112"/>
      <c r="E273" s="121"/>
      <c r="F273" s="119"/>
      <c r="G273" s="119"/>
    </row>
    <row r="274" spans="1:8" s="115" customFormat="1">
      <c r="A274" s="112" t="s">
        <v>12</v>
      </c>
      <c r="B274" s="116" t="s">
        <v>29</v>
      </c>
      <c r="C274" s="112">
        <v>101</v>
      </c>
      <c r="D274" s="112" t="s">
        <v>20</v>
      </c>
      <c r="E274" s="121">
        <f>E272</f>
        <v>600</v>
      </c>
      <c r="F274" s="119">
        <f>C274*E274</f>
        <v>60600</v>
      </c>
      <c r="G274" s="119"/>
      <c r="H274" s="123"/>
    </row>
    <row r="275" spans="1:8" s="115" customFormat="1">
      <c r="A275" s="112"/>
      <c r="B275" s="116"/>
      <c r="C275" s="112"/>
      <c r="D275" s="112"/>
      <c r="E275" s="121"/>
      <c r="F275" s="119"/>
      <c r="G275" s="119"/>
    </row>
    <row r="276" spans="1:8" s="115" customFormat="1">
      <c r="A276" s="112"/>
      <c r="B276" s="118" t="s">
        <v>32</v>
      </c>
      <c r="C276" s="112"/>
      <c r="D276" s="112"/>
      <c r="E276" s="114"/>
      <c r="F276" s="122"/>
      <c r="G276" s="122"/>
    </row>
    <row r="277" spans="1:8" s="115" customFormat="1">
      <c r="A277" s="112"/>
      <c r="B277" s="116"/>
      <c r="C277" s="112"/>
      <c r="D277" s="112"/>
      <c r="E277" s="114"/>
      <c r="F277" s="122"/>
      <c r="G277" s="122"/>
    </row>
    <row r="278" spans="1:8" s="115" customFormat="1" ht="30">
      <c r="A278" s="112"/>
      <c r="B278" s="124" t="s">
        <v>407</v>
      </c>
      <c r="C278" s="112"/>
      <c r="D278" s="112"/>
      <c r="E278" s="114"/>
      <c r="F278" s="122"/>
      <c r="G278" s="122"/>
    </row>
    <row r="279" spans="1:8" s="115" customFormat="1">
      <c r="A279" s="112"/>
      <c r="B279" s="124"/>
      <c r="C279" s="112"/>
      <c r="D279" s="112"/>
      <c r="E279" s="114"/>
      <c r="F279" s="122"/>
      <c r="G279" s="122"/>
    </row>
    <row r="280" spans="1:8" s="115" customFormat="1">
      <c r="A280" s="112" t="s">
        <v>11</v>
      </c>
      <c r="B280" s="197" t="s">
        <v>33</v>
      </c>
      <c r="C280" s="112">
        <f>C264</f>
        <v>46</v>
      </c>
      <c r="D280" s="112" t="s">
        <v>344</v>
      </c>
      <c r="E280" s="121">
        <v>1200</v>
      </c>
      <c r="F280" s="119">
        <f>C280*E280</f>
        <v>55200</v>
      </c>
      <c r="G280" s="119"/>
      <c r="H280" s="123"/>
    </row>
    <row r="281" spans="1:8" s="115" customFormat="1">
      <c r="A281" s="112"/>
      <c r="B281" s="197"/>
      <c r="C281" s="112"/>
      <c r="D281" s="112"/>
      <c r="E281" s="121"/>
      <c r="F281" s="119"/>
      <c r="G281" s="119"/>
    </row>
    <row r="282" spans="1:8" s="115" customFormat="1">
      <c r="A282" s="112" t="s">
        <v>12</v>
      </c>
      <c r="B282" s="116" t="s">
        <v>34</v>
      </c>
      <c r="C282" s="112">
        <f>C266</f>
        <v>45</v>
      </c>
      <c r="D282" s="112" t="s">
        <v>344</v>
      </c>
      <c r="E282" s="121">
        <f>E280</f>
        <v>1200</v>
      </c>
      <c r="F282" s="119">
        <f>C282*E282</f>
        <v>54000</v>
      </c>
      <c r="G282" s="119"/>
      <c r="H282" s="123"/>
    </row>
    <row r="283" spans="1:8" s="115" customFormat="1">
      <c r="A283" s="112"/>
      <c r="B283" s="116"/>
      <c r="C283" s="112"/>
      <c r="D283" s="112"/>
      <c r="E283" s="121"/>
      <c r="F283" s="119"/>
      <c r="G283" s="119"/>
    </row>
    <row r="284" spans="1:8" s="115" customFormat="1">
      <c r="A284" s="112" t="s">
        <v>13</v>
      </c>
      <c r="B284" s="116" t="s">
        <v>35</v>
      </c>
      <c r="C284" s="112">
        <f>C270</f>
        <v>19</v>
      </c>
      <c r="D284" s="112" t="s">
        <v>344</v>
      </c>
      <c r="E284" s="121">
        <f>E282</f>
        <v>1200</v>
      </c>
      <c r="F284" s="119">
        <f>C284*E284</f>
        <v>22800</v>
      </c>
      <c r="G284" s="119"/>
      <c r="H284" s="123"/>
    </row>
    <row r="285" spans="1:8" s="115" customFormat="1">
      <c r="A285" s="112"/>
      <c r="B285" s="116"/>
      <c r="C285" s="112"/>
      <c r="D285" s="112"/>
      <c r="E285" s="121"/>
      <c r="F285" s="119"/>
      <c r="G285" s="119"/>
    </row>
    <row r="286" spans="1:8" s="115" customFormat="1">
      <c r="A286" s="112"/>
      <c r="B286" s="116"/>
      <c r="C286" s="112"/>
      <c r="D286" s="112"/>
      <c r="E286" s="121"/>
      <c r="F286" s="119"/>
      <c r="G286" s="119"/>
    </row>
    <row r="287" spans="1:8" s="115" customFormat="1">
      <c r="A287" s="112"/>
      <c r="B287" s="116"/>
      <c r="C287" s="112"/>
      <c r="D287" s="112"/>
      <c r="E287" s="121"/>
      <c r="F287" s="119"/>
      <c r="G287" s="119"/>
    </row>
    <row r="288" spans="1:8" s="115" customFormat="1">
      <c r="A288" s="112"/>
      <c r="B288" s="116"/>
      <c r="C288" s="112"/>
      <c r="D288" s="112"/>
      <c r="E288" s="121"/>
      <c r="F288" s="119"/>
      <c r="G288" s="119"/>
    </row>
    <row r="289" spans="1:8" s="115" customFormat="1">
      <c r="A289" s="112"/>
      <c r="B289" s="113" t="s">
        <v>27</v>
      </c>
      <c r="C289" s="195"/>
      <c r="D289" s="195"/>
      <c r="G289" s="119"/>
    </row>
    <row r="290" spans="1:8" s="115" customFormat="1">
      <c r="A290" s="112"/>
      <c r="B290" s="194" t="s">
        <v>393</v>
      </c>
      <c r="C290" s="112"/>
      <c r="D290" s="112"/>
      <c r="E290" s="196" t="s">
        <v>15</v>
      </c>
      <c r="F290" s="119">
        <f>SUM(F241:F288)</f>
        <v>3058400</v>
      </c>
      <c r="G290" s="119"/>
    </row>
    <row r="291" spans="1:8" s="134" customFormat="1">
      <c r="A291" s="131"/>
      <c r="B291" s="170"/>
      <c r="C291" s="130"/>
      <c r="D291" s="131"/>
      <c r="E291" s="132"/>
      <c r="F291" s="133"/>
    </row>
    <row r="292" spans="1:8" s="134" customFormat="1">
      <c r="A292" s="131"/>
      <c r="B292" s="170" t="s">
        <v>38</v>
      </c>
      <c r="C292" s="130"/>
      <c r="D292" s="131"/>
      <c r="E292" s="132"/>
      <c r="F292" s="133"/>
    </row>
    <row r="293" spans="1:8" s="134" customFormat="1">
      <c r="A293" s="131"/>
      <c r="B293" s="130"/>
      <c r="C293" s="130"/>
      <c r="D293" s="131"/>
      <c r="E293" s="132"/>
      <c r="F293" s="179"/>
    </row>
    <row r="294" spans="1:8" s="134" customFormat="1">
      <c r="A294" s="131"/>
      <c r="B294" s="160" t="s">
        <v>392</v>
      </c>
      <c r="C294" s="130"/>
      <c r="D294" s="131"/>
      <c r="E294" s="146">
        <f>F109</f>
        <v>136207650</v>
      </c>
      <c r="H294" s="180"/>
    </row>
    <row r="295" spans="1:8" s="134" customFormat="1">
      <c r="A295" s="131"/>
      <c r="B295" s="130"/>
      <c r="C295" s="130"/>
      <c r="D295" s="131"/>
      <c r="E295" s="132"/>
      <c r="H295" s="180"/>
    </row>
    <row r="296" spans="1:8" s="134" customFormat="1">
      <c r="A296" s="131"/>
      <c r="B296" s="130" t="s">
        <v>25</v>
      </c>
      <c r="C296" s="130"/>
      <c r="D296" s="131"/>
      <c r="E296" s="132">
        <f>F192</f>
        <v>157338600</v>
      </c>
      <c r="H296" s="180"/>
    </row>
    <row r="297" spans="1:8" s="134" customFormat="1">
      <c r="A297" s="131"/>
      <c r="B297" s="130"/>
      <c r="C297" s="130"/>
      <c r="D297" s="131"/>
      <c r="E297" s="132"/>
      <c r="H297" s="180"/>
    </row>
    <row r="298" spans="1:8" s="134" customFormat="1">
      <c r="A298" s="131"/>
      <c r="B298" s="130" t="s">
        <v>41</v>
      </c>
      <c r="C298" s="130"/>
      <c r="D298" s="131"/>
      <c r="E298" s="132">
        <f>F238</f>
        <v>363429600</v>
      </c>
      <c r="H298" s="180"/>
    </row>
    <row r="299" spans="1:8" s="134" customFormat="1" ht="18.75" customHeight="1">
      <c r="A299" s="131"/>
      <c r="B299" s="130"/>
      <c r="C299" s="181"/>
      <c r="D299" s="182"/>
      <c r="E299" s="132"/>
      <c r="H299" s="180"/>
    </row>
    <row r="300" spans="1:8" s="134" customFormat="1">
      <c r="A300" s="131"/>
      <c r="B300" s="130" t="s">
        <v>27</v>
      </c>
      <c r="C300" s="130"/>
      <c r="D300" s="131"/>
      <c r="E300" s="132">
        <f>F290</f>
        <v>3058400</v>
      </c>
      <c r="H300" s="180"/>
    </row>
    <row r="301" spans="1:8" s="134" customFormat="1" ht="17.25" customHeight="1">
      <c r="A301" s="131"/>
      <c r="B301" s="130"/>
      <c r="C301" s="181"/>
      <c r="D301" s="182"/>
      <c r="E301" s="132"/>
      <c r="H301" s="180"/>
    </row>
    <row r="302" spans="1:8" s="134" customFormat="1">
      <c r="A302" s="131"/>
      <c r="B302" s="130"/>
      <c r="C302" s="130"/>
      <c r="D302" s="131"/>
      <c r="E302" s="132"/>
      <c r="H302" s="180"/>
    </row>
    <row r="303" spans="1:8" s="134" customFormat="1" ht="17.25" customHeight="1">
      <c r="A303" s="131"/>
      <c r="B303" s="130"/>
      <c r="C303" s="181"/>
      <c r="D303" s="182"/>
      <c r="E303" s="132"/>
      <c r="H303" s="180"/>
    </row>
    <row r="304" spans="1:8" s="134" customFormat="1">
      <c r="A304" s="131"/>
      <c r="B304" s="130"/>
      <c r="C304" s="130"/>
      <c r="D304" s="131"/>
      <c r="E304" s="132"/>
      <c r="H304" s="180"/>
    </row>
    <row r="305" spans="1:8" s="134" customFormat="1" ht="17.25" customHeight="1">
      <c r="A305" s="131"/>
      <c r="B305" s="130"/>
      <c r="C305" s="130"/>
      <c r="D305" s="131"/>
      <c r="E305" s="132"/>
      <c r="H305" s="180"/>
    </row>
    <row r="306" spans="1:8" s="134" customFormat="1" ht="17.25" customHeight="1">
      <c r="A306" s="131"/>
      <c r="B306" s="130"/>
      <c r="C306" s="130"/>
      <c r="D306" s="131"/>
      <c r="E306" s="132"/>
      <c r="H306" s="180"/>
    </row>
    <row r="307" spans="1:8" s="134" customFormat="1" ht="17.25" customHeight="1">
      <c r="A307" s="131"/>
      <c r="B307" s="130"/>
      <c r="C307" s="130"/>
      <c r="D307" s="131"/>
      <c r="E307" s="132"/>
      <c r="H307" s="180"/>
    </row>
    <row r="308" spans="1:8" s="134" customFormat="1" ht="17.25" customHeight="1">
      <c r="A308" s="131"/>
      <c r="B308" s="130"/>
      <c r="C308" s="130"/>
      <c r="D308" s="131"/>
      <c r="E308" s="132"/>
      <c r="H308" s="180"/>
    </row>
    <row r="309" spans="1:8" s="134" customFormat="1" ht="17.25" customHeight="1">
      <c r="A309" s="131"/>
      <c r="B309" s="130"/>
      <c r="C309" s="130"/>
      <c r="D309" s="131"/>
      <c r="E309" s="132"/>
      <c r="H309" s="180"/>
    </row>
    <row r="310" spans="1:8" s="134" customFormat="1" ht="17.25" customHeight="1">
      <c r="A310" s="131"/>
      <c r="B310" s="130"/>
      <c r="C310" s="130"/>
      <c r="D310" s="131"/>
      <c r="E310" s="132"/>
      <c r="H310" s="180"/>
    </row>
    <row r="311" spans="1:8" s="134" customFormat="1" ht="17.25" customHeight="1">
      <c r="A311" s="131"/>
      <c r="B311" s="130"/>
      <c r="C311" s="181"/>
      <c r="D311" s="182"/>
      <c r="E311" s="132"/>
      <c r="H311" s="180"/>
    </row>
    <row r="312" spans="1:8" s="134" customFormat="1" ht="17.25" customHeight="1">
      <c r="A312" s="131"/>
      <c r="B312" s="130"/>
      <c r="C312" s="130"/>
      <c r="D312" s="131"/>
      <c r="E312" s="132"/>
      <c r="H312" s="180"/>
    </row>
    <row r="313" spans="1:8" s="134" customFormat="1" ht="17.25" customHeight="1">
      <c r="A313" s="131"/>
      <c r="B313" s="130"/>
      <c r="C313" s="181"/>
      <c r="D313" s="182"/>
      <c r="E313" s="132"/>
      <c r="H313" s="180"/>
    </row>
    <row r="314" spans="1:8" s="134" customFormat="1" ht="17.25" customHeight="1">
      <c r="A314" s="131"/>
      <c r="B314" s="130"/>
      <c r="C314" s="130"/>
      <c r="D314" s="131"/>
      <c r="E314" s="132"/>
      <c r="H314" s="180"/>
    </row>
    <row r="315" spans="1:8" s="134" customFormat="1" ht="17.25" customHeight="1">
      <c r="A315" s="131"/>
      <c r="B315" s="130"/>
      <c r="C315" s="181"/>
      <c r="D315" s="182"/>
      <c r="E315" s="132"/>
      <c r="H315" s="180"/>
    </row>
    <row r="316" spans="1:8" s="134" customFormat="1" ht="17.25" customHeight="1">
      <c r="A316" s="131"/>
      <c r="B316" s="130"/>
      <c r="C316" s="130"/>
      <c r="D316" s="131"/>
      <c r="E316" s="132"/>
      <c r="H316" s="180"/>
    </row>
    <row r="317" spans="1:8" s="134" customFormat="1" ht="17.25" customHeight="1">
      <c r="A317" s="131"/>
      <c r="B317" s="130"/>
      <c r="C317" s="130"/>
      <c r="D317" s="131"/>
      <c r="E317" s="132"/>
      <c r="H317" s="180"/>
    </row>
    <row r="318" spans="1:8" s="134" customFormat="1" ht="17.25" customHeight="1">
      <c r="A318" s="131"/>
      <c r="B318" s="130"/>
      <c r="C318" s="130"/>
      <c r="D318" s="131"/>
      <c r="E318" s="132"/>
      <c r="H318" s="180"/>
    </row>
    <row r="319" spans="1:8" s="134" customFormat="1" ht="17.25" customHeight="1">
      <c r="A319" s="131"/>
      <c r="C319" s="130"/>
      <c r="D319" s="131"/>
      <c r="E319" s="132"/>
      <c r="H319" s="180"/>
    </row>
    <row r="320" spans="1:8" s="134" customFormat="1" ht="17.25" customHeight="1">
      <c r="A320" s="131"/>
      <c r="B320" s="130"/>
      <c r="C320" s="130"/>
      <c r="D320" s="131"/>
      <c r="E320" s="146"/>
      <c r="H320" s="180"/>
    </row>
    <row r="321" spans="1:8" s="134" customFormat="1" ht="17.25" customHeight="1">
      <c r="A321" s="131"/>
      <c r="B321" s="130"/>
      <c r="C321" s="181"/>
      <c r="D321" s="182"/>
      <c r="E321" s="132"/>
      <c r="H321" s="180"/>
    </row>
    <row r="322" spans="1:8" s="134" customFormat="1" ht="17.25" customHeight="1">
      <c r="A322" s="131"/>
      <c r="B322" s="130"/>
      <c r="C322" s="130"/>
      <c r="D322" s="131"/>
      <c r="E322" s="132"/>
      <c r="H322" s="180"/>
    </row>
    <row r="323" spans="1:8" s="134" customFormat="1" ht="17.25" customHeight="1">
      <c r="A323" s="131"/>
      <c r="B323" s="139"/>
      <c r="C323" s="139"/>
      <c r="D323" s="137"/>
      <c r="F323" s="166"/>
    </row>
    <row r="324" spans="1:8" s="134" customFormat="1" ht="17.25" customHeight="1">
      <c r="A324" s="131"/>
      <c r="B324" s="130"/>
      <c r="C324" s="130"/>
      <c r="D324" s="131"/>
      <c r="F324" s="133"/>
    </row>
    <row r="325" spans="1:8" s="134" customFormat="1" ht="17.25" customHeight="1">
      <c r="A325" s="131"/>
      <c r="B325" s="130"/>
      <c r="C325" s="130"/>
      <c r="D325" s="131"/>
      <c r="F325" s="133"/>
    </row>
    <row r="326" spans="1:8" s="134" customFormat="1" ht="17.25" customHeight="1">
      <c r="A326" s="131"/>
      <c r="B326" s="130"/>
      <c r="C326" s="130"/>
      <c r="D326" s="131"/>
      <c r="F326" s="133"/>
    </row>
    <row r="327" spans="1:8" s="134" customFormat="1">
      <c r="A327" s="131"/>
      <c r="B327" s="136" t="s">
        <v>408</v>
      </c>
      <c r="C327" s="153"/>
      <c r="D327" s="135"/>
      <c r="F327" s="157"/>
    </row>
    <row r="328" spans="1:8" s="134" customFormat="1" ht="17.25" thickBot="1">
      <c r="A328" s="131"/>
      <c r="B328" s="153" t="s">
        <v>409</v>
      </c>
      <c r="C328" s="153"/>
      <c r="D328" s="154" t="s">
        <v>15</v>
      </c>
      <c r="E328" s="183">
        <f>SUM(E294:E322)</f>
        <v>660034250</v>
      </c>
    </row>
    <row r="329" spans="1:8" s="134" customFormat="1" ht="17.25" thickTop="1">
      <c r="A329" s="131"/>
      <c r="B329" s="153"/>
      <c r="C329" s="153"/>
      <c r="D329" s="135"/>
      <c r="E329" s="162"/>
      <c r="F329" s="155"/>
    </row>
    <row r="330" spans="1:8" s="134" customFormat="1">
      <c r="A330" s="137"/>
      <c r="B330" s="139"/>
      <c r="C330" s="139"/>
      <c r="D330" s="137"/>
      <c r="E330" s="165"/>
      <c r="F330" s="166"/>
    </row>
    <row r="331" spans="1:8" s="134" customFormat="1">
      <c r="A331" s="137"/>
      <c r="B331" s="139"/>
      <c r="C331" s="139"/>
      <c r="D331" s="137"/>
      <c r="E331" s="165"/>
      <c r="F331" s="166"/>
    </row>
    <row r="332" spans="1:8" s="134" customFormat="1">
      <c r="A332" s="137"/>
      <c r="B332" s="139"/>
      <c r="C332" s="139"/>
      <c r="D332" s="137"/>
      <c r="E332" s="165"/>
      <c r="F332" s="166"/>
    </row>
    <row r="333" spans="1:8" s="134" customFormat="1">
      <c r="A333" s="137"/>
      <c r="B333" s="139"/>
      <c r="C333" s="139"/>
      <c r="D333" s="137"/>
      <c r="E333" s="165"/>
      <c r="F333" s="166"/>
    </row>
    <row r="334" spans="1:8" s="134" customFormat="1">
      <c r="A334" s="137"/>
      <c r="B334" s="139"/>
      <c r="C334" s="139"/>
      <c r="D334" s="137"/>
      <c r="E334" s="165"/>
      <c r="F334" s="166"/>
    </row>
    <row r="335" spans="1:8" s="134" customFormat="1">
      <c r="A335" s="137"/>
      <c r="B335" s="139"/>
      <c r="C335" s="139"/>
      <c r="D335" s="137"/>
      <c r="E335" s="165"/>
      <c r="F335" s="166"/>
    </row>
    <row r="336" spans="1:8" s="134" customFormat="1">
      <c r="A336" s="137"/>
      <c r="B336" s="139"/>
      <c r="C336" s="139"/>
      <c r="D336" s="137"/>
      <c r="E336" s="165"/>
      <c r="F336" s="166"/>
    </row>
    <row r="337" spans="1:6" s="134" customFormat="1">
      <c r="A337" s="137"/>
      <c r="B337" s="139"/>
      <c r="C337" s="139"/>
      <c r="D337" s="137"/>
      <c r="E337" s="165"/>
      <c r="F337" s="166"/>
    </row>
    <row r="338" spans="1:6" s="134" customFormat="1">
      <c r="A338" s="137"/>
      <c r="B338" s="139"/>
      <c r="C338" s="139"/>
      <c r="D338" s="137"/>
      <c r="E338" s="165"/>
      <c r="F338" s="166"/>
    </row>
    <row r="339" spans="1:6" s="134" customFormat="1">
      <c r="A339" s="137"/>
      <c r="B339" s="139"/>
      <c r="C339" s="139"/>
      <c r="D339" s="137"/>
      <c r="E339" s="165"/>
      <c r="F339" s="166"/>
    </row>
    <row r="340" spans="1:6" s="134" customFormat="1">
      <c r="A340" s="137"/>
      <c r="B340" s="139"/>
      <c r="C340" s="139"/>
      <c r="D340" s="137"/>
      <c r="E340" s="165"/>
      <c r="F340" s="166"/>
    </row>
    <row r="341" spans="1:6" s="134" customFormat="1">
      <c r="A341" s="137"/>
      <c r="B341" s="139"/>
      <c r="C341" s="139"/>
      <c r="D341" s="137"/>
      <c r="E341" s="165"/>
      <c r="F341" s="166"/>
    </row>
    <row r="342" spans="1:6" s="134" customFormat="1">
      <c r="A342" s="137"/>
      <c r="B342" s="139"/>
      <c r="C342" s="139"/>
      <c r="D342" s="137"/>
      <c r="E342" s="165"/>
      <c r="F342" s="166"/>
    </row>
    <row r="343" spans="1:6" s="134" customFormat="1">
      <c r="A343" s="137"/>
      <c r="B343" s="139"/>
      <c r="C343" s="139"/>
      <c r="D343" s="137"/>
      <c r="E343" s="165"/>
      <c r="F343" s="166"/>
    </row>
    <row r="344" spans="1:6" s="134" customFormat="1">
      <c r="A344" s="137"/>
      <c r="B344" s="139"/>
      <c r="C344" s="139"/>
      <c r="D344" s="137"/>
      <c r="E344" s="165"/>
      <c r="F344" s="166"/>
    </row>
    <row r="345" spans="1:6" s="134" customFormat="1">
      <c r="A345" s="137"/>
      <c r="B345" s="139"/>
      <c r="C345" s="139"/>
      <c r="D345" s="137"/>
      <c r="E345" s="165"/>
      <c r="F345" s="166"/>
    </row>
    <row r="346" spans="1:6" s="134" customFormat="1">
      <c r="A346" s="137"/>
      <c r="B346" s="139"/>
      <c r="C346" s="139"/>
      <c r="D346" s="137"/>
      <c r="E346" s="165"/>
      <c r="F346" s="166"/>
    </row>
    <row r="347" spans="1:6" s="134" customFormat="1">
      <c r="A347" s="137"/>
      <c r="B347" s="139"/>
      <c r="C347" s="139"/>
      <c r="D347" s="137"/>
      <c r="E347" s="165"/>
      <c r="F347" s="166"/>
    </row>
    <row r="348" spans="1:6" s="134" customFormat="1">
      <c r="A348" s="137"/>
      <c r="B348" s="139"/>
      <c r="C348" s="139"/>
      <c r="D348" s="137"/>
      <c r="E348" s="165"/>
      <c r="F348" s="166"/>
    </row>
    <row r="349" spans="1:6" s="134" customFormat="1">
      <c r="A349" s="137"/>
      <c r="B349" s="139"/>
      <c r="C349" s="139"/>
      <c r="D349" s="137"/>
      <c r="E349" s="165"/>
      <c r="F349" s="166"/>
    </row>
    <row r="350" spans="1:6" s="134" customFormat="1">
      <c r="A350" s="137"/>
      <c r="B350" s="139"/>
      <c r="C350" s="139"/>
      <c r="D350" s="137"/>
      <c r="E350" s="165"/>
      <c r="F350" s="166"/>
    </row>
    <row r="351" spans="1:6" s="134" customFormat="1">
      <c r="A351" s="137"/>
      <c r="B351" s="139"/>
      <c r="C351" s="139"/>
      <c r="D351" s="137"/>
      <c r="E351" s="165"/>
      <c r="F351" s="166"/>
    </row>
    <row r="352" spans="1:6" s="134" customFormat="1">
      <c r="A352" s="137"/>
      <c r="B352" s="139"/>
      <c r="C352" s="139"/>
      <c r="D352" s="137"/>
      <c r="E352" s="165"/>
      <c r="F352" s="166"/>
    </row>
    <row r="353" spans="1:6" s="134" customFormat="1">
      <c r="A353" s="137"/>
      <c r="B353" s="139"/>
      <c r="C353" s="139"/>
      <c r="D353" s="137"/>
      <c r="E353" s="165"/>
      <c r="F353" s="166"/>
    </row>
    <row r="354" spans="1:6" s="134" customFormat="1">
      <c r="A354" s="137"/>
      <c r="B354" s="139"/>
      <c r="C354" s="139"/>
      <c r="D354" s="137"/>
      <c r="E354" s="165"/>
      <c r="F354" s="166"/>
    </row>
    <row r="355" spans="1:6" s="134" customFormat="1">
      <c r="A355" s="137"/>
      <c r="B355" s="139"/>
      <c r="C355" s="139"/>
      <c r="D355" s="137"/>
      <c r="E355" s="165"/>
      <c r="F355" s="166"/>
    </row>
    <row r="356" spans="1:6" s="134" customFormat="1">
      <c r="A356" s="137"/>
      <c r="B356" s="139"/>
      <c r="C356" s="139"/>
      <c r="D356" s="137"/>
      <c r="E356" s="165"/>
      <c r="F356" s="166"/>
    </row>
    <row r="357" spans="1:6" s="134" customFormat="1">
      <c r="A357" s="137"/>
      <c r="B357" s="139"/>
      <c r="C357" s="139"/>
      <c r="D357" s="137"/>
      <c r="E357" s="165"/>
      <c r="F357" s="166"/>
    </row>
    <row r="358" spans="1:6" s="134" customFormat="1">
      <c r="A358" s="137"/>
      <c r="B358" s="139"/>
      <c r="C358" s="139"/>
      <c r="D358" s="137"/>
      <c r="E358" s="165"/>
      <c r="F358" s="166"/>
    </row>
    <row r="359" spans="1:6" s="134" customFormat="1">
      <c r="A359" s="137"/>
      <c r="B359" s="139"/>
      <c r="C359" s="139"/>
      <c r="D359" s="137"/>
      <c r="E359" s="165"/>
      <c r="F359" s="166"/>
    </row>
    <row r="360" spans="1:6" s="134" customFormat="1">
      <c r="A360" s="137"/>
      <c r="B360" s="139"/>
      <c r="C360" s="139"/>
      <c r="D360" s="137"/>
      <c r="E360" s="165"/>
      <c r="F360" s="166"/>
    </row>
    <row r="361" spans="1:6" s="158" customFormat="1">
      <c r="A361" s="137"/>
      <c r="B361" s="139"/>
      <c r="C361" s="139"/>
      <c r="D361" s="137"/>
      <c r="E361" s="165"/>
      <c r="F361" s="166"/>
    </row>
    <row r="362" spans="1:6" s="158" customFormat="1">
      <c r="A362" s="137"/>
      <c r="B362" s="139"/>
      <c r="C362" s="139"/>
      <c r="D362" s="137"/>
      <c r="E362" s="165"/>
      <c r="F362" s="166"/>
    </row>
    <row r="363" spans="1:6" s="134" customFormat="1">
      <c r="A363" s="137"/>
      <c r="B363" s="139"/>
      <c r="C363" s="139"/>
      <c r="D363" s="137"/>
      <c r="E363" s="165"/>
      <c r="F363" s="166"/>
    </row>
    <row r="364" spans="1:6" s="134" customFormat="1">
      <c r="A364" s="137"/>
      <c r="B364" s="139"/>
      <c r="C364" s="139"/>
      <c r="D364" s="137"/>
      <c r="E364" s="165"/>
      <c r="F364" s="166"/>
    </row>
    <row r="365" spans="1:6" s="134" customFormat="1">
      <c r="A365" s="137"/>
      <c r="B365" s="139"/>
      <c r="C365" s="139"/>
      <c r="D365" s="137"/>
      <c r="E365" s="165"/>
      <c r="F365" s="166"/>
    </row>
    <row r="366" spans="1:6" s="134" customFormat="1">
      <c r="A366" s="137"/>
      <c r="B366" s="139"/>
      <c r="C366" s="139"/>
      <c r="D366" s="137"/>
      <c r="E366" s="165"/>
      <c r="F366" s="166"/>
    </row>
    <row r="367" spans="1:6" s="134" customFormat="1">
      <c r="A367" s="137"/>
      <c r="B367" s="139"/>
      <c r="C367" s="139"/>
      <c r="D367" s="137"/>
      <c r="E367" s="165"/>
      <c r="F367" s="166"/>
    </row>
    <row r="368" spans="1:6" s="134" customFormat="1">
      <c r="A368" s="137"/>
      <c r="B368" s="139"/>
      <c r="C368" s="139"/>
      <c r="D368" s="137"/>
      <c r="E368" s="165"/>
      <c r="F368" s="166"/>
    </row>
    <row r="369" spans="1:6" s="134" customFormat="1">
      <c r="A369" s="137"/>
      <c r="B369" s="139"/>
      <c r="C369" s="139"/>
      <c r="D369" s="137"/>
      <c r="E369" s="165"/>
      <c r="F369" s="166"/>
    </row>
    <row r="370" spans="1:6" s="134" customFormat="1">
      <c r="A370" s="137"/>
      <c r="B370" s="139"/>
      <c r="C370" s="139"/>
      <c r="D370" s="137"/>
      <c r="E370" s="165"/>
      <c r="F370" s="166"/>
    </row>
    <row r="371" spans="1:6" s="134" customFormat="1">
      <c r="A371" s="137"/>
      <c r="B371" s="139"/>
      <c r="C371" s="139"/>
      <c r="D371" s="137"/>
      <c r="E371" s="165"/>
      <c r="F371" s="166"/>
    </row>
    <row r="372" spans="1:6" s="134" customFormat="1">
      <c r="A372" s="137"/>
      <c r="B372" s="139"/>
      <c r="C372" s="139"/>
      <c r="D372" s="137"/>
      <c r="E372" s="165"/>
      <c r="F372" s="166"/>
    </row>
    <row r="373" spans="1:6" s="134" customFormat="1">
      <c r="A373" s="137"/>
      <c r="B373" s="139"/>
      <c r="C373" s="139"/>
      <c r="D373" s="137"/>
      <c r="E373" s="165"/>
      <c r="F373" s="166"/>
    </row>
    <row r="374" spans="1:6" s="134" customFormat="1">
      <c r="A374" s="137"/>
      <c r="B374" s="139"/>
      <c r="C374" s="139"/>
      <c r="D374" s="137"/>
      <c r="E374" s="165"/>
      <c r="F374" s="166"/>
    </row>
    <row r="375" spans="1:6" s="134" customFormat="1">
      <c r="A375" s="137"/>
      <c r="B375" s="139"/>
      <c r="C375" s="139"/>
      <c r="D375" s="137"/>
      <c r="E375" s="165"/>
      <c r="F375" s="166"/>
    </row>
    <row r="376" spans="1:6" s="134" customFormat="1">
      <c r="A376" s="137"/>
      <c r="B376" s="139"/>
      <c r="C376" s="139"/>
      <c r="D376" s="137"/>
      <c r="E376" s="165"/>
      <c r="F376" s="166"/>
    </row>
    <row r="377" spans="1:6" s="134" customFormat="1">
      <c r="A377" s="137"/>
      <c r="B377" s="139"/>
      <c r="C377" s="139"/>
      <c r="D377" s="137"/>
      <c r="E377" s="165"/>
      <c r="F377" s="166"/>
    </row>
    <row r="378" spans="1:6" s="134" customFormat="1">
      <c r="A378" s="137"/>
      <c r="B378" s="139"/>
      <c r="C378" s="139"/>
      <c r="D378" s="137"/>
      <c r="E378" s="165"/>
      <c r="F378" s="166"/>
    </row>
    <row r="379" spans="1:6" s="134" customFormat="1">
      <c r="A379" s="137"/>
      <c r="B379" s="139"/>
      <c r="C379" s="139"/>
      <c r="D379" s="137"/>
      <c r="E379" s="165"/>
      <c r="F379" s="166"/>
    </row>
    <row r="380" spans="1:6" s="134" customFormat="1">
      <c r="A380" s="137"/>
      <c r="B380" s="139"/>
      <c r="C380" s="139"/>
      <c r="D380" s="137"/>
      <c r="E380" s="165"/>
      <c r="F380" s="166"/>
    </row>
    <row r="381" spans="1:6" s="134" customFormat="1">
      <c r="A381" s="137"/>
      <c r="B381" s="139"/>
      <c r="C381" s="139"/>
      <c r="D381" s="137"/>
      <c r="E381" s="165"/>
      <c r="F381" s="166"/>
    </row>
    <row r="382" spans="1:6" s="134" customFormat="1">
      <c r="A382" s="137"/>
      <c r="B382" s="139"/>
      <c r="C382" s="139"/>
      <c r="D382" s="137"/>
      <c r="E382" s="165"/>
      <c r="F382" s="166"/>
    </row>
    <row r="383" spans="1:6" s="134" customFormat="1">
      <c r="A383" s="137"/>
      <c r="B383" s="139"/>
      <c r="C383" s="139"/>
      <c r="D383" s="137"/>
      <c r="E383" s="165"/>
      <c r="F383" s="166"/>
    </row>
    <row r="384" spans="1:6" s="134" customFormat="1">
      <c r="A384" s="137"/>
      <c r="B384" s="139"/>
      <c r="C384" s="139"/>
      <c r="D384" s="137"/>
      <c r="E384" s="165"/>
      <c r="F384" s="166"/>
    </row>
    <row r="385" spans="1:6" s="134" customFormat="1">
      <c r="A385" s="137"/>
      <c r="B385" s="139"/>
      <c r="C385" s="139"/>
      <c r="D385" s="137"/>
      <c r="E385" s="165"/>
      <c r="F385" s="166"/>
    </row>
    <row r="386" spans="1:6" s="134" customFormat="1">
      <c r="A386" s="137"/>
      <c r="B386" s="139"/>
      <c r="C386" s="139"/>
      <c r="D386" s="137"/>
      <c r="E386" s="165"/>
      <c r="F386" s="166"/>
    </row>
    <row r="387" spans="1:6" s="134" customFormat="1">
      <c r="A387" s="137"/>
      <c r="B387" s="139"/>
      <c r="C387" s="139"/>
      <c r="D387" s="137"/>
      <c r="E387" s="165"/>
      <c r="F387" s="166"/>
    </row>
    <row r="388" spans="1:6" s="134" customFormat="1">
      <c r="A388" s="137"/>
      <c r="B388" s="139"/>
      <c r="C388" s="139"/>
      <c r="D388" s="137"/>
      <c r="E388" s="165"/>
      <c r="F388" s="166"/>
    </row>
    <row r="389" spans="1:6" s="134" customFormat="1">
      <c r="A389" s="137"/>
      <c r="B389" s="139"/>
      <c r="C389" s="139"/>
      <c r="D389" s="137"/>
      <c r="E389" s="165"/>
      <c r="F389" s="166"/>
    </row>
    <row r="390" spans="1:6" s="134" customFormat="1">
      <c r="A390" s="137"/>
      <c r="B390" s="139"/>
      <c r="C390" s="139"/>
      <c r="D390" s="137"/>
      <c r="E390" s="165"/>
      <c r="F390" s="166"/>
    </row>
    <row r="391" spans="1:6" s="134" customFormat="1">
      <c r="A391" s="137"/>
      <c r="B391" s="139"/>
      <c r="C391" s="139"/>
      <c r="D391" s="137"/>
      <c r="E391" s="165"/>
      <c r="F391" s="166"/>
    </row>
    <row r="392" spans="1:6" s="134" customFormat="1">
      <c r="A392" s="137"/>
      <c r="B392" s="139"/>
      <c r="C392" s="139"/>
      <c r="D392" s="137"/>
      <c r="E392" s="165"/>
      <c r="F392" s="166"/>
    </row>
    <row r="393" spans="1:6" s="158" customFormat="1">
      <c r="A393" s="137"/>
      <c r="B393" s="139"/>
      <c r="C393" s="139"/>
      <c r="D393" s="137"/>
      <c r="E393" s="165"/>
      <c r="F393" s="166"/>
    </row>
    <row r="394" spans="1:6" s="158" customFormat="1">
      <c r="A394" s="137"/>
      <c r="B394" s="139"/>
      <c r="C394" s="139"/>
      <c r="D394" s="137"/>
      <c r="E394" s="165"/>
      <c r="F394" s="166"/>
    </row>
    <row r="395" spans="1:6" s="134" customFormat="1">
      <c r="A395" s="137"/>
      <c r="B395" s="139"/>
      <c r="C395" s="139"/>
      <c r="D395" s="137"/>
      <c r="E395" s="165"/>
      <c r="F395" s="166"/>
    </row>
    <row r="396" spans="1:6" s="134" customFormat="1">
      <c r="A396" s="137"/>
      <c r="B396" s="139"/>
      <c r="C396" s="139"/>
      <c r="D396" s="137"/>
      <c r="E396" s="165"/>
      <c r="F396" s="166"/>
    </row>
    <row r="397" spans="1:6" s="134" customFormat="1">
      <c r="A397" s="137"/>
      <c r="B397" s="139"/>
      <c r="C397" s="139"/>
      <c r="D397" s="137"/>
      <c r="E397" s="165"/>
      <c r="F397" s="166"/>
    </row>
    <row r="398" spans="1:6" s="134" customFormat="1">
      <c r="A398" s="137"/>
      <c r="B398" s="139"/>
      <c r="C398" s="139"/>
      <c r="D398" s="137"/>
      <c r="E398" s="165"/>
      <c r="F398" s="166"/>
    </row>
    <row r="399" spans="1:6" s="134" customFormat="1">
      <c r="A399" s="137"/>
      <c r="B399" s="139"/>
      <c r="C399" s="139"/>
      <c r="D399" s="137"/>
      <c r="E399" s="165"/>
      <c r="F399" s="166"/>
    </row>
    <row r="400" spans="1:6" s="134" customFormat="1">
      <c r="A400" s="137"/>
      <c r="B400" s="139"/>
      <c r="C400" s="139"/>
      <c r="D400" s="137"/>
      <c r="E400" s="165"/>
      <c r="F400" s="166"/>
    </row>
    <row r="401" spans="1:6" s="134" customFormat="1">
      <c r="A401" s="137"/>
      <c r="B401" s="139"/>
      <c r="C401" s="139"/>
      <c r="D401" s="137"/>
      <c r="E401" s="165"/>
      <c r="F401" s="166"/>
    </row>
    <row r="402" spans="1:6" s="134" customFormat="1">
      <c r="A402" s="137"/>
      <c r="B402" s="139"/>
      <c r="C402" s="139"/>
      <c r="D402" s="137"/>
      <c r="E402" s="165"/>
      <c r="F402" s="166"/>
    </row>
    <row r="403" spans="1:6" s="134" customFormat="1">
      <c r="A403" s="137"/>
      <c r="B403" s="139"/>
      <c r="C403" s="139"/>
      <c r="D403" s="137"/>
      <c r="E403" s="165"/>
      <c r="F403" s="166"/>
    </row>
    <row r="404" spans="1:6" s="134" customFormat="1">
      <c r="A404" s="137"/>
      <c r="B404" s="139"/>
      <c r="C404" s="139"/>
      <c r="D404" s="137"/>
      <c r="E404" s="165"/>
      <c r="F404" s="166"/>
    </row>
    <row r="405" spans="1:6" s="134" customFormat="1">
      <c r="A405" s="137"/>
      <c r="B405" s="139"/>
      <c r="C405" s="139"/>
      <c r="D405" s="137"/>
      <c r="E405" s="165"/>
      <c r="F405" s="166"/>
    </row>
    <row r="406" spans="1:6" s="134" customFormat="1">
      <c r="A406" s="137"/>
      <c r="B406" s="139"/>
      <c r="C406" s="139"/>
      <c r="D406" s="137"/>
      <c r="E406" s="165"/>
      <c r="F406" s="166"/>
    </row>
    <row r="407" spans="1:6" s="134" customFormat="1">
      <c r="A407" s="137"/>
      <c r="B407" s="139"/>
      <c r="C407" s="139"/>
      <c r="D407" s="137"/>
      <c r="E407" s="165"/>
      <c r="F407" s="166"/>
    </row>
    <row r="408" spans="1:6" s="134" customFormat="1">
      <c r="A408" s="137"/>
      <c r="B408" s="139"/>
      <c r="C408" s="139"/>
      <c r="D408" s="137"/>
      <c r="E408" s="165"/>
      <c r="F408" s="166"/>
    </row>
    <row r="409" spans="1:6" s="134" customFormat="1">
      <c r="A409" s="137"/>
      <c r="B409" s="139"/>
      <c r="C409" s="139"/>
      <c r="D409" s="137"/>
      <c r="E409" s="165"/>
      <c r="F409" s="166"/>
    </row>
    <row r="410" spans="1:6" s="134" customFormat="1">
      <c r="A410" s="137"/>
      <c r="B410" s="139"/>
      <c r="C410" s="139"/>
      <c r="D410" s="137"/>
      <c r="E410" s="165"/>
      <c r="F410" s="166"/>
    </row>
    <row r="411" spans="1:6" s="134" customFormat="1">
      <c r="A411" s="137"/>
      <c r="B411" s="139"/>
      <c r="C411" s="139"/>
      <c r="D411" s="137"/>
      <c r="E411" s="165"/>
      <c r="F411" s="166"/>
    </row>
    <row r="412" spans="1:6" s="134" customFormat="1">
      <c r="A412" s="137"/>
      <c r="B412" s="139"/>
      <c r="C412" s="139"/>
      <c r="D412" s="137"/>
      <c r="E412" s="165"/>
      <c r="F412" s="166"/>
    </row>
    <row r="413" spans="1:6" s="134" customFormat="1">
      <c r="A413" s="137"/>
      <c r="B413" s="139"/>
      <c r="C413" s="139"/>
      <c r="D413" s="137"/>
      <c r="E413" s="165"/>
      <c r="F413" s="166"/>
    </row>
    <row r="414" spans="1:6" s="134" customFormat="1">
      <c r="A414" s="137"/>
      <c r="B414" s="139"/>
      <c r="C414" s="139"/>
      <c r="D414" s="137"/>
      <c r="E414" s="165"/>
      <c r="F414" s="166"/>
    </row>
    <row r="415" spans="1:6" s="134" customFormat="1">
      <c r="A415" s="137"/>
      <c r="B415" s="139"/>
      <c r="C415" s="139"/>
      <c r="D415" s="137"/>
      <c r="E415" s="165"/>
      <c r="F415" s="166"/>
    </row>
    <row r="416" spans="1:6" s="134" customFormat="1">
      <c r="A416" s="137"/>
      <c r="B416" s="139"/>
      <c r="C416" s="139"/>
      <c r="D416" s="137"/>
      <c r="E416" s="165"/>
      <c r="F416" s="166"/>
    </row>
    <row r="417" spans="1:6" s="134" customFormat="1">
      <c r="A417" s="137"/>
      <c r="B417" s="139"/>
      <c r="C417" s="139"/>
      <c r="D417" s="137"/>
      <c r="E417" s="165"/>
      <c r="F417" s="166"/>
    </row>
    <row r="418" spans="1:6" s="134" customFormat="1">
      <c r="A418" s="137"/>
      <c r="B418" s="139"/>
      <c r="C418" s="139"/>
      <c r="D418" s="137"/>
      <c r="E418" s="165"/>
      <c r="F418" s="166"/>
    </row>
    <row r="419" spans="1:6" s="134" customFormat="1">
      <c r="A419" s="137"/>
      <c r="B419" s="139"/>
      <c r="C419" s="139"/>
      <c r="D419" s="137"/>
      <c r="E419" s="165"/>
      <c r="F419" s="166"/>
    </row>
    <row r="420" spans="1:6" s="134" customFormat="1">
      <c r="A420" s="137"/>
      <c r="B420" s="139"/>
      <c r="C420" s="139"/>
      <c r="D420" s="137"/>
      <c r="E420" s="165"/>
      <c r="F420" s="166"/>
    </row>
    <row r="421" spans="1:6" s="134" customFormat="1">
      <c r="A421" s="137"/>
      <c r="B421" s="139"/>
      <c r="C421" s="139"/>
      <c r="D421" s="137"/>
      <c r="E421" s="165"/>
      <c r="F421" s="166"/>
    </row>
    <row r="422" spans="1:6" s="134" customFormat="1">
      <c r="A422" s="137"/>
      <c r="B422" s="139"/>
      <c r="C422" s="139"/>
      <c r="D422" s="137"/>
      <c r="E422" s="165"/>
      <c r="F422" s="166"/>
    </row>
    <row r="423" spans="1:6" s="134" customFormat="1">
      <c r="A423" s="137"/>
      <c r="B423" s="139"/>
      <c r="C423" s="139"/>
      <c r="D423" s="137"/>
      <c r="E423" s="165"/>
      <c r="F423" s="166"/>
    </row>
    <row r="424" spans="1:6" s="134" customFormat="1">
      <c r="A424" s="137"/>
      <c r="B424" s="139"/>
      <c r="C424" s="139"/>
      <c r="D424" s="137"/>
      <c r="E424" s="165"/>
      <c r="F424" s="166"/>
    </row>
    <row r="425" spans="1:6" s="134" customFormat="1">
      <c r="A425" s="137"/>
      <c r="B425" s="139"/>
      <c r="C425" s="139"/>
      <c r="D425" s="137"/>
      <c r="E425" s="165"/>
      <c r="F425" s="166"/>
    </row>
    <row r="426" spans="1:6" s="134" customFormat="1">
      <c r="A426" s="137"/>
      <c r="B426" s="139"/>
      <c r="C426" s="139"/>
      <c r="D426" s="137"/>
      <c r="E426" s="165"/>
      <c r="F426" s="166"/>
    </row>
    <row r="427" spans="1:6" s="134" customFormat="1">
      <c r="A427" s="137"/>
      <c r="B427" s="139"/>
      <c r="C427" s="139"/>
      <c r="D427" s="137"/>
      <c r="E427" s="165"/>
      <c r="F427" s="166"/>
    </row>
    <row r="428" spans="1:6" s="134" customFormat="1">
      <c r="A428" s="137"/>
      <c r="B428" s="139"/>
      <c r="C428" s="139"/>
      <c r="D428" s="137"/>
      <c r="E428" s="165"/>
      <c r="F428" s="166"/>
    </row>
    <row r="429" spans="1:6" s="134" customFormat="1">
      <c r="A429" s="137"/>
      <c r="B429" s="139"/>
      <c r="C429" s="139"/>
      <c r="D429" s="137"/>
      <c r="E429" s="165"/>
      <c r="F429" s="166"/>
    </row>
    <row r="430" spans="1:6" s="134" customFormat="1">
      <c r="A430" s="137"/>
      <c r="B430" s="139"/>
      <c r="C430" s="139"/>
      <c r="D430" s="137"/>
      <c r="E430" s="165"/>
      <c r="F430" s="166"/>
    </row>
    <row r="431" spans="1:6" s="134" customFormat="1">
      <c r="A431" s="137"/>
      <c r="B431" s="139"/>
      <c r="C431" s="139"/>
      <c r="D431" s="137"/>
      <c r="E431" s="165"/>
      <c r="F431" s="166"/>
    </row>
    <row r="432" spans="1:6" s="134" customFormat="1">
      <c r="A432" s="137"/>
      <c r="B432" s="139"/>
      <c r="C432" s="139"/>
      <c r="D432" s="137"/>
      <c r="E432" s="165"/>
      <c r="F432" s="166"/>
    </row>
    <row r="433" spans="1:6" s="134" customFormat="1">
      <c r="A433" s="137"/>
      <c r="B433" s="139"/>
      <c r="C433" s="139"/>
      <c r="D433" s="137"/>
      <c r="E433" s="165"/>
      <c r="F433" s="166"/>
    </row>
    <row r="434" spans="1:6" s="134" customFormat="1">
      <c r="A434" s="137"/>
      <c r="B434" s="139"/>
      <c r="C434" s="139"/>
      <c r="D434" s="137"/>
      <c r="E434" s="165"/>
      <c r="F434" s="166"/>
    </row>
    <row r="435" spans="1:6" s="134" customFormat="1">
      <c r="A435" s="137"/>
      <c r="B435" s="139"/>
      <c r="C435" s="139"/>
      <c r="D435" s="137"/>
      <c r="E435" s="165"/>
      <c r="F435" s="166"/>
    </row>
    <row r="436" spans="1:6" s="134" customFormat="1">
      <c r="A436" s="137"/>
      <c r="B436" s="139"/>
      <c r="C436" s="139"/>
      <c r="D436" s="137"/>
      <c r="E436" s="165"/>
      <c r="F436" s="166"/>
    </row>
    <row r="437" spans="1:6" s="134" customFormat="1">
      <c r="A437" s="137"/>
      <c r="B437" s="139"/>
      <c r="C437" s="139"/>
      <c r="D437" s="137"/>
      <c r="E437" s="165"/>
      <c r="F437" s="166"/>
    </row>
    <row r="438" spans="1:6" s="134" customFormat="1">
      <c r="A438" s="137"/>
      <c r="B438" s="139"/>
      <c r="C438" s="139"/>
      <c r="D438" s="137"/>
      <c r="E438" s="165"/>
      <c r="F438" s="166"/>
    </row>
    <row r="439" spans="1:6" s="134" customFormat="1">
      <c r="A439" s="137"/>
      <c r="B439" s="139"/>
      <c r="C439" s="139"/>
      <c r="D439" s="137"/>
      <c r="E439" s="165"/>
      <c r="F439" s="166"/>
    </row>
    <row r="440" spans="1:6" s="134" customFormat="1">
      <c r="A440" s="137"/>
      <c r="B440" s="139"/>
      <c r="C440" s="139"/>
      <c r="D440" s="137"/>
      <c r="E440" s="165"/>
      <c r="F440" s="166"/>
    </row>
    <row r="441" spans="1:6" s="134" customFormat="1">
      <c r="A441" s="137"/>
      <c r="B441" s="139"/>
      <c r="C441" s="139"/>
      <c r="D441" s="137"/>
      <c r="E441" s="165"/>
      <c r="F441" s="166"/>
    </row>
    <row r="442" spans="1:6" s="134" customFormat="1">
      <c r="A442" s="137"/>
      <c r="B442" s="139"/>
      <c r="C442" s="139"/>
      <c r="D442" s="137"/>
      <c r="E442" s="165"/>
      <c r="F442" s="166"/>
    </row>
    <row r="443" spans="1:6" s="134" customFormat="1">
      <c r="A443" s="137"/>
      <c r="B443" s="139"/>
      <c r="C443" s="139"/>
      <c r="D443" s="137"/>
      <c r="E443" s="165"/>
      <c r="F443" s="166"/>
    </row>
    <row r="444" spans="1:6" s="134" customFormat="1">
      <c r="A444" s="137"/>
      <c r="B444" s="139"/>
      <c r="C444" s="139"/>
      <c r="D444" s="137"/>
      <c r="E444" s="165"/>
      <c r="F444" s="166"/>
    </row>
    <row r="445" spans="1:6" s="134" customFormat="1">
      <c r="A445" s="137"/>
      <c r="B445" s="139"/>
      <c r="C445" s="139"/>
      <c r="D445" s="137"/>
      <c r="E445" s="165"/>
      <c r="F445" s="166"/>
    </row>
    <row r="446" spans="1:6" s="134" customFormat="1">
      <c r="A446" s="137"/>
      <c r="B446" s="139"/>
      <c r="C446" s="139"/>
      <c r="D446" s="137"/>
      <c r="E446" s="165"/>
      <c r="F446" s="166"/>
    </row>
    <row r="447" spans="1:6" s="134" customFormat="1">
      <c r="A447" s="137"/>
      <c r="B447" s="139"/>
      <c r="C447" s="139"/>
      <c r="D447" s="137"/>
      <c r="E447" s="165"/>
      <c r="F447" s="166"/>
    </row>
    <row r="448" spans="1:6" s="134" customFormat="1">
      <c r="A448" s="137"/>
      <c r="B448" s="139"/>
      <c r="C448" s="139"/>
      <c r="D448" s="137"/>
      <c r="E448" s="165"/>
      <c r="F448" s="166"/>
    </row>
    <row r="449" spans="1:6" s="134" customFormat="1">
      <c r="A449" s="137"/>
      <c r="B449" s="139"/>
      <c r="C449" s="139"/>
      <c r="D449" s="137"/>
      <c r="E449" s="165"/>
      <c r="F449" s="166"/>
    </row>
    <row r="450" spans="1:6" s="134" customFormat="1">
      <c r="A450" s="137"/>
      <c r="B450" s="139"/>
      <c r="C450" s="139"/>
      <c r="D450" s="137"/>
      <c r="E450" s="165"/>
      <c r="F450" s="166"/>
    </row>
    <row r="451" spans="1:6" s="134" customFormat="1">
      <c r="A451" s="137"/>
      <c r="B451" s="139"/>
      <c r="C451" s="139"/>
      <c r="D451" s="137"/>
      <c r="E451" s="165"/>
      <c r="F451" s="166"/>
    </row>
    <row r="452" spans="1:6" s="134" customFormat="1">
      <c r="A452" s="137"/>
      <c r="B452" s="139"/>
      <c r="C452" s="139"/>
      <c r="D452" s="137"/>
      <c r="E452" s="165"/>
      <c r="F452" s="166"/>
    </row>
    <row r="453" spans="1:6" s="134" customFormat="1">
      <c r="A453" s="137"/>
      <c r="B453" s="139"/>
      <c r="C453" s="139"/>
      <c r="D453" s="137"/>
      <c r="E453" s="165"/>
      <c r="F453" s="166"/>
    </row>
    <row r="454" spans="1:6" s="134" customFormat="1">
      <c r="A454" s="137"/>
      <c r="B454" s="139"/>
      <c r="C454" s="139"/>
      <c r="D454" s="137"/>
      <c r="E454" s="165"/>
      <c r="F454" s="166"/>
    </row>
    <row r="455" spans="1:6" s="134" customFormat="1">
      <c r="A455" s="137"/>
      <c r="B455" s="139"/>
      <c r="C455" s="139"/>
      <c r="D455" s="137"/>
      <c r="E455" s="165"/>
      <c r="F455" s="166"/>
    </row>
    <row r="456" spans="1:6" s="134" customFormat="1">
      <c r="A456" s="137"/>
      <c r="B456" s="139"/>
      <c r="C456" s="139"/>
      <c r="D456" s="137"/>
      <c r="E456" s="165"/>
      <c r="F456" s="166"/>
    </row>
    <row r="457" spans="1:6" s="134" customFormat="1">
      <c r="A457" s="137"/>
      <c r="B457" s="139"/>
      <c r="C457" s="139"/>
      <c r="D457" s="137"/>
      <c r="E457" s="165"/>
      <c r="F457" s="166"/>
    </row>
    <row r="458" spans="1:6" s="134" customFormat="1">
      <c r="A458" s="137"/>
      <c r="B458" s="139"/>
      <c r="C458" s="139"/>
      <c r="D458" s="137"/>
      <c r="E458" s="165"/>
      <c r="F458" s="166"/>
    </row>
    <row r="459" spans="1:6" s="134" customFormat="1">
      <c r="A459" s="137"/>
      <c r="B459" s="139"/>
      <c r="C459" s="139"/>
      <c r="D459" s="137"/>
      <c r="E459" s="165"/>
      <c r="F459" s="166"/>
    </row>
    <row r="460" spans="1:6" s="134" customFormat="1">
      <c r="A460" s="137"/>
      <c r="B460" s="139"/>
      <c r="C460" s="139"/>
      <c r="D460" s="137"/>
      <c r="E460" s="165"/>
      <c r="F460" s="166"/>
    </row>
    <row r="461" spans="1:6" s="134" customFormat="1">
      <c r="A461" s="137"/>
      <c r="B461" s="139"/>
      <c r="C461" s="139"/>
      <c r="D461" s="137"/>
      <c r="E461" s="165"/>
      <c r="F461" s="166"/>
    </row>
    <row r="462" spans="1:6" s="134" customFormat="1">
      <c r="A462" s="137"/>
      <c r="B462" s="139"/>
      <c r="C462" s="139"/>
      <c r="D462" s="137"/>
      <c r="E462" s="165"/>
      <c r="F462" s="166"/>
    </row>
    <row r="463" spans="1:6" s="134" customFormat="1">
      <c r="A463" s="137"/>
      <c r="B463" s="139"/>
      <c r="C463" s="139"/>
      <c r="D463" s="137"/>
      <c r="E463" s="165"/>
      <c r="F463" s="166"/>
    </row>
    <row r="464" spans="1:6" s="134" customFormat="1">
      <c r="A464" s="137"/>
      <c r="B464" s="139"/>
      <c r="C464" s="139"/>
      <c r="D464" s="137"/>
      <c r="E464" s="165"/>
      <c r="F464" s="166"/>
    </row>
    <row r="465" spans="1:6" s="134" customFormat="1">
      <c r="A465" s="137"/>
      <c r="B465" s="139"/>
      <c r="C465" s="139"/>
      <c r="D465" s="137"/>
      <c r="E465" s="165"/>
      <c r="F465" s="166"/>
    </row>
    <row r="466" spans="1:6" s="134" customFormat="1">
      <c r="A466" s="137"/>
      <c r="B466" s="139"/>
      <c r="C466" s="139"/>
      <c r="D466" s="137"/>
      <c r="E466" s="165"/>
      <c r="F466" s="166"/>
    </row>
    <row r="467" spans="1:6" s="134" customFormat="1">
      <c r="A467" s="137"/>
      <c r="B467" s="139"/>
      <c r="C467" s="139"/>
      <c r="D467" s="137"/>
      <c r="E467" s="165"/>
      <c r="F467" s="166"/>
    </row>
    <row r="468" spans="1:6" s="134" customFormat="1">
      <c r="A468" s="137"/>
      <c r="B468" s="139"/>
      <c r="C468" s="139"/>
      <c r="D468" s="137"/>
      <c r="E468" s="165"/>
      <c r="F468" s="166"/>
    </row>
    <row r="469" spans="1:6" s="134" customFormat="1">
      <c r="A469" s="137"/>
      <c r="B469" s="139"/>
      <c r="C469" s="139"/>
      <c r="D469" s="137"/>
      <c r="E469" s="165"/>
      <c r="F469" s="166"/>
    </row>
    <row r="470" spans="1:6" s="134" customFormat="1">
      <c r="A470" s="137"/>
      <c r="B470" s="139"/>
      <c r="C470" s="139"/>
      <c r="D470" s="137"/>
      <c r="E470" s="165"/>
      <c r="F470" s="166"/>
    </row>
    <row r="471" spans="1:6" s="134" customFormat="1">
      <c r="A471" s="137"/>
      <c r="B471" s="139"/>
      <c r="C471" s="139"/>
      <c r="D471" s="137"/>
      <c r="E471" s="165"/>
      <c r="F471" s="166"/>
    </row>
    <row r="472" spans="1:6" s="134" customFormat="1">
      <c r="A472" s="137"/>
      <c r="B472" s="139"/>
      <c r="C472" s="139"/>
      <c r="D472" s="137"/>
      <c r="E472" s="165"/>
      <c r="F472" s="166"/>
    </row>
    <row r="473" spans="1:6" s="134" customFormat="1">
      <c r="A473" s="137"/>
      <c r="B473" s="139"/>
      <c r="C473" s="139"/>
      <c r="D473" s="137"/>
      <c r="E473" s="165"/>
      <c r="F473" s="166"/>
    </row>
    <row r="474" spans="1:6" s="134" customFormat="1">
      <c r="A474" s="137"/>
      <c r="B474" s="139"/>
      <c r="C474" s="139"/>
      <c r="D474" s="137"/>
      <c r="E474" s="165"/>
      <c r="F474" s="166"/>
    </row>
    <row r="475" spans="1:6" s="134" customFormat="1">
      <c r="A475" s="137"/>
      <c r="B475" s="139"/>
      <c r="C475" s="139"/>
      <c r="D475" s="137"/>
      <c r="E475" s="165"/>
      <c r="F475" s="166"/>
    </row>
    <row r="476" spans="1:6" s="134" customFormat="1">
      <c r="A476" s="137"/>
      <c r="B476" s="139"/>
      <c r="C476" s="139"/>
      <c r="D476" s="137"/>
      <c r="E476" s="165"/>
      <c r="F476" s="166"/>
    </row>
    <row r="477" spans="1:6" s="134" customFormat="1">
      <c r="A477" s="137"/>
      <c r="B477" s="139"/>
      <c r="C477" s="139"/>
      <c r="D477" s="137"/>
      <c r="E477" s="165"/>
      <c r="F477" s="166"/>
    </row>
    <row r="478" spans="1:6" s="134" customFormat="1">
      <c r="A478" s="137"/>
      <c r="B478" s="139"/>
      <c r="C478" s="139"/>
      <c r="D478" s="137"/>
      <c r="E478" s="165"/>
      <c r="F478" s="166"/>
    </row>
    <row r="479" spans="1:6" s="134" customFormat="1">
      <c r="A479" s="137"/>
      <c r="B479" s="139"/>
      <c r="C479" s="139"/>
      <c r="D479" s="137"/>
      <c r="E479" s="165"/>
      <c r="F479" s="166"/>
    </row>
    <row r="480" spans="1:6" s="134" customFormat="1">
      <c r="A480" s="137"/>
      <c r="B480" s="139"/>
      <c r="C480" s="139"/>
      <c r="D480" s="137"/>
      <c r="E480" s="165"/>
      <c r="F480" s="166"/>
    </row>
    <row r="481" spans="1:6" s="134" customFormat="1">
      <c r="A481" s="137"/>
      <c r="B481" s="139"/>
      <c r="C481" s="139"/>
      <c r="D481" s="137"/>
      <c r="E481" s="165"/>
      <c r="F481" s="166"/>
    </row>
    <row r="482" spans="1:6" s="134" customFormat="1">
      <c r="A482" s="137"/>
      <c r="B482" s="139"/>
      <c r="C482" s="139"/>
      <c r="D482" s="137"/>
      <c r="E482" s="165"/>
      <c r="F482" s="166"/>
    </row>
    <row r="483" spans="1:6" s="134" customFormat="1">
      <c r="A483" s="137"/>
      <c r="B483" s="139"/>
      <c r="C483" s="139"/>
      <c r="D483" s="137"/>
      <c r="E483" s="165"/>
      <c r="F483" s="166"/>
    </row>
    <row r="484" spans="1:6" s="134" customFormat="1">
      <c r="A484" s="137"/>
      <c r="B484" s="139"/>
      <c r="C484" s="139"/>
      <c r="D484" s="137"/>
      <c r="E484" s="165"/>
      <c r="F484" s="166"/>
    </row>
    <row r="485" spans="1:6" s="134" customFormat="1">
      <c r="A485" s="137"/>
      <c r="B485" s="139"/>
      <c r="C485" s="139"/>
      <c r="D485" s="137"/>
      <c r="E485" s="165"/>
      <c r="F485" s="166"/>
    </row>
    <row r="486" spans="1:6" s="134" customFormat="1">
      <c r="A486" s="137"/>
      <c r="B486" s="139"/>
      <c r="C486" s="139"/>
      <c r="D486" s="137"/>
      <c r="E486" s="165"/>
      <c r="F486" s="166"/>
    </row>
    <row r="487" spans="1:6" s="134" customFormat="1">
      <c r="A487" s="137"/>
      <c r="B487" s="139"/>
      <c r="C487" s="139"/>
      <c r="D487" s="137"/>
      <c r="E487" s="165"/>
      <c r="F487" s="166"/>
    </row>
    <row r="488" spans="1:6" s="134" customFormat="1">
      <c r="A488" s="137"/>
      <c r="B488" s="139"/>
      <c r="C488" s="139"/>
      <c r="D488" s="137"/>
      <c r="E488" s="165"/>
      <c r="F488" s="166"/>
    </row>
    <row r="489" spans="1:6" s="134" customFormat="1">
      <c r="A489" s="137"/>
      <c r="B489" s="139"/>
      <c r="C489" s="139"/>
      <c r="D489" s="137"/>
      <c r="E489" s="165"/>
      <c r="F489" s="166"/>
    </row>
    <row r="490" spans="1:6" s="134" customFormat="1">
      <c r="A490" s="137"/>
      <c r="B490" s="139"/>
      <c r="C490" s="139"/>
      <c r="D490" s="137"/>
      <c r="E490" s="165"/>
      <c r="F490" s="166"/>
    </row>
    <row r="491" spans="1:6" s="134" customFormat="1">
      <c r="A491" s="137"/>
      <c r="B491" s="139"/>
      <c r="C491" s="139"/>
      <c r="D491" s="137"/>
      <c r="E491" s="165"/>
      <c r="F491" s="166"/>
    </row>
  </sheetData>
  <mergeCells count="1">
    <mergeCell ref="A2:F2"/>
  </mergeCells>
  <printOptions gridLines="1"/>
  <pageMargins left="0.75" right="0.5" top="1" bottom="1" header="0.5" footer="0.5"/>
  <pageSetup paperSize="9" scale="82" orientation="portrait" horizontalDpi="300" verticalDpi="300" r:id="rId1"/>
  <headerFooter alignWithMargins="0">
    <oddFooter>&amp;R&amp;"Comic Sans MS,Bold Italic"Page /&amp;P</oddFooter>
  </headerFooter>
  <rowBreaks count="7" manualBreakCount="7">
    <brk id="28" max="5" man="1"/>
    <brk id="71" max="5" man="1"/>
    <brk id="109" max="5" man="1"/>
    <brk id="159" max="5" man="1"/>
    <brk id="192" max="5" man="1"/>
    <brk id="238" max="5" man="1"/>
    <brk id="290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995"/>
  <sheetViews>
    <sheetView tabSelected="1" zoomScaleNormal="100" workbookViewId="0">
      <selection activeCell="B301" sqref="B301"/>
    </sheetView>
  </sheetViews>
  <sheetFormatPr defaultColWidth="8.7109375" defaultRowHeight="15"/>
  <cols>
    <col min="1" max="1" width="22.140625" bestFit="1" customWidth="1"/>
    <col min="3" max="3" width="9.7109375" bestFit="1" customWidth="1"/>
    <col min="4" max="4" width="11.42578125" bestFit="1" customWidth="1"/>
    <col min="5" max="5" width="9.5703125" customWidth="1"/>
    <col min="6" max="6" width="12" bestFit="1" customWidth="1"/>
    <col min="7" max="7" width="12.28515625" customWidth="1"/>
    <col min="8" max="8" width="10" bestFit="1" customWidth="1"/>
    <col min="9" max="9" width="11.140625" bestFit="1" customWidth="1"/>
    <col min="11" max="11" width="14.140625" bestFit="1" customWidth="1"/>
    <col min="12" max="12" width="9.7109375" bestFit="1" customWidth="1"/>
  </cols>
  <sheetData>
    <row r="1" spans="1:73" ht="28.5">
      <c r="A1" s="1"/>
      <c r="B1" s="1"/>
      <c r="C1" s="1"/>
      <c r="D1" s="207" t="s">
        <v>0</v>
      </c>
      <c r="E1" s="207"/>
      <c r="F1" s="20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73" s="1" customFormat="1" ht="15.75" thickBot="1"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73" s="1" customFormat="1" ht="19.5" thickBot="1">
      <c r="A3" s="203" t="s">
        <v>245</v>
      </c>
      <c r="B3" s="203"/>
      <c r="C3" s="203"/>
      <c r="D3" s="206"/>
      <c r="E3" s="3">
        <f>ROUNDUP(C8+C12,0)</f>
        <v>126</v>
      </c>
      <c r="G3" s="203" t="s">
        <v>250</v>
      </c>
      <c r="H3" s="203"/>
      <c r="I3" s="203"/>
      <c r="J3" s="206"/>
      <c r="K3" s="3">
        <f>ROUNDUP(I8+I12+I16,0)</f>
        <v>250</v>
      </c>
      <c r="M3" s="203" t="s">
        <v>247</v>
      </c>
      <c r="N3" s="203"/>
      <c r="O3" s="203"/>
      <c r="P3" s="206"/>
      <c r="Q3" s="3">
        <f>ROUNDUP(O8+O12+O16,0)</f>
        <v>933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</row>
    <row r="4" spans="1:73" s="1" customFormat="1"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</row>
    <row r="5" spans="1:73" s="1" customFormat="1">
      <c r="B5" s="1" t="s">
        <v>49</v>
      </c>
      <c r="C5" s="1">
        <v>116</v>
      </c>
      <c r="G5" s="1" t="s">
        <v>246</v>
      </c>
      <c r="H5" s="1" t="s">
        <v>49</v>
      </c>
      <c r="I5" s="1">
        <f>C5</f>
        <v>116</v>
      </c>
      <c r="M5" s="1" t="s">
        <v>246</v>
      </c>
      <c r="N5" s="1" t="s">
        <v>49</v>
      </c>
      <c r="O5" s="1">
        <f>I5</f>
        <v>116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</row>
    <row r="6" spans="1:73" s="1" customFormat="1">
      <c r="B6" s="1" t="s">
        <v>50</v>
      </c>
      <c r="C6" s="1">
        <v>2.4</v>
      </c>
      <c r="H6" s="1" t="s">
        <v>50</v>
      </c>
      <c r="I6" s="1">
        <v>2.2000000000000002</v>
      </c>
      <c r="N6" s="1" t="s">
        <v>50</v>
      </c>
      <c r="O6" s="1">
        <v>2.2000000000000002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73" s="1" customFormat="1">
      <c r="B7" s="1" t="s">
        <v>51</v>
      </c>
      <c r="C7" s="1">
        <v>0.4</v>
      </c>
      <c r="H7" s="1" t="s">
        <v>51</v>
      </c>
      <c r="I7" s="1">
        <v>0.4</v>
      </c>
      <c r="N7" s="1" t="s">
        <v>51</v>
      </c>
      <c r="O7" s="1">
        <v>0.4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</row>
    <row r="8" spans="1:73" s="1" customFormat="1">
      <c r="C8" s="5">
        <f>C7*C6*C5</f>
        <v>111.36</v>
      </c>
      <c r="I8" s="5">
        <f>I7*I6*I5</f>
        <v>102.08000000000001</v>
      </c>
      <c r="O8" s="5">
        <f>(O5*O7*2)+(O7*O6*2)</f>
        <v>94.560000000000016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</row>
    <row r="9" spans="1:73" s="1" customFormat="1">
      <c r="A9" s="1" t="s">
        <v>184</v>
      </c>
      <c r="B9" s="1" t="s">
        <v>49</v>
      </c>
      <c r="C9" s="1">
        <f>C5</f>
        <v>116</v>
      </c>
      <c r="G9" s="1" t="s">
        <v>184</v>
      </c>
      <c r="H9" s="1" t="s">
        <v>49</v>
      </c>
      <c r="I9" s="1">
        <f>I5</f>
        <v>116</v>
      </c>
      <c r="M9" s="1" t="s">
        <v>184</v>
      </c>
      <c r="N9" s="1" t="s">
        <v>49</v>
      </c>
      <c r="O9" s="1">
        <f>O5</f>
        <v>116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73" s="1" customFormat="1">
      <c r="B10" s="1" t="s">
        <v>50</v>
      </c>
      <c r="C10" s="1">
        <v>0.4</v>
      </c>
      <c r="H10" s="1" t="s">
        <v>50</v>
      </c>
      <c r="I10" s="1">
        <v>0.4</v>
      </c>
      <c r="N10" s="1" t="s">
        <v>50</v>
      </c>
      <c r="O10" s="1">
        <v>0.4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</row>
    <row r="11" spans="1:73" s="1" customFormat="1">
      <c r="B11" s="1" t="s">
        <v>51</v>
      </c>
      <c r="C11" s="1">
        <v>0.3</v>
      </c>
      <c r="H11" s="1" t="s">
        <v>51</v>
      </c>
      <c r="I11" s="1">
        <v>0.3</v>
      </c>
      <c r="N11" s="1" t="s">
        <v>51</v>
      </c>
      <c r="O11" s="1">
        <v>0.3</v>
      </c>
      <c r="P11" s="1">
        <f>O10*O9</f>
        <v>46.400000000000006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</row>
    <row r="12" spans="1:73" s="1" customFormat="1">
      <c r="C12" s="5">
        <f>C11*C10*C9</f>
        <v>13.92</v>
      </c>
      <c r="I12" s="5">
        <f>I11*I10*I9</f>
        <v>13.92</v>
      </c>
      <c r="O12" s="5">
        <f>(O9*O11*2)+(O11*O10*2)</f>
        <v>69.839999999999989</v>
      </c>
      <c r="P12" s="1">
        <f>O11*O9</f>
        <v>34.799999999999997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</row>
    <row r="13" spans="1:73" s="1" customFormat="1">
      <c r="G13" s="1" t="s">
        <v>233</v>
      </c>
      <c r="H13" s="1" t="s">
        <v>49</v>
      </c>
      <c r="I13" s="1">
        <f>I9</f>
        <v>116</v>
      </c>
      <c r="M13" s="1" t="s">
        <v>233</v>
      </c>
      <c r="N13" s="1" t="s">
        <v>49</v>
      </c>
      <c r="O13" s="1">
        <f>O9</f>
        <v>116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</row>
    <row r="14" spans="1:73" s="1" customFormat="1">
      <c r="H14" s="1" t="s">
        <v>50</v>
      </c>
      <c r="I14" s="1">
        <v>0.35</v>
      </c>
      <c r="N14" s="1" t="s">
        <v>50</v>
      </c>
      <c r="O14" s="1">
        <v>0.35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</row>
    <row r="15" spans="1:73" s="1" customFormat="1">
      <c r="H15" s="1" t="s">
        <v>51</v>
      </c>
      <c r="I15" s="1">
        <v>3.3</v>
      </c>
      <c r="N15" s="1" t="s">
        <v>51</v>
      </c>
      <c r="O15" s="1">
        <v>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</row>
    <row r="16" spans="1:73" s="1" customFormat="1">
      <c r="I16" s="5">
        <f>I15*I14*I13</f>
        <v>133.97999999999999</v>
      </c>
      <c r="O16" s="5">
        <f>(O13*O15*2)+(O15*O14*2)</f>
        <v>767.90999999999985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</row>
    <row r="17" spans="1:73" s="1" customFormat="1"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</row>
    <row r="18" spans="1:73" s="1" customFormat="1" ht="18.75">
      <c r="A18" s="1" t="s">
        <v>248</v>
      </c>
      <c r="B18" s="1" t="s">
        <v>49</v>
      </c>
      <c r="C18" s="1">
        <f>C5</f>
        <v>116</v>
      </c>
      <c r="D18" s="1">
        <f>C18</f>
        <v>116</v>
      </c>
      <c r="F18" s="203" t="s">
        <v>249</v>
      </c>
      <c r="G18" s="203"/>
      <c r="H18" s="203"/>
      <c r="I18" s="203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</row>
    <row r="19" spans="1:73" s="1" customFormat="1">
      <c r="B19" s="1" t="s">
        <v>50</v>
      </c>
      <c r="C19" s="1">
        <v>2.4</v>
      </c>
      <c r="D19" s="1">
        <v>1.2</v>
      </c>
      <c r="H19" s="1" t="s">
        <v>71</v>
      </c>
      <c r="K19" s="1" t="s">
        <v>68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</row>
    <row r="20" spans="1:73" s="1" customFormat="1">
      <c r="C20" s="5">
        <f>C19*C18</f>
        <v>278.39999999999998</v>
      </c>
      <c r="D20" s="5">
        <f>D19*D18</f>
        <v>139.19999999999999</v>
      </c>
      <c r="H20" s="1">
        <f>2.8*663*2</f>
        <v>3712.7999999999997</v>
      </c>
      <c r="I20" s="1">
        <f>H20*1.579</f>
        <v>5862.511199999999</v>
      </c>
      <c r="K20" s="1">
        <f>116*2*14</f>
        <v>3248</v>
      </c>
      <c r="L20" s="1">
        <f>K20*0.888</f>
        <v>2884.2240000000002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</row>
    <row r="21" spans="1:73" s="1" customFormat="1">
      <c r="H21" s="1">
        <f>8.3*773</f>
        <v>6415.9000000000005</v>
      </c>
      <c r="I21" s="1">
        <f>H21*1.579</f>
        <v>10130.706100000001</v>
      </c>
      <c r="K21" s="1">
        <f>116*2*22</f>
        <v>5104</v>
      </c>
      <c r="L21" s="1">
        <f>K21*0.888</f>
        <v>4532.3519999999999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</row>
    <row r="22" spans="1:73" s="1" customFormat="1">
      <c r="H22" s="5">
        <f>SUM(H20:H21)</f>
        <v>10128.700000000001</v>
      </c>
      <c r="K22" s="5">
        <f>SUM(K20:K21)</f>
        <v>8352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</row>
    <row r="23" spans="1:73" s="1" customFormat="1" ht="15.75" thickBot="1">
      <c r="H23" s="5"/>
      <c r="K23" s="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</row>
    <row r="24" spans="1:73" s="1" customFormat="1" ht="19.5" thickBot="1">
      <c r="A24" s="203" t="s">
        <v>263</v>
      </c>
      <c r="B24" s="203"/>
      <c r="C24" s="206"/>
      <c r="D24" s="3">
        <f>ROUNDUP(SUM(B31:L31),0)</f>
        <v>31</v>
      </c>
      <c r="F24" s="203" t="s">
        <v>264</v>
      </c>
      <c r="G24" s="203"/>
      <c r="H24" s="206"/>
      <c r="I24" s="3">
        <f>ROUNDUP(SUM(B32:L32),0)</f>
        <v>40</v>
      </c>
      <c r="K24" s="203" t="s">
        <v>265</v>
      </c>
      <c r="L24" s="203"/>
      <c r="M24" s="206"/>
      <c r="N24" s="21">
        <v>1491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</row>
    <row r="25" spans="1:73" s="1" customFormat="1">
      <c r="B25" s="1" t="s">
        <v>43</v>
      </c>
      <c r="D25" s="1" t="s">
        <v>44</v>
      </c>
      <c r="F25" s="1" t="s">
        <v>45</v>
      </c>
      <c r="H25" s="1" t="s">
        <v>46</v>
      </c>
      <c r="J25" s="1" t="s">
        <v>47</v>
      </c>
      <c r="L25" s="1" t="s">
        <v>48</v>
      </c>
      <c r="N25" s="34"/>
      <c r="O25" s="34"/>
      <c r="P25" s="34"/>
      <c r="Q25" s="34"/>
      <c r="R25" s="3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</row>
    <row r="26" spans="1:73">
      <c r="N26" s="97"/>
      <c r="O26" s="97"/>
      <c r="P26" s="97"/>
      <c r="Q26" s="97"/>
      <c r="R26" s="97"/>
    </row>
    <row r="27" spans="1:73" s="4" customFormat="1" ht="12.75">
      <c r="A27" s="4" t="s">
        <v>49</v>
      </c>
      <c r="B27" s="4">
        <v>2.2999999999999998</v>
      </c>
      <c r="D27" s="4">
        <v>3.6</v>
      </c>
      <c r="F27" s="4">
        <v>3.5</v>
      </c>
      <c r="H27" s="4">
        <v>2.2000000000000002</v>
      </c>
      <c r="J27" s="4">
        <v>3</v>
      </c>
      <c r="L27" s="4">
        <v>3.2</v>
      </c>
      <c r="N27" s="36"/>
      <c r="O27" s="36"/>
      <c r="P27" s="36"/>
      <c r="Q27" s="36"/>
      <c r="R27" s="36"/>
    </row>
    <row r="28" spans="1:73" s="4" customFormat="1" ht="12.75">
      <c r="A28" s="4" t="s">
        <v>50</v>
      </c>
      <c r="B28" s="4">
        <v>2.2999999999999998</v>
      </c>
      <c r="D28" s="4">
        <v>3.6</v>
      </c>
      <c r="F28" s="4">
        <f>F27</f>
        <v>3.5</v>
      </c>
      <c r="H28" s="4">
        <v>2.2000000000000002</v>
      </c>
      <c r="J28" s="4">
        <v>3</v>
      </c>
      <c r="L28" s="4">
        <f>L27</f>
        <v>3.2</v>
      </c>
      <c r="N28" s="36"/>
      <c r="O28" s="36"/>
      <c r="P28" s="36"/>
      <c r="Q28" s="36"/>
      <c r="R28" s="36"/>
    </row>
    <row r="29" spans="1:73" s="1" customFormat="1">
      <c r="A29" s="1" t="s">
        <v>51</v>
      </c>
      <c r="B29" s="4">
        <v>0.4</v>
      </c>
      <c r="D29" s="4">
        <v>0.6</v>
      </c>
      <c r="F29" s="4">
        <v>0.6</v>
      </c>
      <c r="H29" s="4">
        <v>0.4</v>
      </c>
      <c r="J29" s="4">
        <v>0.6</v>
      </c>
      <c r="L29" s="4">
        <v>0.6</v>
      </c>
      <c r="N29" s="36"/>
      <c r="O29" s="34"/>
      <c r="P29" s="36"/>
      <c r="Q29" s="34"/>
      <c r="R29" s="36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  <row r="30" spans="1:73" s="1" customFormat="1">
      <c r="A30" s="1" t="s">
        <v>52</v>
      </c>
      <c r="B30" s="1">
        <v>1</v>
      </c>
      <c r="D30" s="1">
        <v>1</v>
      </c>
      <c r="F30" s="1">
        <v>1</v>
      </c>
      <c r="H30" s="1">
        <v>1</v>
      </c>
      <c r="J30" s="1">
        <v>1</v>
      </c>
      <c r="L30" s="1">
        <v>1</v>
      </c>
      <c r="N30" s="34"/>
      <c r="O30" s="34"/>
      <c r="P30" s="34"/>
      <c r="Q30" s="34"/>
      <c r="R30" s="34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</row>
    <row r="31" spans="1:73" s="5" customFormat="1" ht="12.75">
      <c r="B31" s="6">
        <f>B27*B28*B29*B30</f>
        <v>2.1159999999999997</v>
      </c>
      <c r="D31" s="6">
        <f>D27*D28*D29*D30</f>
        <v>7.7759999999999998</v>
      </c>
      <c r="F31" s="6">
        <f>F27*F28*F29*F30</f>
        <v>7.35</v>
      </c>
      <c r="H31" s="6">
        <f>H27*H28*H29*H30</f>
        <v>1.9360000000000004</v>
      </c>
      <c r="J31" s="6">
        <f>J27*J28*J29*J30</f>
        <v>5.3999999999999995</v>
      </c>
      <c r="L31" s="6">
        <f>L27*L28*L29*L30</f>
        <v>6.144000000000001</v>
      </c>
      <c r="N31" s="7"/>
      <c r="O31" s="7"/>
      <c r="P31" s="7"/>
      <c r="Q31" s="7"/>
      <c r="R31" s="7"/>
    </row>
    <row r="32" spans="1:73" s="1" customFormat="1">
      <c r="B32" s="6">
        <f>((B27*B29*2)+(B28*B29*2))*B30</f>
        <v>3.6799999999999997</v>
      </c>
      <c r="D32" s="6">
        <f>((D27*D29*2)+(D28*D29*2))*D30</f>
        <v>8.64</v>
      </c>
      <c r="F32" s="6">
        <f>((F27*F29*2)+(F28*F29*2))*F30</f>
        <v>8.4</v>
      </c>
      <c r="H32" s="6">
        <f>((H27*H29*2)+(H28*H29*2))*H30</f>
        <v>3.5200000000000005</v>
      </c>
      <c r="J32" s="6">
        <f>((J27*J29*2)+(J28*J29*2))*J30</f>
        <v>7.1999999999999993</v>
      </c>
      <c r="K32" s="5"/>
      <c r="L32" s="6">
        <f>((L27*L29*2)+(L28*L29*2))*L30</f>
        <v>7.68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</row>
    <row r="33" spans="1:73" s="1" customFormat="1" ht="15.75" thickBot="1">
      <c r="B33" s="7">
        <f>B27*B28</f>
        <v>5.2899999999999991</v>
      </c>
      <c r="C33" s="7">
        <f t="shared" ref="C33:L33" si="0">C27*C28</f>
        <v>0</v>
      </c>
      <c r="D33" s="7">
        <f t="shared" si="0"/>
        <v>12.96</v>
      </c>
      <c r="E33" s="7">
        <f t="shared" si="0"/>
        <v>0</v>
      </c>
      <c r="F33" s="7">
        <f t="shared" si="0"/>
        <v>12.25</v>
      </c>
      <c r="G33" s="7">
        <f t="shared" si="0"/>
        <v>0</v>
      </c>
      <c r="H33" s="7">
        <f t="shared" si="0"/>
        <v>4.8400000000000007</v>
      </c>
      <c r="I33" s="7">
        <f t="shared" si="0"/>
        <v>0</v>
      </c>
      <c r="J33" s="7">
        <f t="shared" si="0"/>
        <v>9</v>
      </c>
      <c r="K33" s="7">
        <f t="shared" si="0"/>
        <v>0</v>
      </c>
      <c r="L33" s="7">
        <f t="shared" si="0"/>
        <v>10.240000000000002</v>
      </c>
      <c r="M33" s="1">
        <f>SUM(B33:L33)</f>
        <v>54.580000000000005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</row>
    <row r="34" spans="1:73" s="1" customFormat="1" ht="19.5" thickBot="1">
      <c r="A34" s="203" t="s">
        <v>266</v>
      </c>
      <c r="B34" s="203"/>
      <c r="C34" s="206"/>
      <c r="D34" s="3">
        <f>ROUNDUP(B38,0)</f>
        <v>5</v>
      </c>
      <c r="F34" s="203" t="s">
        <v>267</v>
      </c>
      <c r="G34" s="203"/>
      <c r="H34" s="206"/>
      <c r="I34" s="3">
        <f>ROUNDDOWN(G38,0)</f>
        <v>42</v>
      </c>
      <c r="J34" s="7"/>
      <c r="K34" s="3" t="s">
        <v>71</v>
      </c>
      <c r="L34" s="99">
        <f>ROUNDUP(50*4*1.579,0)</f>
        <v>316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</row>
    <row r="35" spans="1:73" s="1" customFormat="1" ht="15.75" thickBot="1">
      <c r="A35" s="98" t="s">
        <v>49</v>
      </c>
      <c r="B35" s="34">
        <v>46.7</v>
      </c>
      <c r="D35" s="7"/>
      <c r="F35" s="98" t="s">
        <v>49</v>
      </c>
      <c r="G35" s="34">
        <v>46.7</v>
      </c>
      <c r="H35" s="7"/>
      <c r="J35" s="7"/>
      <c r="K35" s="5"/>
      <c r="L35" s="7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</row>
    <row r="36" spans="1:73" s="1" customFormat="1" ht="19.5" thickBot="1">
      <c r="A36" s="98" t="s">
        <v>50</v>
      </c>
      <c r="B36" s="34">
        <v>0.23</v>
      </c>
      <c r="D36" s="7"/>
      <c r="F36" s="98" t="s">
        <v>50</v>
      </c>
      <c r="G36" s="34">
        <v>0.23</v>
      </c>
      <c r="H36" s="7"/>
      <c r="J36" s="7"/>
      <c r="K36" s="3" t="s">
        <v>108</v>
      </c>
      <c r="L36" s="99">
        <f>ROUNDUP(1.32*234*0.617,0)</f>
        <v>191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</row>
    <row r="37" spans="1:73" s="1" customFormat="1">
      <c r="A37" s="10" t="s">
        <v>51</v>
      </c>
      <c r="B37" s="34">
        <v>0.45</v>
      </c>
      <c r="D37" s="7"/>
      <c r="F37" s="10" t="s">
        <v>51</v>
      </c>
      <c r="G37" s="34">
        <v>0.45</v>
      </c>
      <c r="H37" s="7"/>
      <c r="J37" s="7"/>
      <c r="K37" s="5"/>
      <c r="L37" s="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</row>
    <row r="38" spans="1:73" s="1" customFormat="1">
      <c r="B38" s="7">
        <f>B37*B36*B35</f>
        <v>4.8334500000000009</v>
      </c>
      <c r="D38" s="7"/>
      <c r="F38" s="7"/>
      <c r="G38" s="5">
        <f>(G35*G37*2)</f>
        <v>42.03</v>
      </c>
      <c r="H38" s="7"/>
      <c r="J38" s="7"/>
      <c r="K38" s="5"/>
      <c r="L38" s="7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s="1" customFormat="1" ht="15.75" thickBot="1">
      <c r="B39" s="7"/>
      <c r="D39" s="7"/>
      <c r="F39" s="7"/>
      <c r="H39" s="7"/>
      <c r="J39" s="7"/>
      <c r="K39" s="5"/>
      <c r="L39" s="7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s="1" customFormat="1" ht="19.5" thickBot="1">
      <c r="A40" s="203" t="s">
        <v>271</v>
      </c>
      <c r="B40" s="203"/>
      <c r="C40" s="206"/>
      <c r="D40" s="3">
        <f>ROUNDUP(B44,0)</f>
        <v>3</v>
      </c>
      <c r="F40" s="203" t="s">
        <v>272</v>
      </c>
      <c r="G40" s="203"/>
      <c r="H40" s="206"/>
      <c r="I40" s="3">
        <f>ROUNDDOWN(G44,0)</f>
        <v>3</v>
      </c>
      <c r="J40" s="7"/>
      <c r="K40" s="3" t="s">
        <v>68</v>
      </c>
      <c r="L40" s="99">
        <f>ROUNDUP(2.85*4*38*0.888,0)</f>
        <v>385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s="1" customFormat="1" ht="15.75" thickBot="1">
      <c r="A41" s="98" t="s">
        <v>49</v>
      </c>
      <c r="B41" s="34">
        <v>2.7</v>
      </c>
      <c r="D41" s="7"/>
      <c r="F41" s="98" t="s">
        <v>49</v>
      </c>
      <c r="G41" s="34">
        <v>2.7</v>
      </c>
      <c r="H41" s="7"/>
      <c r="J41" s="7"/>
      <c r="K41" s="5"/>
      <c r="L41" s="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s="1" customFormat="1" ht="19.5" thickBot="1">
      <c r="A42" s="98" t="s">
        <v>50</v>
      </c>
      <c r="B42" s="34">
        <v>2.7</v>
      </c>
      <c r="D42" s="7"/>
      <c r="F42" s="98" t="s">
        <v>50</v>
      </c>
      <c r="G42" s="34">
        <v>2.7</v>
      </c>
      <c r="H42" s="7"/>
      <c r="J42" s="7"/>
      <c r="K42" s="3" t="s">
        <v>108</v>
      </c>
      <c r="L42" s="9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s="1" customFormat="1">
      <c r="A43" s="10" t="s">
        <v>51</v>
      </c>
      <c r="B43" s="34">
        <v>0.3</v>
      </c>
      <c r="D43" s="7"/>
      <c r="F43" s="10" t="s">
        <v>51</v>
      </c>
      <c r="G43" s="34">
        <v>0.3</v>
      </c>
      <c r="H43" s="7"/>
      <c r="J43" s="7"/>
      <c r="K43" s="5"/>
      <c r="L43" s="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s="1" customFormat="1" ht="15.75" thickBot="1">
      <c r="B44" s="7">
        <f>B43*B42*B41</f>
        <v>2.1870000000000003</v>
      </c>
      <c r="D44" s="7"/>
      <c r="F44" s="7"/>
      <c r="G44" s="5">
        <f>(G41*G43*2)+(G42*G43*2)</f>
        <v>3.24</v>
      </c>
      <c r="H44" s="7"/>
      <c r="J44" s="7"/>
      <c r="K44" s="5"/>
      <c r="L44" s="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s="1" customFormat="1" ht="19.5" thickBot="1">
      <c r="A45" s="203" t="s">
        <v>273</v>
      </c>
      <c r="B45" s="203"/>
      <c r="C45" s="206"/>
      <c r="D45" s="3">
        <f>ROUNDUP(B49+C49+D49,0)</f>
        <v>54</v>
      </c>
      <c r="F45" s="203" t="s">
        <v>274</v>
      </c>
      <c r="G45" s="203"/>
      <c r="H45" s="206"/>
      <c r="I45" s="3">
        <f>ROUNDUP(G49+H49+I49,0)</f>
        <v>473</v>
      </c>
      <c r="J45" s="7"/>
      <c r="K45" s="3" t="s">
        <v>68</v>
      </c>
      <c r="L45" s="99">
        <f>(((3.91*28)+(5.4*28)+(1.73*214*3)+(0.6*7*8)+(3.91*28*3)+(28*3)+(3.17*28))*3+((1.84*36)+(0.61*36)+(3.06*28)+(104*1.84)+(3.06*8)+(0.93*66)+(3.95*12*5)+(0.6*44*3)+(0.42*4*5)+(3.57*6)))*0.888</f>
        <v>5785.7995200000005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s="1" customFormat="1" ht="15.75" thickBot="1">
      <c r="A46" s="98" t="s">
        <v>49</v>
      </c>
      <c r="B46" s="34">
        <v>23.9</v>
      </c>
      <c r="C46" s="34">
        <v>23.9</v>
      </c>
      <c r="D46" s="34">
        <v>23.9</v>
      </c>
      <c r="F46" s="98" t="s">
        <v>49</v>
      </c>
      <c r="G46" s="34">
        <f t="shared" ref="G46:I48" si="1">B46</f>
        <v>23.9</v>
      </c>
      <c r="H46" s="34">
        <f t="shared" si="1"/>
        <v>23.9</v>
      </c>
      <c r="I46" s="34">
        <f t="shared" si="1"/>
        <v>23.9</v>
      </c>
      <c r="J46" s="7"/>
      <c r="K46" s="5"/>
      <c r="L46" s="7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s="1" customFormat="1" ht="19.5" thickBot="1">
      <c r="A47" s="98" t="s">
        <v>50</v>
      </c>
      <c r="B47" s="34">
        <v>2.13</v>
      </c>
      <c r="C47" s="34">
        <v>2.63</v>
      </c>
      <c r="D47" s="34">
        <v>2.63</v>
      </c>
      <c r="F47" s="98" t="s">
        <v>50</v>
      </c>
      <c r="G47" s="34">
        <f t="shared" si="1"/>
        <v>2.13</v>
      </c>
      <c r="H47" s="34">
        <f t="shared" si="1"/>
        <v>2.63</v>
      </c>
      <c r="I47" s="34">
        <f t="shared" si="1"/>
        <v>2.63</v>
      </c>
      <c r="J47" s="7"/>
      <c r="K47" s="3" t="s">
        <v>108</v>
      </c>
      <c r="L47" s="9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</row>
    <row r="48" spans="1:73" s="1" customFormat="1">
      <c r="A48" s="10" t="s">
        <v>51</v>
      </c>
      <c r="B48" s="34">
        <v>0.25</v>
      </c>
      <c r="C48" s="34">
        <v>0.25</v>
      </c>
      <c r="D48" s="34">
        <v>0.25</v>
      </c>
      <c r="F48" s="10" t="s">
        <v>51</v>
      </c>
      <c r="G48" s="34">
        <f t="shared" si="1"/>
        <v>0.25</v>
      </c>
      <c r="H48" s="34">
        <f t="shared" si="1"/>
        <v>0.25</v>
      </c>
      <c r="I48" s="34">
        <f t="shared" si="1"/>
        <v>0.25</v>
      </c>
      <c r="J48" s="7"/>
      <c r="K48" s="5"/>
      <c r="L48" s="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</row>
    <row r="49" spans="1:73" s="1" customFormat="1">
      <c r="B49" s="7">
        <f>B48*B47*B46*2</f>
        <v>25.453499999999998</v>
      </c>
      <c r="C49" s="7">
        <f>C48*C47*C46</f>
        <v>15.714249999999998</v>
      </c>
      <c r="D49" s="7">
        <f>(D48*D47*D46)-(2.3*0.25*1.34*5)</f>
        <v>11.861749999999997</v>
      </c>
      <c r="F49" s="7"/>
      <c r="G49" s="5">
        <f>((G46*G47*2)+(G46*G48*2))*2</f>
        <v>227.52799999999999</v>
      </c>
      <c r="H49" s="5">
        <f>(H46*H47*2)+(H46*H48*2)</f>
        <v>137.66399999999999</v>
      </c>
      <c r="I49" s="5">
        <f>((I46*I47*2)+(I46*I48*2))-(2.3*1.34*5*2)</f>
        <v>106.84399999999999</v>
      </c>
      <c r="J49" s="7"/>
      <c r="K49" s="5"/>
      <c r="L49" s="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s="1" customFormat="1">
      <c r="B50" s="7"/>
      <c r="D50" s="7"/>
      <c r="F50" s="7"/>
      <c r="H50" s="7"/>
      <c r="J50" s="7"/>
      <c r="K50" s="5"/>
      <c r="L50" s="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s="1" customFormat="1" ht="15.75" thickBot="1">
      <c r="B51" s="7"/>
      <c r="D51" s="7"/>
      <c r="F51" s="7"/>
      <c r="H51" s="7"/>
      <c r="J51" s="7"/>
      <c r="K51" s="5"/>
      <c r="L51" s="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s="1" customFormat="1" ht="19.5" thickBot="1">
      <c r="A52" s="203" t="s">
        <v>268</v>
      </c>
      <c r="B52" s="203"/>
      <c r="C52" s="206"/>
      <c r="D52" s="3">
        <f>ROUNDUP(B55,0)</f>
        <v>267</v>
      </c>
      <c r="F52" s="203" t="s">
        <v>269</v>
      </c>
      <c r="G52" s="203"/>
      <c r="H52" s="206"/>
      <c r="I52" s="3"/>
      <c r="K52" s="203" t="s">
        <v>270</v>
      </c>
      <c r="L52" s="203"/>
      <c r="M52" s="206"/>
      <c r="N52" s="3">
        <f>M55</f>
        <v>46207.995480000005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s="1" customFormat="1" ht="19.5" thickBot="1">
      <c r="A53" s="10" t="s">
        <v>177</v>
      </c>
      <c r="B53" s="1">
        <v>762.1</v>
      </c>
      <c r="F53" s="10" t="s">
        <v>179</v>
      </c>
      <c r="G53" s="3">
        <f>ROUNDUP(B53,0)</f>
        <v>763</v>
      </c>
      <c r="L53" s="1" t="s">
        <v>68</v>
      </c>
      <c r="M53" s="1">
        <f>(79*2*20.2)+(79*2*20)+(79*2*27.48)+(235*2*17.1)</f>
        <v>18730.440000000002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</row>
    <row r="54" spans="1:73" s="1" customFormat="1">
      <c r="A54" s="10" t="s">
        <v>51</v>
      </c>
      <c r="B54" s="1">
        <v>0.35</v>
      </c>
      <c r="F54" s="10" t="s">
        <v>187</v>
      </c>
      <c r="G54" s="1">
        <v>130</v>
      </c>
      <c r="M54" s="1">
        <v>2.4670000000000001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</row>
    <row r="55" spans="1:73" s="1" customFormat="1">
      <c r="B55" s="5">
        <f>B54*B53</f>
        <v>266.73500000000001</v>
      </c>
      <c r="G55" s="1">
        <f>G54*B54</f>
        <v>45.5</v>
      </c>
      <c r="M55" s="1">
        <f>M54*M53</f>
        <v>46207.995480000005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</row>
    <row r="56" spans="1:73" s="1" customFormat="1">
      <c r="H56" s="5"/>
      <c r="K56" s="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</row>
    <row r="57" spans="1:73" s="1" customFormat="1" ht="15.75" thickBot="1">
      <c r="H57" s="5"/>
      <c r="K57" s="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</row>
    <row r="58" spans="1:73" s="1" customFormat="1" ht="19.5" thickBot="1">
      <c r="A58" s="203" t="s">
        <v>254</v>
      </c>
      <c r="B58" s="203"/>
      <c r="C58" s="206"/>
      <c r="D58" s="3">
        <f>ROUNDUP(B61,0)</f>
        <v>128</v>
      </c>
      <c r="F58" s="203" t="s">
        <v>255</v>
      </c>
      <c r="G58" s="203"/>
      <c r="H58" s="206"/>
      <c r="I58" s="3"/>
      <c r="K58" s="203" t="s">
        <v>256</v>
      </c>
      <c r="L58" s="203"/>
      <c r="M58" s="206"/>
      <c r="N58" s="3">
        <f>M61</f>
        <v>6418.2864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</row>
    <row r="59" spans="1:73" s="1" customFormat="1" ht="19.5" thickBot="1">
      <c r="A59" s="10" t="s">
        <v>177</v>
      </c>
      <c r="B59" s="1">
        <v>727.46</v>
      </c>
      <c r="F59" s="10" t="s">
        <v>179</v>
      </c>
      <c r="G59" s="3">
        <f>ROUNDUP(B59,0)</f>
        <v>728</v>
      </c>
      <c r="L59" s="1" t="s">
        <v>68</v>
      </c>
      <c r="M59" s="1">
        <v>7227.8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</row>
    <row r="60" spans="1:73" s="1" customFormat="1">
      <c r="A60" s="10" t="s">
        <v>51</v>
      </c>
      <c r="B60" s="1">
        <v>0.17499999999999999</v>
      </c>
      <c r="F60" s="10" t="s">
        <v>187</v>
      </c>
      <c r="G60" s="1">
        <f>129.8+15.79+10.09</f>
        <v>155.68</v>
      </c>
      <c r="M60" s="1">
        <v>0.88800000000000001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</row>
    <row r="61" spans="1:73" s="1" customFormat="1">
      <c r="B61" s="5">
        <f>B60*B59</f>
        <v>127.30549999999999</v>
      </c>
      <c r="M61" s="1">
        <f>M60*M59</f>
        <v>6418.2864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</row>
    <row r="62" spans="1:73" s="1" customFormat="1" ht="15.75" thickBot="1"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</row>
    <row r="63" spans="1:73" s="1" customFormat="1" ht="19.5" thickBot="1">
      <c r="A63" s="203" t="s">
        <v>257</v>
      </c>
      <c r="B63" s="203"/>
      <c r="C63" s="206"/>
      <c r="D63" s="3">
        <f>ROUNDUP(B66,0)</f>
        <v>166</v>
      </c>
      <c r="F63" s="203" t="s">
        <v>258</v>
      </c>
      <c r="G63" s="203"/>
      <c r="H63" s="206"/>
      <c r="I63" s="3"/>
      <c r="K63" s="203" t="s">
        <v>259</v>
      </c>
      <c r="L63" s="203"/>
      <c r="M63" s="206"/>
      <c r="N63" s="3">
        <f>M66</f>
        <v>7348.3776000000007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</row>
    <row r="64" spans="1:73" s="1" customFormat="1" ht="19.5" thickBot="1">
      <c r="A64" s="10" t="s">
        <v>177</v>
      </c>
      <c r="B64" s="1">
        <v>825.56</v>
      </c>
      <c r="F64" s="10" t="s">
        <v>179</v>
      </c>
      <c r="G64" s="3">
        <f>ROUNDUP(B64,0)</f>
        <v>826</v>
      </c>
      <c r="L64" s="1" t="s">
        <v>68</v>
      </c>
      <c r="M64" s="1">
        <v>8275.2000000000007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</row>
    <row r="65" spans="1:73" s="1" customFormat="1">
      <c r="A65" s="10" t="s">
        <v>51</v>
      </c>
      <c r="B65" s="1">
        <v>0.2</v>
      </c>
      <c r="F65" s="10" t="s">
        <v>187</v>
      </c>
      <c r="G65" s="1">
        <f>138.89+15.71+8.48</f>
        <v>163.07999999999998</v>
      </c>
      <c r="M65" s="1">
        <v>0.88800000000000001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</row>
    <row r="66" spans="1:73" s="1" customFormat="1">
      <c r="B66" s="5">
        <f>B65*B64</f>
        <v>165.11199999999999</v>
      </c>
      <c r="M66" s="1">
        <f>M65*M64</f>
        <v>7348.3776000000007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</row>
    <row r="67" spans="1:73" s="1" customFormat="1" ht="15.75" thickBot="1">
      <c r="B67" s="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</row>
    <row r="68" spans="1:73" s="1" customFormat="1" ht="19.5" thickBot="1">
      <c r="A68" s="203" t="s">
        <v>251</v>
      </c>
      <c r="B68" s="203"/>
      <c r="C68" s="206"/>
      <c r="D68" s="3">
        <f>ROUNDUP(B71,0)</f>
        <v>148</v>
      </c>
      <c r="F68" s="203" t="s">
        <v>252</v>
      </c>
      <c r="G68" s="203"/>
      <c r="H68" s="206"/>
      <c r="I68" s="3"/>
      <c r="K68" s="203" t="s">
        <v>253</v>
      </c>
      <c r="L68" s="203"/>
      <c r="M68" s="206"/>
      <c r="N68" s="3">
        <f>M71</f>
        <v>7470.1223999999993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</row>
    <row r="69" spans="1:73" s="1" customFormat="1" ht="19.5" thickBot="1">
      <c r="A69" s="10" t="s">
        <v>177</v>
      </c>
      <c r="B69" s="1">
        <v>845</v>
      </c>
      <c r="F69" s="10" t="s">
        <v>179</v>
      </c>
      <c r="G69" s="3">
        <f>ROUNDUP(B69,0)</f>
        <v>845</v>
      </c>
      <c r="L69" s="1" t="s">
        <v>68</v>
      </c>
      <c r="M69" s="1">
        <v>8412.2999999999993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</row>
    <row r="70" spans="1:73" s="1" customFormat="1">
      <c r="A70" s="10" t="s">
        <v>51</v>
      </c>
      <c r="B70" s="1">
        <v>0.17499999999999999</v>
      </c>
      <c r="F70" s="10" t="s">
        <v>187</v>
      </c>
      <c r="G70" s="1">
        <f>172.2+16.7+11.13+16.09</f>
        <v>216.11999999999998</v>
      </c>
      <c r="M70" s="1">
        <v>0.88800000000000001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</row>
    <row r="71" spans="1:73" s="1" customFormat="1">
      <c r="B71" s="5">
        <f>B70*B69</f>
        <v>147.875</v>
      </c>
      <c r="M71" s="1">
        <f>M70*M69</f>
        <v>7470.1223999999993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</row>
    <row r="72" spans="1:73" s="1" customFormat="1" ht="15.75" thickBot="1"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</row>
    <row r="73" spans="1:73" s="1" customFormat="1" ht="19.5" thickBot="1">
      <c r="A73" s="203" t="s">
        <v>260</v>
      </c>
      <c r="B73" s="203"/>
      <c r="C73" s="206"/>
      <c r="D73" s="3">
        <f>ROUNDUP(B76*2,0)</f>
        <v>300</v>
      </c>
      <c r="F73" s="203" t="s">
        <v>261</v>
      </c>
      <c r="G73" s="203"/>
      <c r="H73" s="203"/>
      <c r="I73" s="206"/>
      <c r="K73" s="203" t="s">
        <v>262</v>
      </c>
      <c r="L73" s="203"/>
      <c r="M73" s="206"/>
      <c r="N73" s="3">
        <f>M76*2</f>
        <v>14940.244799999999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</row>
    <row r="74" spans="1:73" s="1" customFormat="1" ht="19.5" thickBot="1">
      <c r="A74" s="10" t="s">
        <v>177</v>
      </c>
      <c r="B74" s="1">
        <v>854.62</v>
      </c>
      <c r="F74" s="10" t="s">
        <v>179</v>
      </c>
      <c r="G74" s="3">
        <f>ROUNDUP(B74*2,0)</f>
        <v>1710</v>
      </c>
      <c r="L74" s="1" t="s">
        <v>68</v>
      </c>
      <c r="M74" s="1">
        <v>8412.2999999999993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</row>
    <row r="75" spans="1:73" s="1" customFormat="1">
      <c r="A75" s="10" t="s">
        <v>51</v>
      </c>
      <c r="B75" s="1">
        <v>0.17499999999999999</v>
      </c>
      <c r="F75" s="10" t="s">
        <v>187</v>
      </c>
      <c r="G75" s="1">
        <f>171.99+16.44+15.97+9.58</f>
        <v>213.98000000000002</v>
      </c>
      <c r="M75" s="1">
        <v>0.88800000000000001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</row>
    <row r="76" spans="1:73" s="1" customFormat="1">
      <c r="B76" s="5">
        <f>B75*B74</f>
        <v>149.55849999999998</v>
      </c>
      <c r="M76" s="1">
        <f>M75*M74</f>
        <v>7470.1223999999993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</row>
    <row r="77" spans="1:73" s="1" customFormat="1"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</row>
    <row r="78" spans="1:73" s="1" customFormat="1" ht="23.25">
      <c r="B78" s="20"/>
      <c r="D78" s="208" t="s">
        <v>275</v>
      </c>
      <c r="E78" s="208"/>
      <c r="F78" s="208"/>
      <c r="G78" s="208"/>
      <c r="H78" s="62"/>
      <c r="L78" s="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</row>
    <row r="79" spans="1:73" s="72" customFormat="1" ht="10.5" customHeight="1" thickBot="1"/>
    <row r="80" spans="1:73" s="1" customFormat="1" ht="19.5" thickBot="1">
      <c r="B80" s="73" t="s">
        <v>174</v>
      </c>
      <c r="C80" s="74"/>
      <c r="D80" s="50">
        <f>B87+B100+B107+D107+B115+D115+D100+D87+B94+D94</f>
        <v>22.880249999999997</v>
      </c>
      <c r="E80" s="75"/>
      <c r="G80" s="203" t="s">
        <v>178</v>
      </c>
      <c r="H80" s="206"/>
      <c r="I80" s="76"/>
      <c r="K80" s="77" t="s">
        <v>181</v>
      </c>
      <c r="L80" s="19" t="s">
        <v>71</v>
      </c>
      <c r="M80" s="78">
        <f>ROUNDUP(M91*1.579,0)</f>
        <v>226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</row>
    <row r="81" spans="1:73" s="1" customFormat="1" ht="19.5" thickBot="1">
      <c r="C81" s="75"/>
      <c r="D81" s="79"/>
      <c r="E81" s="75"/>
      <c r="F81" s="75"/>
      <c r="G81" s="75"/>
      <c r="H81" s="75"/>
      <c r="I81" s="80"/>
      <c r="L81" s="19" t="s">
        <v>68</v>
      </c>
      <c r="M81" s="78">
        <f>ROUNDUP(R94*0.888,0)</f>
        <v>1175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</row>
    <row r="82" spans="1:73" s="1" customFormat="1" ht="19.5" thickBot="1">
      <c r="C82" s="75"/>
      <c r="D82" s="79"/>
      <c r="E82" s="75"/>
      <c r="F82" s="75"/>
      <c r="G82" s="75"/>
      <c r="H82" s="75"/>
      <c r="I82" s="80"/>
      <c r="L82" s="19" t="s">
        <v>108</v>
      </c>
      <c r="M82" s="78">
        <f>ROUNDUP(L88,0)</f>
        <v>0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</row>
    <row r="83" spans="1:73" s="1" customFormat="1" ht="15.75">
      <c r="A83" s="5" t="s">
        <v>184</v>
      </c>
      <c r="E83" s="75"/>
      <c r="F83" s="5"/>
      <c r="N83" s="14" t="s">
        <v>182</v>
      </c>
      <c r="O83" s="1" t="s">
        <v>170</v>
      </c>
      <c r="P83" s="1" t="s">
        <v>49</v>
      </c>
      <c r="Q83" s="1" t="s">
        <v>183</v>
      </c>
      <c r="R83" s="1" t="s">
        <v>68</v>
      </c>
      <c r="S83" s="20" t="s">
        <v>108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</row>
    <row r="84" spans="1:73" s="1" customFormat="1" ht="15.75">
      <c r="A84" s="1" t="s">
        <v>49</v>
      </c>
      <c r="B84" s="4">
        <v>1.2</v>
      </c>
      <c r="D84" s="4">
        <v>0</v>
      </c>
      <c r="E84" s="81"/>
      <c r="G84" s="4"/>
      <c r="M84" s="5" t="s">
        <v>71</v>
      </c>
      <c r="N84" s="1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</row>
    <row r="85" spans="1:73" s="1" customFormat="1" ht="15.75">
      <c r="A85" s="1" t="s">
        <v>50</v>
      </c>
      <c r="B85" s="4">
        <v>0.6</v>
      </c>
      <c r="D85" s="4">
        <v>0.6</v>
      </c>
      <c r="E85" s="81"/>
      <c r="G85" s="4"/>
      <c r="L85" s="5" t="s">
        <v>108</v>
      </c>
      <c r="M85" s="1">
        <v>8.77</v>
      </c>
      <c r="N85" s="69">
        <v>1</v>
      </c>
      <c r="O85" s="20">
        <v>6</v>
      </c>
      <c r="P85" s="1">
        <v>2.2799999999999998</v>
      </c>
      <c r="Q85" s="1">
        <v>2</v>
      </c>
      <c r="R85" s="1">
        <f>O85*P85*Q85</f>
        <v>27.36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</row>
    <row r="86" spans="1:73" s="1" customFormat="1" ht="15.75">
      <c r="A86" s="1" t="s">
        <v>51</v>
      </c>
      <c r="B86" s="4">
        <v>0.45</v>
      </c>
      <c r="D86" s="4">
        <v>0.3</v>
      </c>
      <c r="E86" s="81"/>
      <c r="G86" s="4"/>
      <c r="L86" s="1">
        <v>1.38</v>
      </c>
      <c r="M86" s="1">
        <f>11.5*5</f>
        <v>57.5</v>
      </c>
      <c r="N86" s="69">
        <v>2</v>
      </c>
      <c r="O86" s="20">
        <v>6</v>
      </c>
      <c r="P86" s="1">
        <v>2.2999999999999998</v>
      </c>
      <c r="Q86" s="1">
        <v>1</v>
      </c>
      <c r="R86" s="1">
        <f t="shared" ref="R86:R93" si="2">O86*P86*Q86</f>
        <v>13.799999999999999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</row>
    <row r="87" spans="1:73" s="1" customFormat="1" ht="15.75">
      <c r="B87" s="5">
        <f>B84*B85*B86</f>
        <v>0.32400000000000001</v>
      </c>
      <c r="D87" s="5">
        <f>D84*D85*D86*6</f>
        <v>0</v>
      </c>
      <c r="E87" s="81"/>
      <c r="F87" s="1">
        <f>1288-112.5</f>
        <v>1175.5</v>
      </c>
      <c r="L87" s="1">
        <v>0</v>
      </c>
      <c r="M87" s="1">
        <f>12.8*6</f>
        <v>76.800000000000011</v>
      </c>
      <c r="N87" s="69">
        <v>3</v>
      </c>
      <c r="O87" s="20">
        <v>6</v>
      </c>
      <c r="P87" s="1">
        <v>2.85</v>
      </c>
      <c r="Q87" s="1">
        <v>1</v>
      </c>
      <c r="R87" s="1">
        <f t="shared" si="2"/>
        <v>17.100000000000001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</row>
    <row r="88" spans="1:73" s="1" customFormat="1" ht="15.75">
      <c r="A88" s="5"/>
      <c r="E88" s="81"/>
      <c r="L88" s="5">
        <f>L86*L87*0.617</f>
        <v>0</v>
      </c>
      <c r="N88" s="69">
        <v>4</v>
      </c>
      <c r="O88" s="20">
        <v>12</v>
      </c>
      <c r="P88" s="1">
        <v>0.91</v>
      </c>
      <c r="Q88" s="1">
        <v>1</v>
      </c>
      <c r="R88" s="1">
        <f t="shared" si="2"/>
        <v>10.92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</row>
    <row r="89" spans="1:73" s="1" customFormat="1" ht="15.75">
      <c r="A89" s="5" t="s">
        <v>185</v>
      </c>
      <c r="C89" s="5" t="s">
        <v>186</v>
      </c>
      <c r="D89" s="5"/>
      <c r="E89" s="81"/>
      <c r="F89" s="5" t="s">
        <v>185</v>
      </c>
      <c r="I89" s="4">
        <f>D90</f>
        <v>3</v>
      </c>
      <c r="J89" s="4"/>
      <c r="N89" s="69">
        <v>5</v>
      </c>
      <c r="O89" s="20">
        <v>6</v>
      </c>
      <c r="P89" s="1">
        <v>5.34</v>
      </c>
      <c r="Q89" s="1">
        <v>2</v>
      </c>
      <c r="R89" s="1">
        <f t="shared" si="2"/>
        <v>64.08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</row>
    <row r="90" spans="1:73" s="1" customFormat="1" ht="15.75">
      <c r="A90" s="1" t="s">
        <v>49</v>
      </c>
      <c r="B90" s="4">
        <v>3</v>
      </c>
      <c r="C90" s="1" t="s">
        <v>49</v>
      </c>
      <c r="D90" s="4">
        <f>B90</f>
        <v>3</v>
      </c>
      <c r="E90" s="82"/>
      <c r="F90" s="1" t="s">
        <v>49</v>
      </c>
      <c r="G90" s="4">
        <f>D90</f>
        <v>3</v>
      </c>
      <c r="I90" s="4">
        <f>D91</f>
        <v>0.45</v>
      </c>
      <c r="J90" s="4"/>
      <c r="N90" s="69">
        <v>6</v>
      </c>
      <c r="O90" s="20">
        <v>6</v>
      </c>
      <c r="P90" s="1">
        <v>5.34</v>
      </c>
      <c r="Q90" s="1">
        <v>2</v>
      </c>
      <c r="R90" s="1">
        <f t="shared" si="2"/>
        <v>64.08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</row>
    <row r="91" spans="1:73" s="1" customFormat="1" ht="15.75">
      <c r="A91" s="1" t="s">
        <v>50</v>
      </c>
      <c r="B91" s="4">
        <v>1.53</v>
      </c>
      <c r="C91" s="1" t="s">
        <v>50</v>
      </c>
      <c r="D91" s="4">
        <v>0.45</v>
      </c>
      <c r="E91" s="82"/>
      <c r="F91" s="1" t="s">
        <v>50</v>
      </c>
      <c r="G91" s="4">
        <f>B91</f>
        <v>1.53</v>
      </c>
      <c r="I91" s="4">
        <f>D92</f>
        <v>0.23</v>
      </c>
      <c r="J91" s="4"/>
      <c r="M91" s="5">
        <f>SUM(M85:M90)</f>
        <v>143.07</v>
      </c>
      <c r="N91" s="69">
        <v>7</v>
      </c>
      <c r="O91" s="20">
        <v>17</v>
      </c>
      <c r="P91" s="1">
        <v>1.36</v>
      </c>
      <c r="Q91" s="1">
        <v>1</v>
      </c>
      <c r="R91" s="1">
        <f t="shared" si="2"/>
        <v>23.12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1:73" s="1" customFormat="1" ht="15.75">
      <c r="A92" s="1" t="s">
        <v>51</v>
      </c>
      <c r="B92" s="4">
        <v>0.17499999999999999</v>
      </c>
      <c r="C92" s="1" t="s">
        <v>51</v>
      </c>
      <c r="D92" s="4">
        <v>0.23</v>
      </c>
      <c r="E92" s="82"/>
      <c r="F92" s="1" t="s">
        <v>170</v>
      </c>
      <c r="G92" s="1">
        <f>B93</f>
        <v>1</v>
      </c>
      <c r="I92" s="1">
        <f>D93</f>
        <v>1</v>
      </c>
      <c r="J92" s="1">
        <v>2</v>
      </c>
      <c r="N92" s="69">
        <v>8</v>
      </c>
      <c r="O92" s="20"/>
      <c r="R92" s="1">
        <f t="shared" si="2"/>
        <v>0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</row>
    <row r="93" spans="1:73" s="1" customFormat="1" ht="15.75">
      <c r="A93" s="1" t="s">
        <v>170</v>
      </c>
      <c r="B93" s="1">
        <v>1</v>
      </c>
      <c r="C93" s="1" t="s">
        <v>170</v>
      </c>
      <c r="D93" s="1">
        <f>B93</f>
        <v>1</v>
      </c>
      <c r="E93" s="81"/>
      <c r="G93" s="1" t="s">
        <v>179</v>
      </c>
      <c r="H93" s="5">
        <f>G90*G91*G92</f>
        <v>4.59</v>
      </c>
      <c r="I93" s="8">
        <f>(I90*I89*I92*2)+(I91*I89*I92)</f>
        <v>3.39</v>
      </c>
      <c r="J93" s="5">
        <f>(J89*J90*2)+(J89*J91)*J92*2</f>
        <v>0</v>
      </c>
      <c r="N93" s="69">
        <v>9</v>
      </c>
      <c r="O93" s="20"/>
      <c r="R93" s="1">
        <f t="shared" si="2"/>
        <v>0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</row>
    <row r="94" spans="1:73" s="1" customFormat="1" ht="21">
      <c r="B94" s="5">
        <f>B90*B91*B92*B93</f>
        <v>0.80324999999999991</v>
      </c>
      <c r="D94" s="5">
        <f>D90*D91*D92*D93</f>
        <v>0.31050000000000005</v>
      </c>
      <c r="E94" s="81"/>
      <c r="G94" s="1" t="s">
        <v>187</v>
      </c>
      <c r="H94" s="5">
        <f>(G90+G91)*2*G92</f>
        <v>9.06</v>
      </c>
      <c r="N94" s="62"/>
      <c r="R94" s="8">
        <f>SUM(R85:R93)*6</f>
        <v>1322.7599999999998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</row>
    <row r="95" spans="1:73" s="1" customFormat="1" ht="21">
      <c r="A95" s="5" t="s">
        <v>185</v>
      </c>
      <c r="C95" s="5" t="s">
        <v>186</v>
      </c>
      <c r="D95" s="5"/>
      <c r="E95" s="81"/>
      <c r="F95" s="5" t="s">
        <v>185</v>
      </c>
      <c r="J95" s="4"/>
      <c r="N95" s="62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</row>
    <row r="96" spans="1:73" s="1" customFormat="1">
      <c r="A96" s="1" t="s">
        <v>49</v>
      </c>
      <c r="B96" s="4">
        <v>3</v>
      </c>
      <c r="C96" s="1" t="s">
        <v>49</v>
      </c>
      <c r="D96" s="4">
        <f>B96</f>
        <v>3</v>
      </c>
      <c r="E96" s="82"/>
      <c r="F96" s="1" t="s">
        <v>49</v>
      </c>
      <c r="G96" s="4">
        <f>D96</f>
        <v>3</v>
      </c>
      <c r="I96" s="4">
        <f>D97</f>
        <v>0.45</v>
      </c>
      <c r="J96" s="4">
        <f>D96</f>
        <v>3</v>
      </c>
      <c r="N96" s="20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</row>
    <row r="97" spans="1:73" s="1" customFormat="1">
      <c r="A97" s="1" t="s">
        <v>50</v>
      </c>
      <c r="B97" s="4">
        <v>1.53</v>
      </c>
      <c r="C97" s="1" t="s">
        <v>50</v>
      </c>
      <c r="D97" s="4">
        <v>0.45</v>
      </c>
      <c r="E97" s="82"/>
      <c r="F97" s="1" t="s">
        <v>50</v>
      </c>
      <c r="G97" s="4">
        <f>B97</f>
        <v>1.53</v>
      </c>
      <c r="I97" s="4">
        <f>D98</f>
        <v>0.23</v>
      </c>
      <c r="J97" s="4">
        <f>D97</f>
        <v>0.45</v>
      </c>
      <c r="N97" s="20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</row>
    <row r="98" spans="1:73" s="1" customFormat="1">
      <c r="A98" s="1" t="s">
        <v>51</v>
      </c>
      <c r="B98" s="4">
        <v>0.17499999999999999</v>
      </c>
      <c r="C98" s="1" t="s">
        <v>51</v>
      </c>
      <c r="D98" s="4">
        <v>0.23</v>
      </c>
      <c r="E98" s="82"/>
      <c r="F98" s="1" t="s">
        <v>170</v>
      </c>
      <c r="G98" s="1">
        <f>B99</f>
        <v>10</v>
      </c>
      <c r="I98" s="4">
        <f>D99</f>
        <v>10</v>
      </c>
      <c r="J98" s="4">
        <f>D98</f>
        <v>0.23</v>
      </c>
      <c r="N98" s="20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</row>
    <row r="99" spans="1:73" s="1" customFormat="1">
      <c r="A99" s="1" t="s">
        <v>170</v>
      </c>
      <c r="B99" s="1">
        <v>10</v>
      </c>
      <c r="C99" s="1" t="s">
        <v>170</v>
      </c>
      <c r="D99" s="1">
        <f>B99</f>
        <v>10</v>
      </c>
      <c r="E99" s="81"/>
      <c r="G99" s="1" t="s">
        <v>179</v>
      </c>
      <c r="H99" s="5">
        <f>G96*G97*G98</f>
        <v>45.9</v>
      </c>
      <c r="I99" s="1">
        <f>D100</f>
        <v>3.1050000000000004</v>
      </c>
      <c r="J99" s="5">
        <f>(J96*J97*2)+(J96*J98)*D99</f>
        <v>9.6000000000000014</v>
      </c>
      <c r="N99" s="20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</row>
    <row r="100" spans="1:73" s="1" customFormat="1">
      <c r="B100" s="5">
        <f>B96*B97*B98*B99</f>
        <v>8.0324999999999989</v>
      </c>
      <c r="D100" s="5">
        <f>D96*D97*D98*D99</f>
        <v>3.1050000000000004</v>
      </c>
      <c r="E100" s="81"/>
      <c r="G100" s="1" t="s">
        <v>187</v>
      </c>
      <c r="H100" s="5">
        <f>(G96+G97)*2*G98</f>
        <v>90.600000000000009</v>
      </c>
      <c r="I100" s="8">
        <f>(I97*I96*I99*2)+(I98*I96*I99)</f>
        <v>14.615235000000002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</row>
    <row r="101" spans="1:73" s="1" customFormat="1">
      <c r="E101" s="8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</row>
    <row r="102" spans="1:73" s="1" customFormat="1">
      <c r="A102" s="5" t="s">
        <v>188</v>
      </c>
      <c r="C102" s="5" t="s">
        <v>189</v>
      </c>
      <c r="E102" s="81"/>
      <c r="F102" s="5" t="s">
        <v>190</v>
      </c>
      <c r="T102" s="1">
        <f>S102</f>
        <v>0</v>
      </c>
      <c r="U102" s="1">
        <f>S102*T102</f>
        <v>0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</row>
    <row r="103" spans="1:73" s="1" customFormat="1">
      <c r="A103" s="1" t="s">
        <v>49</v>
      </c>
      <c r="B103" s="4">
        <v>2.97</v>
      </c>
      <c r="D103" s="4">
        <v>3.43</v>
      </c>
      <c r="E103" s="81"/>
      <c r="F103" s="1" t="s">
        <v>49</v>
      </c>
      <c r="G103" s="4">
        <f>B103</f>
        <v>2.97</v>
      </c>
      <c r="I103" s="4">
        <f>D103</f>
        <v>3.43</v>
      </c>
      <c r="T103" s="1">
        <f>S103</f>
        <v>0</v>
      </c>
      <c r="U103" s="1">
        <f>S103*T103</f>
        <v>0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</row>
    <row r="104" spans="1:73" s="1" customFormat="1">
      <c r="A104" s="1" t="s">
        <v>50</v>
      </c>
      <c r="B104" s="4">
        <v>1.2</v>
      </c>
      <c r="D104" s="4">
        <f>B104</f>
        <v>1.2</v>
      </c>
      <c r="E104" s="81"/>
      <c r="F104" s="1" t="s">
        <v>50</v>
      </c>
      <c r="G104" s="4">
        <f>B104</f>
        <v>1.2</v>
      </c>
      <c r="I104" s="4">
        <f>D104</f>
        <v>1.2</v>
      </c>
      <c r="U104" s="1">
        <f>SUM(U102:U103)</f>
        <v>0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</row>
    <row r="105" spans="1:73" s="1" customFormat="1">
      <c r="A105" s="1" t="s">
        <v>51</v>
      </c>
      <c r="B105" s="4">
        <v>0.17499999999999999</v>
      </c>
      <c r="D105" s="4">
        <f>B105</f>
        <v>0.17499999999999999</v>
      </c>
      <c r="E105" s="81"/>
      <c r="F105" s="1" t="s">
        <v>170</v>
      </c>
      <c r="G105" s="1">
        <f>B106</f>
        <v>6</v>
      </c>
      <c r="I105" s="1">
        <f>D106</f>
        <v>6</v>
      </c>
      <c r="U105" s="4">
        <f>SQRT(U104)</f>
        <v>0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</row>
    <row r="106" spans="1:73" s="1" customFormat="1">
      <c r="A106" s="1" t="s">
        <v>170</v>
      </c>
      <c r="B106" s="1">
        <v>6</v>
      </c>
      <c r="D106" s="1">
        <v>6</v>
      </c>
      <c r="E106" s="81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</row>
    <row r="107" spans="1:73" s="1" customFormat="1">
      <c r="B107" s="5">
        <f>B103*B104*B105*B106</f>
        <v>3.7421999999999995</v>
      </c>
      <c r="D107" s="5">
        <f>D103*D104*D105*D106</f>
        <v>4.3217999999999996</v>
      </c>
      <c r="E107" s="81"/>
      <c r="G107" s="1" t="s">
        <v>179</v>
      </c>
      <c r="H107" s="1">
        <f>G104*G105*G103</f>
        <v>21.384</v>
      </c>
      <c r="I107" s="1" t="s">
        <v>179</v>
      </c>
      <c r="J107" s="1">
        <f>I104*I105*I103</f>
        <v>24.695999999999998</v>
      </c>
      <c r="K107" s="83">
        <f>H107+J107</f>
        <v>46.08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</row>
    <row r="108" spans="1:73" s="1" customFormat="1">
      <c r="E108" s="81"/>
      <c r="G108" s="5" t="s">
        <v>187</v>
      </c>
      <c r="H108" s="1">
        <f>(G104+G103)*2*G105</f>
        <v>50.04</v>
      </c>
      <c r="I108" s="5" t="s">
        <v>187</v>
      </c>
      <c r="J108" s="1">
        <f>(I104+I103)*2*I105</f>
        <v>55.56</v>
      </c>
      <c r="K108" s="52">
        <f>(H108+J108)*0.15</f>
        <v>15.839999999999998</v>
      </c>
      <c r="L108" s="83">
        <f>H108+J108</f>
        <v>105.6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</row>
    <row r="109" spans="1:73" s="1" customFormat="1">
      <c r="A109" s="5" t="s">
        <v>191</v>
      </c>
      <c r="E109" s="81"/>
      <c r="F109" s="5" t="s">
        <v>191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</row>
    <row r="110" spans="1:73" s="1" customFormat="1">
      <c r="A110" s="1" t="s">
        <v>49</v>
      </c>
      <c r="B110" s="4">
        <v>1.2</v>
      </c>
      <c r="D110" s="4">
        <f>B110</f>
        <v>1.2</v>
      </c>
      <c r="E110" s="81"/>
      <c r="F110" s="1" t="s">
        <v>49</v>
      </c>
      <c r="G110" s="4"/>
      <c r="I110" s="4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</row>
    <row r="111" spans="1:73" s="1" customFormat="1">
      <c r="A111" s="1" t="s">
        <v>50</v>
      </c>
      <c r="B111" s="4">
        <v>0.15</v>
      </c>
      <c r="D111" s="4">
        <v>0.3</v>
      </c>
      <c r="E111" s="81"/>
      <c r="F111" s="1" t="s">
        <v>50</v>
      </c>
      <c r="G111" s="4">
        <v>0.3</v>
      </c>
      <c r="I111" s="4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</row>
    <row r="112" spans="1:73" s="1" customFormat="1">
      <c r="A112" s="1" t="s">
        <v>51</v>
      </c>
      <c r="B112" s="4">
        <v>0.17499999999999999</v>
      </c>
      <c r="D112" s="4">
        <v>0.15</v>
      </c>
      <c r="E112" s="81"/>
      <c r="F112" s="1" t="s">
        <v>51</v>
      </c>
      <c r="G112" s="4">
        <v>0.15</v>
      </c>
      <c r="I112" s="4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</row>
    <row r="113" spans="1:73" s="1" customFormat="1">
      <c r="A113" s="1" t="s">
        <v>170</v>
      </c>
      <c r="B113" s="1">
        <v>0.5</v>
      </c>
      <c r="D113" s="1">
        <v>0.5</v>
      </c>
      <c r="E113" s="81"/>
      <c r="F113" s="1" t="s">
        <v>170</v>
      </c>
      <c r="G113" s="1">
        <v>0.5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</row>
    <row r="114" spans="1:73" s="1" customFormat="1">
      <c r="A114" s="1" t="s">
        <v>170</v>
      </c>
      <c r="B114" s="1">
        <v>60</v>
      </c>
      <c r="D114" s="1">
        <v>48</v>
      </c>
      <c r="E114" s="81"/>
      <c r="F114" s="1" t="s">
        <v>170</v>
      </c>
      <c r="G114" s="1">
        <f>B114</f>
        <v>60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</row>
    <row r="115" spans="1:73" s="1" customFormat="1">
      <c r="B115" s="5">
        <f>B110*B111*B112*B113*B114</f>
        <v>0.94500000000000006</v>
      </c>
      <c r="D115" s="5">
        <f>D110*D111*D112*D113*D114</f>
        <v>1.296</v>
      </c>
      <c r="E115" s="81"/>
      <c r="G115" s="5">
        <f>G112*G111*G113*2*G114</f>
        <v>2.6999999999999997</v>
      </c>
      <c r="I115" s="5"/>
      <c r="K115" s="1">
        <f>G115+I115</f>
        <v>2.6999999999999997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</row>
    <row r="116" spans="1:73" s="1" customFormat="1">
      <c r="E116" s="81"/>
      <c r="K116" s="83">
        <f>SUM(K108:K115)</f>
        <v>18.54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</row>
    <row r="117" spans="1:73" s="1" customFormat="1">
      <c r="E117" s="81"/>
      <c r="F117" s="5" t="s">
        <v>192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</row>
    <row r="118" spans="1:73" s="1" customFormat="1">
      <c r="E118" s="81"/>
      <c r="F118" s="1" t="s">
        <v>49</v>
      </c>
      <c r="G118" s="4">
        <v>1.2</v>
      </c>
      <c r="I118" s="4">
        <v>1.1499999999999999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</row>
    <row r="119" spans="1:73" s="1" customFormat="1">
      <c r="E119" s="81"/>
      <c r="F119" s="1" t="s">
        <v>170</v>
      </c>
      <c r="G119" s="1">
        <v>120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</row>
    <row r="120" spans="1:73" s="1" customFormat="1">
      <c r="G120" s="1">
        <f>G118*G119</f>
        <v>144</v>
      </c>
      <c r="I120" s="1">
        <f>I118*I119</f>
        <v>0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</row>
    <row r="121" spans="1:73" s="1" customFormat="1">
      <c r="H121" s="5">
        <f>G120+I120</f>
        <v>144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</row>
    <row r="122" spans="1:73" s="1" customFormat="1">
      <c r="A122"/>
      <c r="H122" s="1" t="s">
        <v>193</v>
      </c>
      <c r="I122" s="1">
        <f>H121*0.15</f>
        <v>21.599999999999998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</row>
    <row r="124" spans="1:73" s="1" customFormat="1">
      <c r="A124"/>
      <c r="F124" s="5" t="s">
        <v>194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</row>
    <row r="125" spans="1:73" s="1" customFormat="1">
      <c r="A125"/>
      <c r="F125" s="1" t="s">
        <v>49</v>
      </c>
      <c r="G125" s="4">
        <f>G118</f>
        <v>1.2</v>
      </c>
      <c r="I125" s="4">
        <v>1.1499999999999999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pans="1:73" s="1" customFormat="1">
      <c r="A126"/>
      <c r="F126" s="1" t="s">
        <v>170</v>
      </c>
      <c r="G126" s="1">
        <v>108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pans="1:73" s="1" customFormat="1">
      <c r="A127"/>
      <c r="G127" s="1">
        <f>G125*G126</f>
        <v>129.6</v>
      </c>
      <c r="I127" s="1">
        <f>I125*I126</f>
        <v>0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pans="1:73" s="1" customFormat="1">
      <c r="A128"/>
      <c r="G128" s="1">
        <f>G127*0.25</f>
        <v>32.4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pans="1:73" s="1" customFormat="1">
      <c r="A129"/>
      <c r="H129" s="5">
        <f>G127+I127</f>
        <v>129.6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pans="1:73" s="1" customFormat="1">
      <c r="A130"/>
      <c r="H130" s="1" t="s">
        <v>195</v>
      </c>
      <c r="I130" s="1">
        <f>H129*0.3</f>
        <v>38.879999999999995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pans="1:73" s="1" customFormat="1" ht="15.75" thickBot="1"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pans="1:73" s="1" customFormat="1" ht="19.5" thickBot="1">
      <c r="B132" s="203" t="s">
        <v>276</v>
      </c>
      <c r="C132" s="203"/>
      <c r="D132" s="203"/>
      <c r="E132" s="203"/>
      <c r="F132" s="50">
        <f>ROUNDUP(SUM(B137:BP137)*2,0)</f>
        <v>176</v>
      </c>
      <c r="I132" s="4"/>
      <c r="BQ132"/>
      <c r="BR132"/>
      <c r="BS132"/>
      <c r="BT132"/>
      <c r="BU132"/>
    </row>
    <row r="133" spans="1:73" s="1" customFormat="1">
      <c r="B133" s="1" t="s">
        <v>127</v>
      </c>
      <c r="C133" s="1" t="s">
        <v>128</v>
      </c>
      <c r="D133" s="1" t="s">
        <v>129</v>
      </c>
      <c r="E133" s="1" t="s">
        <v>130</v>
      </c>
      <c r="F133" s="1" t="s">
        <v>131</v>
      </c>
      <c r="G133" s="1" t="s">
        <v>132</v>
      </c>
      <c r="H133" s="1" t="s">
        <v>133</v>
      </c>
      <c r="I133" s="1" t="s">
        <v>134</v>
      </c>
      <c r="J133" s="1" t="s">
        <v>135</v>
      </c>
      <c r="K133" s="1" t="s">
        <v>136</v>
      </c>
      <c r="L133" s="1" t="s">
        <v>137</v>
      </c>
      <c r="M133" s="1" t="s">
        <v>138</v>
      </c>
      <c r="N133" s="1" t="s">
        <v>139</v>
      </c>
      <c r="O133" s="1" t="s">
        <v>140</v>
      </c>
      <c r="P133" s="1" t="s">
        <v>141</v>
      </c>
      <c r="Q133" s="1" t="s">
        <v>142</v>
      </c>
      <c r="R133" s="1" t="s">
        <v>143</v>
      </c>
      <c r="S133" s="1" t="s">
        <v>144</v>
      </c>
      <c r="T133" s="1" t="s">
        <v>145</v>
      </c>
      <c r="U133" s="1" t="s">
        <v>146</v>
      </c>
      <c r="V133" s="1" t="s">
        <v>147</v>
      </c>
      <c r="W133" s="1" t="s">
        <v>148</v>
      </c>
      <c r="X133" s="1" t="s">
        <v>149</v>
      </c>
      <c r="Y133" s="1" t="s">
        <v>150</v>
      </c>
      <c r="Z133" s="1" t="s">
        <v>151</v>
      </c>
      <c r="AA133" s="1" t="s">
        <v>152</v>
      </c>
      <c r="AB133" s="1" t="s">
        <v>153</v>
      </c>
      <c r="AC133" s="1" t="s">
        <v>154</v>
      </c>
      <c r="AD133" s="1" t="s">
        <v>155</v>
      </c>
      <c r="AE133" s="1" t="s">
        <v>156</v>
      </c>
      <c r="AF133" s="1" t="s">
        <v>157</v>
      </c>
      <c r="AG133" s="1" t="s">
        <v>158</v>
      </c>
      <c r="AH133" s="1" t="s">
        <v>159</v>
      </c>
      <c r="AI133" s="1" t="s">
        <v>160</v>
      </c>
      <c r="AJ133" s="1" t="s">
        <v>161</v>
      </c>
      <c r="AK133" s="1" t="s">
        <v>162</v>
      </c>
      <c r="AL133" s="1" t="s">
        <v>163</v>
      </c>
      <c r="AM133" s="1" t="s">
        <v>277</v>
      </c>
      <c r="AN133" s="1" t="s">
        <v>278</v>
      </c>
      <c r="AO133" s="1" t="s">
        <v>279</v>
      </c>
      <c r="AP133" s="1" t="s">
        <v>280</v>
      </c>
      <c r="AQ133" s="1" t="s">
        <v>281</v>
      </c>
      <c r="AR133" s="1" t="s">
        <v>282</v>
      </c>
      <c r="AS133" s="1" t="s">
        <v>283</v>
      </c>
      <c r="AT133" s="1" t="s">
        <v>284</v>
      </c>
      <c r="AU133" s="1" t="s">
        <v>285</v>
      </c>
      <c r="AV133" s="1" t="s">
        <v>286</v>
      </c>
      <c r="AW133" s="1" t="s">
        <v>287</v>
      </c>
      <c r="AX133" s="1" t="s">
        <v>288</v>
      </c>
      <c r="AY133" s="1" t="s">
        <v>289</v>
      </c>
      <c r="AZ133" s="1" t="s">
        <v>290</v>
      </c>
      <c r="BA133" s="1" t="s">
        <v>291</v>
      </c>
      <c r="BB133" s="1" t="s">
        <v>292</v>
      </c>
      <c r="BC133" s="1" t="s">
        <v>293</v>
      </c>
      <c r="BD133" s="1" t="s">
        <v>294</v>
      </c>
      <c r="BE133" s="1" t="s">
        <v>295</v>
      </c>
      <c r="BF133" s="1" t="s">
        <v>296</v>
      </c>
      <c r="BG133" s="1" t="s">
        <v>297</v>
      </c>
      <c r="BH133" s="1" t="s">
        <v>298</v>
      </c>
      <c r="BI133" s="1" t="s">
        <v>299</v>
      </c>
      <c r="BJ133" s="1" t="s">
        <v>300</v>
      </c>
      <c r="BK133" s="1" t="s">
        <v>301</v>
      </c>
      <c r="BL133" s="1" t="s">
        <v>302</v>
      </c>
      <c r="BM133" s="1" t="s">
        <v>303</v>
      </c>
      <c r="BN133" s="1" t="s">
        <v>304</v>
      </c>
      <c r="BO133" s="1" t="s">
        <v>305</v>
      </c>
      <c r="BP133" s="1" t="s">
        <v>306</v>
      </c>
      <c r="BQ133"/>
    </row>
    <row r="134" spans="1:73" s="44" customFormat="1">
      <c r="A134" s="44" t="s">
        <v>37</v>
      </c>
      <c r="B134" s="51">
        <v>9.43</v>
      </c>
      <c r="C134" s="51">
        <v>8.3000000000000007</v>
      </c>
      <c r="D134" s="52">
        <v>7.6</v>
      </c>
      <c r="E134" s="52">
        <v>11.58</v>
      </c>
      <c r="F134" s="52">
        <v>10</v>
      </c>
      <c r="G134" s="52">
        <v>10.97</v>
      </c>
      <c r="H134" s="52">
        <v>3.82</v>
      </c>
      <c r="I134" s="52">
        <v>6.5</v>
      </c>
      <c r="J134" s="52">
        <v>11.58</v>
      </c>
      <c r="K134" s="52">
        <v>6.43</v>
      </c>
      <c r="L134" s="52">
        <v>5.4</v>
      </c>
      <c r="M134" s="52">
        <v>16.3</v>
      </c>
      <c r="N134" s="52">
        <v>6.39</v>
      </c>
      <c r="O134" s="52">
        <v>4.4000000000000004</v>
      </c>
      <c r="P134" s="51">
        <v>2.95</v>
      </c>
      <c r="Q134" s="51">
        <v>5.1100000000000003</v>
      </c>
      <c r="R134" s="51">
        <f>2*2</f>
        <v>4</v>
      </c>
      <c r="S134" s="51">
        <v>6.39</v>
      </c>
      <c r="T134" s="51">
        <v>5.1100000000000003</v>
      </c>
      <c r="U134" s="51">
        <v>5.4</v>
      </c>
      <c r="V134" s="51">
        <v>16.3</v>
      </c>
      <c r="W134" s="51">
        <v>2.95</v>
      </c>
      <c r="X134" s="51">
        <v>5.4</v>
      </c>
      <c r="Y134" s="51">
        <v>1.5</v>
      </c>
      <c r="Z134" s="51">
        <v>14.1</v>
      </c>
      <c r="AA134" s="51">
        <v>9</v>
      </c>
      <c r="AB134" s="51">
        <v>7.3</v>
      </c>
      <c r="AC134" s="51">
        <v>4.2</v>
      </c>
      <c r="AD134" s="51">
        <v>17.899999999999999</v>
      </c>
      <c r="AE134" s="51">
        <v>10.7</v>
      </c>
      <c r="AF134" s="51">
        <v>8.5</v>
      </c>
      <c r="AG134" s="51">
        <v>2.6</v>
      </c>
      <c r="AH134" s="51">
        <v>2.95</v>
      </c>
      <c r="AI134" s="51">
        <v>4.2</v>
      </c>
      <c r="AJ134" s="51">
        <v>8.3000000000000007</v>
      </c>
      <c r="AK134" s="51">
        <f>3.2*2</f>
        <v>6.4</v>
      </c>
      <c r="AL134" s="51">
        <v>7.28</v>
      </c>
      <c r="AM134" s="51">
        <v>2.2999999999999998</v>
      </c>
      <c r="AN134" s="51">
        <v>7.8</v>
      </c>
      <c r="AO134" s="51">
        <v>2.95</v>
      </c>
      <c r="AP134" s="51">
        <v>4.1900000000000004</v>
      </c>
      <c r="AQ134" s="51">
        <v>3.63</v>
      </c>
      <c r="AR134" s="51">
        <v>4.25</v>
      </c>
      <c r="AS134" s="51">
        <f>9.65*2</f>
        <v>19.3</v>
      </c>
      <c r="AT134" s="51">
        <f>1.85*2</f>
        <v>3.7</v>
      </c>
      <c r="AU134" s="51">
        <v>1.7</v>
      </c>
      <c r="AV134" s="51">
        <v>6.7</v>
      </c>
      <c r="AW134" s="51">
        <v>7.58</v>
      </c>
      <c r="AX134" s="53">
        <v>5.75</v>
      </c>
      <c r="AY134" s="53">
        <v>14.43</v>
      </c>
      <c r="AZ134" s="53">
        <v>11.5</v>
      </c>
      <c r="BA134" s="53">
        <v>8.98</v>
      </c>
      <c r="BB134" s="53">
        <v>10.9</v>
      </c>
      <c r="BC134" s="53">
        <v>4.29</v>
      </c>
      <c r="BD134" s="53">
        <v>10.3</v>
      </c>
      <c r="BE134" s="53">
        <v>10.48</v>
      </c>
      <c r="BF134" s="53">
        <v>4.2300000000000004</v>
      </c>
      <c r="BG134" s="53">
        <v>16.11</v>
      </c>
      <c r="BH134" s="53">
        <v>10.4</v>
      </c>
      <c r="BI134" s="53">
        <v>5.51</v>
      </c>
      <c r="BJ134" s="53">
        <v>5.23</v>
      </c>
      <c r="BK134" s="53">
        <v>19.73</v>
      </c>
      <c r="BL134" s="53">
        <v>5.51</v>
      </c>
      <c r="BM134" s="53">
        <v>24.79</v>
      </c>
      <c r="BN134" s="53">
        <v>10.4</v>
      </c>
      <c r="BO134" s="53">
        <v>4.2</v>
      </c>
      <c r="BP134" s="53">
        <v>3.63</v>
      </c>
      <c r="BQ134"/>
      <c r="BR134" s="53"/>
      <c r="BS134" s="53"/>
      <c r="BT134" s="53"/>
      <c r="BU134" s="53"/>
    </row>
    <row r="135" spans="1:73" s="1" customFormat="1">
      <c r="A135" s="44" t="s">
        <v>165</v>
      </c>
      <c r="B135" s="1">
        <v>0.45</v>
      </c>
      <c r="C135" s="1">
        <v>0.6</v>
      </c>
      <c r="D135" s="1">
        <f t="shared" ref="D135" si="3">C135</f>
        <v>0.6</v>
      </c>
      <c r="E135" s="1">
        <f t="shared" ref="E135:E136" si="4">D135</f>
        <v>0.6</v>
      </c>
      <c r="F135" s="1">
        <f t="shared" ref="F135:F136" si="5">E135</f>
        <v>0.6</v>
      </c>
      <c r="G135" s="1">
        <f t="shared" ref="G135:G136" si="6">F135</f>
        <v>0.6</v>
      </c>
      <c r="H135" s="1">
        <f t="shared" ref="H135:H136" si="7">G135</f>
        <v>0.6</v>
      </c>
      <c r="I135" s="1">
        <f t="shared" ref="I135" si="8">H135</f>
        <v>0.6</v>
      </c>
      <c r="J135" s="1">
        <f t="shared" ref="J135" si="9">I135</f>
        <v>0.6</v>
      </c>
      <c r="K135" s="1">
        <f t="shared" ref="K135" si="10">J135</f>
        <v>0.6</v>
      </c>
      <c r="L135" s="1">
        <f t="shared" ref="L135" si="11">K135</f>
        <v>0.6</v>
      </c>
      <c r="M135" s="1">
        <f t="shared" ref="M135" si="12">L135</f>
        <v>0.6</v>
      </c>
      <c r="N135" s="1">
        <f t="shared" ref="N135" si="13">M135</f>
        <v>0.6</v>
      </c>
      <c r="O135" s="1">
        <f t="shared" ref="O135" si="14">N135</f>
        <v>0.6</v>
      </c>
      <c r="P135" s="1">
        <v>0.45</v>
      </c>
      <c r="Q135" s="1">
        <v>0.5</v>
      </c>
      <c r="R135" s="1">
        <v>0.45</v>
      </c>
      <c r="S135" s="1">
        <v>0.6</v>
      </c>
      <c r="T135" s="1">
        <f t="shared" ref="T135:T136" si="15">S135</f>
        <v>0.6</v>
      </c>
      <c r="U135" s="1">
        <v>0.45</v>
      </c>
      <c r="V135" s="1">
        <v>0.5</v>
      </c>
      <c r="W135" s="1">
        <v>0.45</v>
      </c>
      <c r="X135" s="1">
        <f t="shared" ref="X135" si="16">W135</f>
        <v>0.45</v>
      </c>
      <c r="Y135" s="1">
        <v>0.6</v>
      </c>
      <c r="Z135" s="1">
        <v>0.7</v>
      </c>
      <c r="AA135" s="1">
        <v>0.6</v>
      </c>
      <c r="AB135" s="1">
        <v>0.5</v>
      </c>
      <c r="AC135" s="1">
        <v>0.8</v>
      </c>
      <c r="AD135" s="1">
        <v>0.6</v>
      </c>
      <c r="AE135" s="1">
        <v>0.8</v>
      </c>
      <c r="AF135" s="1">
        <v>0.6</v>
      </c>
      <c r="AG135" s="1">
        <v>0.45</v>
      </c>
      <c r="AH135" s="1">
        <f t="shared" ref="AH135:AH136" si="17">AG135</f>
        <v>0.45</v>
      </c>
      <c r="AI135" s="1">
        <v>0.6</v>
      </c>
      <c r="AJ135" s="1">
        <f t="shared" ref="AJ135:AJ136" si="18">AI135</f>
        <v>0.6</v>
      </c>
      <c r="AK135" s="1">
        <v>0.45</v>
      </c>
      <c r="AL135" s="1">
        <v>0.6</v>
      </c>
      <c r="AM135" s="1">
        <v>0.45</v>
      </c>
      <c r="AN135" s="1">
        <v>0.6</v>
      </c>
      <c r="AO135" s="1">
        <v>0.45</v>
      </c>
      <c r="AP135" s="1">
        <v>0.6</v>
      </c>
      <c r="AQ135" s="1">
        <v>0.45</v>
      </c>
      <c r="AR135" s="1">
        <v>0.6</v>
      </c>
      <c r="AS135" s="1">
        <v>0.7</v>
      </c>
      <c r="AT135" s="1">
        <v>0.6</v>
      </c>
      <c r="AU135" s="1">
        <v>0.6</v>
      </c>
      <c r="AV135" s="1">
        <v>0.55000000000000004</v>
      </c>
      <c r="AW135" s="1">
        <v>0.6</v>
      </c>
      <c r="AX135" s="1">
        <f>AW135</f>
        <v>0.6</v>
      </c>
      <c r="AY135" s="1">
        <v>0.7</v>
      </c>
      <c r="AZ135" s="1">
        <f>AY135</f>
        <v>0.7</v>
      </c>
      <c r="BA135" s="1">
        <v>0.6</v>
      </c>
      <c r="BB135" s="1">
        <v>0.55000000000000004</v>
      </c>
      <c r="BC135" s="1">
        <v>0.45</v>
      </c>
      <c r="BD135" s="1">
        <f t="shared" ref="BD135:BN135" si="19">BC135</f>
        <v>0.45</v>
      </c>
      <c r="BE135" s="1">
        <f t="shared" si="19"/>
        <v>0.45</v>
      </c>
      <c r="BF135" s="1">
        <f t="shared" si="19"/>
        <v>0.45</v>
      </c>
      <c r="BG135" s="1">
        <v>0.6</v>
      </c>
      <c r="BH135" s="1">
        <f t="shared" si="19"/>
        <v>0.6</v>
      </c>
      <c r="BI135" s="1">
        <f t="shared" si="19"/>
        <v>0.6</v>
      </c>
      <c r="BJ135" s="1">
        <f t="shared" si="19"/>
        <v>0.6</v>
      </c>
      <c r="BK135" s="1">
        <v>0.65</v>
      </c>
      <c r="BL135" s="1">
        <v>0.6</v>
      </c>
      <c r="BM135" s="1">
        <f t="shared" si="19"/>
        <v>0.6</v>
      </c>
      <c r="BN135" s="1">
        <f t="shared" si="19"/>
        <v>0.6</v>
      </c>
      <c r="BO135" s="1">
        <f t="shared" ref="BO135:BP135" si="20">BN135</f>
        <v>0.6</v>
      </c>
      <c r="BP135" s="1">
        <f t="shared" si="20"/>
        <v>0.6</v>
      </c>
      <c r="BQ135"/>
    </row>
    <row r="136" spans="1:73" s="1" customFormat="1">
      <c r="A136" s="44" t="s">
        <v>166</v>
      </c>
      <c r="B136" s="1">
        <v>0.23</v>
      </c>
      <c r="C136" s="1">
        <v>0.3</v>
      </c>
      <c r="D136" s="1">
        <f>C136</f>
        <v>0.3</v>
      </c>
      <c r="E136" s="1">
        <f t="shared" si="4"/>
        <v>0.3</v>
      </c>
      <c r="F136" s="1">
        <f t="shared" si="5"/>
        <v>0.3</v>
      </c>
      <c r="G136" s="1">
        <f t="shared" si="6"/>
        <v>0.3</v>
      </c>
      <c r="H136" s="1">
        <f t="shared" si="7"/>
        <v>0.3</v>
      </c>
      <c r="I136" s="1">
        <f t="shared" ref="I136:J136" si="21">H136</f>
        <v>0.3</v>
      </c>
      <c r="J136" s="1">
        <f t="shared" si="21"/>
        <v>0.3</v>
      </c>
      <c r="K136" s="1">
        <f t="shared" ref="K136" si="22">J136</f>
        <v>0.3</v>
      </c>
      <c r="L136" s="1">
        <f t="shared" ref="L136" si="23">K136</f>
        <v>0.3</v>
      </c>
      <c r="M136" s="1">
        <f t="shared" ref="M136" si="24">L136</f>
        <v>0.3</v>
      </c>
      <c r="N136" s="1">
        <f t="shared" ref="N136" si="25">M136</f>
        <v>0.3</v>
      </c>
      <c r="O136" s="1">
        <f t="shared" ref="O136" si="26">N136</f>
        <v>0.3</v>
      </c>
      <c r="P136" s="1">
        <v>0.23</v>
      </c>
      <c r="Q136" s="1">
        <f t="shared" ref="Q136" si="27">P136</f>
        <v>0.23</v>
      </c>
      <c r="R136" s="1">
        <f t="shared" ref="R136" si="28">Q136</f>
        <v>0.23</v>
      </c>
      <c r="S136" s="1">
        <v>0.3</v>
      </c>
      <c r="T136" s="1">
        <f t="shared" si="15"/>
        <v>0.3</v>
      </c>
      <c r="U136" s="1">
        <v>0.23</v>
      </c>
      <c r="V136" s="1">
        <f t="shared" ref="V136" si="29">U136</f>
        <v>0.23</v>
      </c>
      <c r="W136" s="1">
        <f t="shared" ref="W136" si="30">V136</f>
        <v>0.23</v>
      </c>
      <c r="X136" s="1">
        <v>0.23</v>
      </c>
      <c r="Y136" s="1">
        <v>0.3</v>
      </c>
      <c r="Z136" s="1">
        <v>0.3</v>
      </c>
      <c r="AA136" s="1">
        <v>0.23</v>
      </c>
      <c r="AB136" s="1">
        <f t="shared" ref="AB136" si="31">AA136</f>
        <v>0.23</v>
      </c>
      <c r="AC136" s="1">
        <v>0.3</v>
      </c>
      <c r="AD136" s="1">
        <f t="shared" ref="AD136" si="32">AC136</f>
        <v>0.3</v>
      </c>
      <c r="AE136" s="1">
        <f t="shared" ref="AE136" si="33">AD136</f>
        <v>0.3</v>
      </c>
      <c r="AF136" s="1">
        <f t="shared" ref="AF136" si="34">AE136</f>
        <v>0.3</v>
      </c>
      <c r="AG136" s="1">
        <v>0.23</v>
      </c>
      <c r="AH136" s="1">
        <f t="shared" si="17"/>
        <v>0.23</v>
      </c>
      <c r="AI136" s="1">
        <v>0.3</v>
      </c>
      <c r="AJ136" s="1">
        <f t="shared" si="18"/>
        <v>0.3</v>
      </c>
      <c r="AK136" s="1">
        <v>0.23</v>
      </c>
      <c r="AL136" s="1">
        <v>0.3</v>
      </c>
      <c r="AM136" s="1">
        <v>0.23</v>
      </c>
      <c r="AN136" s="1">
        <v>0.3</v>
      </c>
      <c r="AO136" s="1">
        <v>0.23</v>
      </c>
      <c r="AP136" s="1">
        <v>0.3</v>
      </c>
      <c r="AQ136" s="1">
        <v>0.23</v>
      </c>
      <c r="AR136" s="1">
        <v>0.3</v>
      </c>
      <c r="AS136" s="1">
        <v>0.23</v>
      </c>
      <c r="AT136" s="1">
        <f t="shared" ref="AT136" si="35">AS136</f>
        <v>0.23</v>
      </c>
      <c r="AU136" s="1">
        <v>0.3</v>
      </c>
      <c r="AV136" s="1">
        <v>0.23</v>
      </c>
      <c r="AW136" s="1">
        <v>0.3</v>
      </c>
      <c r="AX136" s="1">
        <v>0.3</v>
      </c>
      <c r="AY136" s="1">
        <v>0.3</v>
      </c>
      <c r="AZ136" s="1">
        <f>AY136</f>
        <v>0.3</v>
      </c>
      <c r="BA136" s="1">
        <f t="shared" ref="BA136:BN136" si="36">AZ136</f>
        <v>0.3</v>
      </c>
      <c r="BB136" s="1">
        <v>0.23</v>
      </c>
      <c r="BC136" s="1">
        <f t="shared" si="36"/>
        <v>0.23</v>
      </c>
      <c r="BD136" s="1">
        <f t="shared" si="36"/>
        <v>0.23</v>
      </c>
      <c r="BE136" s="1">
        <f t="shared" si="36"/>
        <v>0.23</v>
      </c>
      <c r="BF136" s="1">
        <f t="shared" si="36"/>
        <v>0.23</v>
      </c>
      <c r="BG136" s="1">
        <v>0.3</v>
      </c>
      <c r="BH136" s="1">
        <f t="shared" si="36"/>
        <v>0.3</v>
      </c>
      <c r="BI136" s="1">
        <f t="shared" si="36"/>
        <v>0.3</v>
      </c>
      <c r="BJ136" s="1">
        <f t="shared" si="36"/>
        <v>0.3</v>
      </c>
      <c r="BK136" s="1">
        <f t="shared" si="36"/>
        <v>0.3</v>
      </c>
      <c r="BL136" s="1">
        <f t="shared" si="36"/>
        <v>0.3</v>
      </c>
      <c r="BM136" s="1">
        <f t="shared" si="36"/>
        <v>0.3</v>
      </c>
      <c r="BN136" s="1">
        <f t="shared" si="36"/>
        <v>0.3</v>
      </c>
      <c r="BO136" s="1">
        <f t="shared" ref="BO136:BP136" si="37">BN136</f>
        <v>0.3</v>
      </c>
      <c r="BP136" s="1">
        <f t="shared" si="37"/>
        <v>0.3</v>
      </c>
      <c r="BQ136"/>
    </row>
    <row r="137" spans="1:73" s="1" customFormat="1">
      <c r="A137" s="44"/>
      <c r="B137" s="8">
        <f t="shared" ref="B137:R137" si="38">B134*B135*B136</f>
        <v>0.97600500000000001</v>
      </c>
      <c r="C137" s="8">
        <f t="shared" si="38"/>
        <v>1.494</v>
      </c>
      <c r="D137" s="8">
        <f t="shared" si="38"/>
        <v>1.3679999999999999</v>
      </c>
      <c r="E137" s="8">
        <f t="shared" si="38"/>
        <v>2.0843999999999996</v>
      </c>
      <c r="F137" s="8">
        <f t="shared" si="38"/>
        <v>1.7999999999999998</v>
      </c>
      <c r="G137" s="8">
        <f t="shared" si="38"/>
        <v>1.9745999999999999</v>
      </c>
      <c r="H137" s="8">
        <f t="shared" si="38"/>
        <v>0.68759999999999988</v>
      </c>
      <c r="I137" s="8">
        <f t="shared" si="38"/>
        <v>1.17</v>
      </c>
      <c r="J137" s="8">
        <f t="shared" si="38"/>
        <v>2.0843999999999996</v>
      </c>
      <c r="K137" s="8">
        <f t="shared" si="38"/>
        <v>1.1573999999999998</v>
      </c>
      <c r="L137" s="8">
        <f t="shared" si="38"/>
        <v>0.97199999999999998</v>
      </c>
      <c r="M137" s="8">
        <f t="shared" si="38"/>
        <v>2.9339999999999997</v>
      </c>
      <c r="N137" s="8">
        <f t="shared" si="38"/>
        <v>1.1501999999999999</v>
      </c>
      <c r="O137" s="8">
        <f t="shared" si="38"/>
        <v>0.79200000000000004</v>
      </c>
      <c r="P137" s="8">
        <f t="shared" si="38"/>
        <v>0.30532500000000007</v>
      </c>
      <c r="Q137" s="8">
        <f t="shared" si="38"/>
        <v>0.58765000000000012</v>
      </c>
      <c r="R137" s="8">
        <f t="shared" si="38"/>
        <v>0.41400000000000003</v>
      </c>
      <c r="S137" s="8">
        <f t="shared" ref="S137:AN137" si="39">S134*S135*S136</f>
        <v>1.1501999999999999</v>
      </c>
      <c r="T137" s="8">
        <f t="shared" si="39"/>
        <v>0.91980000000000006</v>
      </c>
      <c r="U137" s="8">
        <f t="shared" si="39"/>
        <v>0.55890000000000006</v>
      </c>
      <c r="V137" s="8">
        <f t="shared" si="39"/>
        <v>1.8745000000000001</v>
      </c>
      <c r="W137" s="8">
        <f t="shared" si="39"/>
        <v>0.30532500000000007</v>
      </c>
      <c r="X137" s="8">
        <f t="shared" si="39"/>
        <v>0.55890000000000006</v>
      </c>
      <c r="Y137" s="8">
        <f t="shared" si="39"/>
        <v>0.26999999999999996</v>
      </c>
      <c r="Z137" s="8">
        <f t="shared" si="39"/>
        <v>2.9609999999999999</v>
      </c>
      <c r="AA137" s="8">
        <f t="shared" si="39"/>
        <v>1.242</v>
      </c>
      <c r="AB137" s="8">
        <f t="shared" si="39"/>
        <v>0.83950000000000002</v>
      </c>
      <c r="AC137" s="8">
        <f t="shared" si="39"/>
        <v>1.008</v>
      </c>
      <c r="AD137" s="8">
        <f t="shared" si="39"/>
        <v>3.2219999999999995</v>
      </c>
      <c r="AE137" s="8">
        <f t="shared" si="39"/>
        <v>2.5680000000000001</v>
      </c>
      <c r="AF137" s="8">
        <f t="shared" si="39"/>
        <v>1.5299999999999998</v>
      </c>
      <c r="AG137" s="8">
        <f t="shared" si="39"/>
        <v>0.26910000000000006</v>
      </c>
      <c r="AH137" s="8">
        <f t="shared" si="39"/>
        <v>0.30532500000000007</v>
      </c>
      <c r="AI137" s="8">
        <f t="shared" si="39"/>
        <v>0.75600000000000001</v>
      </c>
      <c r="AJ137" s="8">
        <f t="shared" si="39"/>
        <v>1.494</v>
      </c>
      <c r="AK137" s="8">
        <f t="shared" si="39"/>
        <v>0.6624000000000001</v>
      </c>
      <c r="AL137" s="8">
        <f t="shared" si="39"/>
        <v>1.3104</v>
      </c>
      <c r="AM137" s="8">
        <f t="shared" si="39"/>
        <v>0.23804999999999998</v>
      </c>
      <c r="AN137" s="8">
        <f t="shared" si="39"/>
        <v>1.4039999999999999</v>
      </c>
      <c r="AO137" s="8">
        <f t="shared" ref="AO137:AS137" si="40">AO134*AO135*AO136</f>
        <v>0.30532500000000007</v>
      </c>
      <c r="AP137" s="8">
        <f t="shared" si="40"/>
        <v>0.75420000000000009</v>
      </c>
      <c r="AQ137" s="8">
        <f t="shared" si="40"/>
        <v>0.37570500000000001</v>
      </c>
      <c r="AR137" s="8">
        <f t="shared" si="40"/>
        <v>0.7649999999999999</v>
      </c>
      <c r="AS137" s="8">
        <f t="shared" si="40"/>
        <v>3.1073</v>
      </c>
      <c r="AT137" s="8">
        <f t="shared" ref="AT137:AW137" si="41">AT134*AT135*AT136</f>
        <v>0.51060000000000005</v>
      </c>
      <c r="AU137" s="8">
        <f t="shared" si="41"/>
        <v>0.30599999999999999</v>
      </c>
      <c r="AV137" s="8">
        <f t="shared" si="41"/>
        <v>0.84755000000000014</v>
      </c>
      <c r="AW137" s="8">
        <f t="shared" si="41"/>
        <v>1.3644000000000001</v>
      </c>
      <c r="AX137" s="8">
        <f t="shared" ref="AX137:BP137" si="42">AX134*AX135*AX136</f>
        <v>1.0349999999999999</v>
      </c>
      <c r="AY137" s="8">
        <f t="shared" si="42"/>
        <v>3.0302999999999995</v>
      </c>
      <c r="AZ137" s="8">
        <f t="shared" si="42"/>
        <v>2.4149999999999996</v>
      </c>
      <c r="BA137" s="8">
        <f t="shared" si="42"/>
        <v>1.6163999999999998</v>
      </c>
      <c r="BB137" s="8">
        <f t="shared" si="42"/>
        <v>1.3788500000000004</v>
      </c>
      <c r="BC137" s="8">
        <f t="shared" si="42"/>
        <v>0.44401500000000005</v>
      </c>
      <c r="BD137" s="8">
        <f t="shared" si="42"/>
        <v>1.0660500000000002</v>
      </c>
      <c r="BE137" s="8">
        <f t="shared" si="42"/>
        <v>1.0846800000000001</v>
      </c>
      <c r="BF137" s="8">
        <f t="shared" si="42"/>
        <v>0.43780500000000006</v>
      </c>
      <c r="BG137" s="8">
        <f t="shared" si="42"/>
        <v>2.8997999999999995</v>
      </c>
      <c r="BH137" s="8">
        <f t="shared" si="42"/>
        <v>1.8719999999999999</v>
      </c>
      <c r="BI137" s="8">
        <f t="shared" si="42"/>
        <v>0.99179999999999979</v>
      </c>
      <c r="BJ137" s="8">
        <f t="shared" si="42"/>
        <v>0.94140000000000001</v>
      </c>
      <c r="BK137" s="8">
        <f t="shared" si="42"/>
        <v>3.84735</v>
      </c>
      <c r="BL137" s="8">
        <f t="shared" si="42"/>
        <v>0.99179999999999979</v>
      </c>
      <c r="BM137" s="8">
        <f t="shared" si="42"/>
        <v>4.4621999999999993</v>
      </c>
      <c r="BN137" s="8">
        <f t="shared" si="42"/>
        <v>1.8719999999999999</v>
      </c>
      <c r="BO137" s="8">
        <f t="shared" si="42"/>
        <v>0.75600000000000001</v>
      </c>
      <c r="BP137" s="8">
        <f t="shared" si="42"/>
        <v>0.65339999999999998</v>
      </c>
      <c r="BQ137"/>
      <c r="BR137" s="8"/>
      <c r="BS137" s="8"/>
      <c r="BT137" s="8"/>
      <c r="BU137" s="8"/>
    </row>
    <row r="138" spans="1:73" s="1" customFormat="1" ht="15.75" thickBot="1"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pans="1:73" s="1" customFormat="1" ht="19.5" thickBot="1">
      <c r="B139" s="203" t="s">
        <v>307</v>
      </c>
      <c r="C139" s="203"/>
      <c r="D139" s="203"/>
      <c r="E139" s="203"/>
      <c r="F139" s="50">
        <f>ROUNDUP(SUM(B144:BP144)*2,0)</f>
        <v>1538</v>
      </c>
      <c r="G139" s="55"/>
      <c r="I139" s="4"/>
      <c r="BQ139"/>
      <c r="BR139"/>
      <c r="BS139"/>
      <c r="BT139"/>
      <c r="BU139"/>
    </row>
    <row r="140" spans="1:73" s="1" customFormat="1">
      <c r="B140" s="1" t="str">
        <f>B133</f>
        <v>BM 1</v>
      </c>
      <c r="C140" s="1" t="str">
        <f t="shared" ref="C140:BN140" si="43">C133</f>
        <v>BM 2</v>
      </c>
      <c r="D140" s="1" t="str">
        <f t="shared" si="43"/>
        <v>BM 3</v>
      </c>
      <c r="E140" s="1" t="str">
        <f t="shared" si="43"/>
        <v>BM 4</v>
      </c>
      <c r="F140" s="1" t="str">
        <f t="shared" si="43"/>
        <v>BM 5</v>
      </c>
      <c r="G140" s="1" t="str">
        <f t="shared" si="43"/>
        <v>BM 6</v>
      </c>
      <c r="H140" s="1" t="str">
        <f t="shared" si="43"/>
        <v>BM 7</v>
      </c>
      <c r="I140" s="1" t="str">
        <f t="shared" si="43"/>
        <v>BM 8</v>
      </c>
      <c r="J140" s="1" t="str">
        <f t="shared" si="43"/>
        <v>BM 9</v>
      </c>
      <c r="K140" s="1" t="str">
        <f t="shared" si="43"/>
        <v>BM 10</v>
      </c>
      <c r="L140" s="1" t="str">
        <f t="shared" si="43"/>
        <v>BM 11</v>
      </c>
      <c r="M140" s="1" t="str">
        <f t="shared" si="43"/>
        <v>BM 12</v>
      </c>
      <c r="N140" s="1" t="str">
        <f t="shared" si="43"/>
        <v>BM 13</v>
      </c>
      <c r="O140" s="1" t="str">
        <f t="shared" si="43"/>
        <v>BM 14</v>
      </c>
      <c r="P140" s="1" t="str">
        <f t="shared" si="43"/>
        <v>BM 15</v>
      </c>
      <c r="Q140" s="1" t="str">
        <f t="shared" si="43"/>
        <v>BM 16</v>
      </c>
      <c r="R140" s="1" t="str">
        <f t="shared" si="43"/>
        <v>BM 17</v>
      </c>
      <c r="S140" s="1" t="str">
        <f t="shared" si="43"/>
        <v>BM 18</v>
      </c>
      <c r="T140" s="1" t="str">
        <f t="shared" si="43"/>
        <v>BM 19</v>
      </c>
      <c r="U140" s="1" t="str">
        <f t="shared" si="43"/>
        <v>BM 20</v>
      </c>
      <c r="V140" s="1" t="str">
        <f t="shared" si="43"/>
        <v>BM 21</v>
      </c>
      <c r="W140" s="1" t="str">
        <f t="shared" si="43"/>
        <v>BM 22</v>
      </c>
      <c r="X140" s="1" t="str">
        <f t="shared" si="43"/>
        <v>BM 23</v>
      </c>
      <c r="Y140" s="1" t="str">
        <f t="shared" si="43"/>
        <v>BM 24</v>
      </c>
      <c r="Z140" s="1" t="str">
        <f t="shared" si="43"/>
        <v>BM 25</v>
      </c>
      <c r="AA140" s="1" t="str">
        <f t="shared" si="43"/>
        <v>BM 26</v>
      </c>
      <c r="AB140" s="1" t="str">
        <f t="shared" si="43"/>
        <v>BM 27</v>
      </c>
      <c r="AC140" s="1" t="str">
        <f t="shared" si="43"/>
        <v>BM 28</v>
      </c>
      <c r="AD140" s="1" t="str">
        <f t="shared" si="43"/>
        <v>BM 29</v>
      </c>
      <c r="AE140" s="1" t="str">
        <f t="shared" si="43"/>
        <v>BM 30</v>
      </c>
      <c r="AF140" s="1" t="str">
        <f t="shared" si="43"/>
        <v>BM 31</v>
      </c>
      <c r="AG140" s="1" t="str">
        <f t="shared" si="43"/>
        <v>BM 32</v>
      </c>
      <c r="AH140" s="1" t="str">
        <f t="shared" si="43"/>
        <v>BM 33</v>
      </c>
      <c r="AI140" s="1" t="str">
        <f t="shared" si="43"/>
        <v>BM 34</v>
      </c>
      <c r="AJ140" s="1" t="str">
        <f t="shared" si="43"/>
        <v>BM 35</v>
      </c>
      <c r="AK140" s="1" t="str">
        <f t="shared" si="43"/>
        <v>BM 36</v>
      </c>
      <c r="AL140" s="1" t="str">
        <f t="shared" si="43"/>
        <v>BM 37</v>
      </c>
      <c r="AM140" s="1" t="str">
        <f t="shared" si="43"/>
        <v>BM 38</v>
      </c>
      <c r="AN140" s="1" t="str">
        <f t="shared" si="43"/>
        <v>BM 39</v>
      </c>
      <c r="AO140" s="1" t="str">
        <f t="shared" si="43"/>
        <v>BM 40</v>
      </c>
      <c r="AP140" s="1" t="str">
        <f t="shared" si="43"/>
        <v>BM 41</v>
      </c>
      <c r="AQ140" s="1" t="str">
        <f t="shared" si="43"/>
        <v>BM 42</v>
      </c>
      <c r="AR140" s="1" t="str">
        <f t="shared" si="43"/>
        <v>BM 43</v>
      </c>
      <c r="AS140" s="1" t="str">
        <f t="shared" si="43"/>
        <v>BM 44</v>
      </c>
      <c r="AT140" s="1" t="str">
        <f t="shared" si="43"/>
        <v>BM 45</v>
      </c>
      <c r="AU140" s="1" t="str">
        <f t="shared" si="43"/>
        <v>BM 46</v>
      </c>
      <c r="AV140" s="1" t="str">
        <f t="shared" si="43"/>
        <v>BM 47</v>
      </c>
      <c r="AW140" s="1" t="str">
        <f t="shared" si="43"/>
        <v>BM 48</v>
      </c>
      <c r="AX140" s="1" t="str">
        <f t="shared" si="43"/>
        <v>BM 49</v>
      </c>
      <c r="AY140" s="1" t="str">
        <f t="shared" si="43"/>
        <v>BM 50</v>
      </c>
      <c r="AZ140" s="1" t="str">
        <f t="shared" si="43"/>
        <v>BM 51</v>
      </c>
      <c r="BA140" s="1" t="str">
        <f t="shared" si="43"/>
        <v>BM 52</v>
      </c>
      <c r="BB140" s="1" t="str">
        <f t="shared" si="43"/>
        <v>BM 53</v>
      </c>
      <c r="BC140" s="1" t="str">
        <f t="shared" si="43"/>
        <v>BM 54</v>
      </c>
      <c r="BD140" s="1" t="str">
        <f t="shared" si="43"/>
        <v>BM 55</v>
      </c>
      <c r="BE140" s="1" t="str">
        <f t="shared" si="43"/>
        <v>BM 56</v>
      </c>
      <c r="BF140" s="1" t="str">
        <f t="shared" si="43"/>
        <v>BM 57</v>
      </c>
      <c r="BG140" s="1" t="str">
        <f t="shared" si="43"/>
        <v>BM 58</v>
      </c>
      <c r="BH140" s="1" t="str">
        <f t="shared" si="43"/>
        <v>BM 59</v>
      </c>
      <c r="BI140" s="1" t="str">
        <f t="shared" si="43"/>
        <v>BM 60</v>
      </c>
      <c r="BJ140" s="1" t="str">
        <f t="shared" si="43"/>
        <v>BM 61</v>
      </c>
      <c r="BK140" s="1" t="str">
        <f t="shared" si="43"/>
        <v>BM 62</v>
      </c>
      <c r="BL140" s="1" t="str">
        <f t="shared" si="43"/>
        <v>BM 63</v>
      </c>
      <c r="BM140" s="1" t="str">
        <f t="shared" si="43"/>
        <v>BM 64</v>
      </c>
      <c r="BN140" s="1" t="str">
        <f t="shared" si="43"/>
        <v>BM 65</v>
      </c>
      <c r="BO140" s="1" t="str">
        <f t="shared" ref="BO140:BP140" si="44">BO133</f>
        <v>BM 66</v>
      </c>
      <c r="BP140" s="1" t="str">
        <f t="shared" si="44"/>
        <v>BM 67</v>
      </c>
      <c r="BQ140"/>
      <c r="BR140"/>
      <c r="BS140"/>
      <c r="BT140"/>
      <c r="BU140"/>
    </row>
    <row r="141" spans="1:73" s="44" customFormat="1">
      <c r="A141" s="44" t="str">
        <f>A134</f>
        <v>length</v>
      </c>
      <c r="B141" s="1">
        <f t="shared" ref="B141" si="45">B134</f>
        <v>9.43</v>
      </c>
      <c r="C141" s="1">
        <f t="shared" ref="C141:BN141" si="46">C134</f>
        <v>8.3000000000000007</v>
      </c>
      <c r="D141" s="1">
        <f t="shared" si="46"/>
        <v>7.6</v>
      </c>
      <c r="E141" s="1">
        <f t="shared" si="46"/>
        <v>11.58</v>
      </c>
      <c r="F141" s="1">
        <f t="shared" si="46"/>
        <v>10</v>
      </c>
      <c r="G141" s="1">
        <f t="shared" si="46"/>
        <v>10.97</v>
      </c>
      <c r="H141" s="1">
        <f t="shared" si="46"/>
        <v>3.82</v>
      </c>
      <c r="I141" s="1">
        <f t="shared" si="46"/>
        <v>6.5</v>
      </c>
      <c r="J141" s="1">
        <f t="shared" si="46"/>
        <v>11.58</v>
      </c>
      <c r="K141" s="1">
        <f t="shared" si="46"/>
        <v>6.43</v>
      </c>
      <c r="L141" s="1">
        <f t="shared" si="46"/>
        <v>5.4</v>
      </c>
      <c r="M141" s="1">
        <f t="shared" si="46"/>
        <v>16.3</v>
      </c>
      <c r="N141" s="1">
        <f t="shared" si="46"/>
        <v>6.39</v>
      </c>
      <c r="O141" s="1">
        <f t="shared" si="46"/>
        <v>4.4000000000000004</v>
      </c>
      <c r="P141" s="1">
        <f t="shared" si="46"/>
        <v>2.95</v>
      </c>
      <c r="Q141" s="1">
        <f t="shared" si="46"/>
        <v>5.1100000000000003</v>
      </c>
      <c r="R141" s="1">
        <f t="shared" si="46"/>
        <v>4</v>
      </c>
      <c r="S141" s="1">
        <f t="shared" si="46"/>
        <v>6.39</v>
      </c>
      <c r="T141" s="1">
        <f t="shared" si="46"/>
        <v>5.1100000000000003</v>
      </c>
      <c r="U141" s="1">
        <f t="shared" si="46"/>
        <v>5.4</v>
      </c>
      <c r="V141" s="1">
        <f t="shared" si="46"/>
        <v>16.3</v>
      </c>
      <c r="W141" s="1">
        <f t="shared" si="46"/>
        <v>2.95</v>
      </c>
      <c r="X141" s="1">
        <f t="shared" si="46"/>
        <v>5.4</v>
      </c>
      <c r="Y141" s="1">
        <f t="shared" si="46"/>
        <v>1.5</v>
      </c>
      <c r="Z141" s="1">
        <f t="shared" si="46"/>
        <v>14.1</v>
      </c>
      <c r="AA141" s="1">
        <f t="shared" si="46"/>
        <v>9</v>
      </c>
      <c r="AB141" s="1">
        <f t="shared" si="46"/>
        <v>7.3</v>
      </c>
      <c r="AC141" s="1">
        <f t="shared" si="46"/>
        <v>4.2</v>
      </c>
      <c r="AD141" s="1">
        <f t="shared" si="46"/>
        <v>17.899999999999999</v>
      </c>
      <c r="AE141" s="1">
        <f t="shared" si="46"/>
        <v>10.7</v>
      </c>
      <c r="AF141" s="1">
        <f t="shared" si="46"/>
        <v>8.5</v>
      </c>
      <c r="AG141" s="1">
        <f t="shared" si="46"/>
        <v>2.6</v>
      </c>
      <c r="AH141" s="1">
        <f t="shared" si="46"/>
        <v>2.95</v>
      </c>
      <c r="AI141" s="1">
        <f t="shared" si="46"/>
        <v>4.2</v>
      </c>
      <c r="AJ141" s="1">
        <f t="shared" si="46"/>
        <v>8.3000000000000007</v>
      </c>
      <c r="AK141" s="1">
        <f t="shared" si="46"/>
        <v>6.4</v>
      </c>
      <c r="AL141" s="1">
        <f t="shared" si="46"/>
        <v>7.28</v>
      </c>
      <c r="AM141" s="1">
        <f t="shared" si="46"/>
        <v>2.2999999999999998</v>
      </c>
      <c r="AN141" s="1">
        <f t="shared" si="46"/>
        <v>7.8</v>
      </c>
      <c r="AO141" s="1">
        <f t="shared" si="46"/>
        <v>2.95</v>
      </c>
      <c r="AP141" s="1">
        <f t="shared" si="46"/>
        <v>4.1900000000000004</v>
      </c>
      <c r="AQ141" s="1">
        <f t="shared" si="46"/>
        <v>3.63</v>
      </c>
      <c r="AR141" s="1">
        <f t="shared" si="46"/>
        <v>4.25</v>
      </c>
      <c r="AS141" s="1">
        <f t="shared" si="46"/>
        <v>19.3</v>
      </c>
      <c r="AT141" s="1">
        <f t="shared" si="46"/>
        <v>3.7</v>
      </c>
      <c r="AU141" s="1">
        <f t="shared" si="46"/>
        <v>1.7</v>
      </c>
      <c r="AV141" s="1">
        <f t="shared" si="46"/>
        <v>6.7</v>
      </c>
      <c r="AW141" s="1">
        <f t="shared" si="46"/>
        <v>7.58</v>
      </c>
      <c r="AX141" s="1">
        <f t="shared" si="46"/>
        <v>5.75</v>
      </c>
      <c r="AY141" s="1">
        <f t="shared" si="46"/>
        <v>14.43</v>
      </c>
      <c r="AZ141" s="1">
        <f t="shared" si="46"/>
        <v>11.5</v>
      </c>
      <c r="BA141" s="1">
        <f t="shared" si="46"/>
        <v>8.98</v>
      </c>
      <c r="BB141" s="1">
        <f t="shared" si="46"/>
        <v>10.9</v>
      </c>
      <c r="BC141" s="1">
        <f t="shared" si="46"/>
        <v>4.29</v>
      </c>
      <c r="BD141" s="1">
        <f t="shared" si="46"/>
        <v>10.3</v>
      </c>
      <c r="BE141" s="1">
        <f t="shared" si="46"/>
        <v>10.48</v>
      </c>
      <c r="BF141" s="1">
        <f t="shared" si="46"/>
        <v>4.2300000000000004</v>
      </c>
      <c r="BG141" s="1">
        <f t="shared" si="46"/>
        <v>16.11</v>
      </c>
      <c r="BH141" s="1">
        <f t="shared" si="46"/>
        <v>10.4</v>
      </c>
      <c r="BI141" s="1">
        <f t="shared" si="46"/>
        <v>5.51</v>
      </c>
      <c r="BJ141" s="1">
        <f t="shared" si="46"/>
        <v>5.23</v>
      </c>
      <c r="BK141" s="1">
        <f t="shared" si="46"/>
        <v>19.73</v>
      </c>
      <c r="BL141" s="1">
        <f t="shared" si="46"/>
        <v>5.51</v>
      </c>
      <c r="BM141" s="1">
        <f t="shared" si="46"/>
        <v>24.79</v>
      </c>
      <c r="BN141" s="1">
        <f t="shared" si="46"/>
        <v>10.4</v>
      </c>
      <c r="BO141" s="1">
        <f t="shared" ref="BO141:BP141" si="47">BO134</f>
        <v>4.2</v>
      </c>
      <c r="BP141" s="1">
        <f t="shared" si="47"/>
        <v>3.63</v>
      </c>
      <c r="BQ141"/>
    </row>
    <row r="142" spans="1:73" s="1" customFormat="1">
      <c r="A142" s="44" t="str">
        <f>A135</f>
        <v>depth</v>
      </c>
      <c r="B142" s="1">
        <f t="shared" ref="B142" si="48">B135</f>
        <v>0.45</v>
      </c>
      <c r="C142" s="1">
        <f t="shared" ref="C142:BN142" si="49">C135</f>
        <v>0.6</v>
      </c>
      <c r="D142" s="1">
        <f t="shared" si="49"/>
        <v>0.6</v>
      </c>
      <c r="E142" s="1">
        <f t="shared" si="49"/>
        <v>0.6</v>
      </c>
      <c r="F142" s="1">
        <f t="shared" si="49"/>
        <v>0.6</v>
      </c>
      <c r="G142" s="1">
        <f t="shared" si="49"/>
        <v>0.6</v>
      </c>
      <c r="H142" s="1">
        <f t="shared" si="49"/>
        <v>0.6</v>
      </c>
      <c r="I142" s="1">
        <f t="shared" si="49"/>
        <v>0.6</v>
      </c>
      <c r="J142" s="1">
        <f t="shared" si="49"/>
        <v>0.6</v>
      </c>
      <c r="K142" s="1">
        <f t="shared" si="49"/>
        <v>0.6</v>
      </c>
      <c r="L142" s="1">
        <f t="shared" si="49"/>
        <v>0.6</v>
      </c>
      <c r="M142" s="1">
        <f t="shared" si="49"/>
        <v>0.6</v>
      </c>
      <c r="N142" s="1">
        <f t="shared" si="49"/>
        <v>0.6</v>
      </c>
      <c r="O142" s="1">
        <f t="shared" si="49"/>
        <v>0.6</v>
      </c>
      <c r="P142" s="1">
        <f t="shared" si="49"/>
        <v>0.45</v>
      </c>
      <c r="Q142" s="1">
        <f t="shared" si="49"/>
        <v>0.5</v>
      </c>
      <c r="R142" s="1">
        <f t="shared" si="49"/>
        <v>0.45</v>
      </c>
      <c r="S142" s="1">
        <f t="shared" si="49"/>
        <v>0.6</v>
      </c>
      <c r="T142" s="1">
        <f t="shared" si="49"/>
        <v>0.6</v>
      </c>
      <c r="U142" s="1">
        <f t="shared" si="49"/>
        <v>0.45</v>
      </c>
      <c r="V142" s="1">
        <f t="shared" si="49"/>
        <v>0.5</v>
      </c>
      <c r="W142" s="1">
        <f t="shared" si="49"/>
        <v>0.45</v>
      </c>
      <c r="X142" s="1">
        <f t="shared" si="49"/>
        <v>0.45</v>
      </c>
      <c r="Y142" s="1">
        <f t="shared" si="49"/>
        <v>0.6</v>
      </c>
      <c r="Z142" s="1">
        <f t="shared" si="49"/>
        <v>0.7</v>
      </c>
      <c r="AA142" s="1">
        <f t="shared" si="49"/>
        <v>0.6</v>
      </c>
      <c r="AB142" s="1">
        <f t="shared" si="49"/>
        <v>0.5</v>
      </c>
      <c r="AC142" s="1">
        <f t="shared" si="49"/>
        <v>0.8</v>
      </c>
      <c r="AD142" s="1">
        <f t="shared" si="49"/>
        <v>0.6</v>
      </c>
      <c r="AE142" s="1">
        <f t="shared" si="49"/>
        <v>0.8</v>
      </c>
      <c r="AF142" s="1">
        <f t="shared" si="49"/>
        <v>0.6</v>
      </c>
      <c r="AG142" s="1">
        <f t="shared" si="49"/>
        <v>0.45</v>
      </c>
      <c r="AH142" s="1">
        <f t="shared" si="49"/>
        <v>0.45</v>
      </c>
      <c r="AI142" s="1">
        <f t="shared" si="49"/>
        <v>0.6</v>
      </c>
      <c r="AJ142" s="1">
        <f t="shared" si="49"/>
        <v>0.6</v>
      </c>
      <c r="AK142" s="1">
        <f t="shared" si="49"/>
        <v>0.45</v>
      </c>
      <c r="AL142" s="1">
        <f t="shared" si="49"/>
        <v>0.6</v>
      </c>
      <c r="AM142" s="1">
        <f t="shared" si="49"/>
        <v>0.45</v>
      </c>
      <c r="AN142" s="1">
        <f t="shared" si="49"/>
        <v>0.6</v>
      </c>
      <c r="AO142" s="1">
        <f t="shared" si="49"/>
        <v>0.45</v>
      </c>
      <c r="AP142" s="1">
        <f t="shared" si="49"/>
        <v>0.6</v>
      </c>
      <c r="AQ142" s="1">
        <f t="shared" si="49"/>
        <v>0.45</v>
      </c>
      <c r="AR142" s="1">
        <f t="shared" si="49"/>
        <v>0.6</v>
      </c>
      <c r="AS142" s="1">
        <f t="shared" si="49"/>
        <v>0.7</v>
      </c>
      <c r="AT142" s="1">
        <f t="shared" si="49"/>
        <v>0.6</v>
      </c>
      <c r="AU142" s="1">
        <f t="shared" si="49"/>
        <v>0.6</v>
      </c>
      <c r="AV142" s="1">
        <f t="shared" si="49"/>
        <v>0.55000000000000004</v>
      </c>
      <c r="AW142" s="1">
        <f t="shared" si="49"/>
        <v>0.6</v>
      </c>
      <c r="AX142" s="1">
        <f t="shared" si="49"/>
        <v>0.6</v>
      </c>
      <c r="AY142" s="1">
        <f t="shared" si="49"/>
        <v>0.7</v>
      </c>
      <c r="AZ142" s="1">
        <f t="shared" si="49"/>
        <v>0.7</v>
      </c>
      <c r="BA142" s="1">
        <f t="shared" si="49"/>
        <v>0.6</v>
      </c>
      <c r="BB142" s="1">
        <f t="shared" si="49"/>
        <v>0.55000000000000004</v>
      </c>
      <c r="BC142" s="1">
        <f t="shared" si="49"/>
        <v>0.45</v>
      </c>
      <c r="BD142" s="1">
        <f t="shared" si="49"/>
        <v>0.45</v>
      </c>
      <c r="BE142" s="1">
        <f t="shared" si="49"/>
        <v>0.45</v>
      </c>
      <c r="BF142" s="1">
        <f t="shared" si="49"/>
        <v>0.45</v>
      </c>
      <c r="BG142" s="1">
        <f t="shared" si="49"/>
        <v>0.6</v>
      </c>
      <c r="BH142" s="1">
        <f t="shared" si="49"/>
        <v>0.6</v>
      </c>
      <c r="BI142" s="1">
        <f t="shared" si="49"/>
        <v>0.6</v>
      </c>
      <c r="BJ142" s="1">
        <f t="shared" si="49"/>
        <v>0.6</v>
      </c>
      <c r="BK142" s="1">
        <f t="shared" si="49"/>
        <v>0.65</v>
      </c>
      <c r="BL142" s="1">
        <f t="shared" si="49"/>
        <v>0.6</v>
      </c>
      <c r="BM142" s="1">
        <f t="shared" si="49"/>
        <v>0.6</v>
      </c>
      <c r="BN142" s="1">
        <f t="shared" si="49"/>
        <v>0.6</v>
      </c>
      <c r="BO142" s="1">
        <f t="shared" ref="BO142:BP142" si="50">BO135</f>
        <v>0.6</v>
      </c>
      <c r="BP142" s="1">
        <f t="shared" si="50"/>
        <v>0.6</v>
      </c>
      <c r="BQ142"/>
      <c r="BR142"/>
      <c r="BS142"/>
      <c r="BT142"/>
      <c r="BU142"/>
    </row>
    <row r="143" spans="1:73" s="1" customFormat="1">
      <c r="A143" s="44" t="str">
        <f>A136</f>
        <v>width</v>
      </c>
      <c r="B143" s="1">
        <f t="shared" ref="B143" si="51">B136</f>
        <v>0.23</v>
      </c>
      <c r="C143" s="1">
        <f t="shared" ref="C143:BN143" si="52">C136</f>
        <v>0.3</v>
      </c>
      <c r="D143" s="1">
        <f t="shared" si="52"/>
        <v>0.3</v>
      </c>
      <c r="E143" s="1">
        <f t="shared" si="52"/>
        <v>0.3</v>
      </c>
      <c r="F143" s="1">
        <f t="shared" si="52"/>
        <v>0.3</v>
      </c>
      <c r="G143" s="1">
        <f t="shared" si="52"/>
        <v>0.3</v>
      </c>
      <c r="H143" s="1">
        <f t="shared" si="52"/>
        <v>0.3</v>
      </c>
      <c r="I143" s="1">
        <f t="shared" si="52"/>
        <v>0.3</v>
      </c>
      <c r="J143" s="1">
        <f t="shared" si="52"/>
        <v>0.3</v>
      </c>
      <c r="K143" s="1">
        <f t="shared" si="52"/>
        <v>0.3</v>
      </c>
      <c r="L143" s="1">
        <f t="shared" si="52"/>
        <v>0.3</v>
      </c>
      <c r="M143" s="1">
        <f t="shared" si="52"/>
        <v>0.3</v>
      </c>
      <c r="N143" s="1">
        <f t="shared" si="52"/>
        <v>0.3</v>
      </c>
      <c r="O143" s="1">
        <f t="shared" si="52"/>
        <v>0.3</v>
      </c>
      <c r="P143" s="1">
        <f t="shared" si="52"/>
        <v>0.23</v>
      </c>
      <c r="Q143" s="1">
        <f t="shared" si="52"/>
        <v>0.23</v>
      </c>
      <c r="R143" s="1">
        <f t="shared" si="52"/>
        <v>0.23</v>
      </c>
      <c r="S143" s="1">
        <f t="shared" si="52"/>
        <v>0.3</v>
      </c>
      <c r="T143" s="1">
        <f t="shared" si="52"/>
        <v>0.3</v>
      </c>
      <c r="U143" s="1">
        <f t="shared" si="52"/>
        <v>0.23</v>
      </c>
      <c r="V143" s="1">
        <f t="shared" si="52"/>
        <v>0.23</v>
      </c>
      <c r="W143" s="1">
        <f t="shared" si="52"/>
        <v>0.23</v>
      </c>
      <c r="X143" s="1">
        <f t="shared" si="52"/>
        <v>0.23</v>
      </c>
      <c r="Y143" s="1">
        <f t="shared" si="52"/>
        <v>0.3</v>
      </c>
      <c r="Z143" s="1">
        <f t="shared" si="52"/>
        <v>0.3</v>
      </c>
      <c r="AA143" s="1">
        <f t="shared" si="52"/>
        <v>0.23</v>
      </c>
      <c r="AB143" s="1">
        <f t="shared" si="52"/>
        <v>0.23</v>
      </c>
      <c r="AC143" s="1">
        <f t="shared" si="52"/>
        <v>0.3</v>
      </c>
      <c r="AD143" s="1">
        <f t="shared" si="52"/>
        <v>0.3</v>
      </c>
      <c r="AE143" s="1">
        <f t="shared" si="52"/>
        <v>0.3</v>
      </c>
      <c r="AF143" s="1">
        <f t="shared" si="52"/>
        <v>0.3</v>
      </c>
      <c r="AG143" s="1">
        <f t="shared" si="52"/>
        <v>0.23</v>
      </c>
      <c r="AH143" s="1">
        <f t="shared" si="52"/>
        <v>0.23</v>
      </c>
      <c r="AI143" s="1">
        <f t="shared" si="52"/>
        <v>0.3</v>
      </c>
      <c r="AJ143" s="1">
        <f t="shared" si="52"/>
        <v>0.3</v>
      </c>
      <c r="AK143" s="1">
        <f t="shared" si="52"/>
        <v>0.23</v>
      </c>
      <c r="AL143" s="1">
        <f t="shared" si="52"/>
        <v>0.3</v>
      </c>
      <c r="AM143" s="1">
        <f t="shared" si="52"/>
        <v>0.23</v>
      </c>
      <c r="AN143" s="1">
        <f t="shared" si="52"/>
        <v>0.3</v>
      </c>
      <c r="AO143" s="1">
        <f t="shared" si="52"/>
        <v>0.23</v>
      </c>
      <c r="AP143" s="1">
        <f t="shared" si="52"/>
        <v>0.3</v>
      </c>
      <c r="AQ143" s="1">
        <f t="shared" si="52"/>
        <v>0.23</v>
      </c>
      <c r="AR143" s="1">
        <f t="shared" si="52"/>
        <v>0.3</v>
      </c>
      <c r="AS143" s="1">
        <f t="shared" si="52"/>
        <v>0.23</v>
      </c>
      <c r="AT143" s="1">
        <f t="shared" si="52"/>
        <v>0.23</v>
      </c>
      <c r="AU143" s="1">
        <f t="shared" si="52"/>
        <v>0.3</v>
      </c>
      <c r="AV143" s="1">
        <f t="shared" si="52"/>
        <v>0.23</v>
      </c>
      <c r="AW143" s="1">
        <f t="shared" si="52"/>
        <v>0.3</v>
      </c>
      <c r="AX143" s="1">
        <f t="shared" si="52"/>
        <v>0.3</v>
      </c>
      <c r="AY143" s="1">
        <f t="shared" si="52"/>
        <v>0.3</v>
      </c>
      <c r="AZ143" s="1">
        <f t="shared" si="52"/>
        <v>0.3</v>
      </c>
      <c r="BA143" s="1">
        <f t="shared" si="52"/>
        <v>0.3</v>
      </c>
      <c r="BB143" s="1">
        <f t="shared" si="52"/>
        <v>0.23</v>
      </c>
      <c r="BC143" s="1">
        <f t="shared" si="52"/>
        <v>0.23</v>
      </c>
      <c r="BD143" s="1">
        <f t="shared" si="52"/>
        <v>0.23</v>
      </c>
      <c r="BE143" s="1">
        <f t="shared" si="52"/>
        <v>0.23</v>
      </c>
      <c r="BF143" s="1">
        <f t="shared" si="52"/>
        <v>0.23</v>
      </c>
      <c r="BG143" s="1">
        <f t="shared" si="52"/>
        <v>0.3</v>
      </c>
      <c r="BH143" s="1">
        <f t="shared" si="52"/>
        <v>0.3</v>
      </c>
      <c r="BI143" s="1">
        <f t="shared" si="52"/>
        <v>0.3</v>
      </c>
      <c r="BJ143" s="1">
        <f t="shared" si="52"/>
        <v>0.3</v>
      </c>
      <c r="BK143" s="1">
        <f t="shared" si="52"/>
        <v>0.3</v>
      </c>
      <c r="BL143" s="1">
        <f t="shared" si="52"/>
        <v>0.3</v>
      </c>
      <c r="BM143" s="1">
        <f t="shared" si="52"/>
        <v>0.3</v>
      </c>
      <c r="BN143" s="1">
        <f t="shared" si="52"/>
        <v>0.3</v>
      </c>
      <c r="BO143" s="1">
        <f t="shared" ref="BO143:BP143" si="53">BO136</f>
        <v>0.3</v>
      </c>
      <c r="BP143" s="1">
        <f t="shared" si="53"/>
        <v>0.3</v>
      </c>
      <c r="BQ143"/>
      <c r="BR143"/>
      <c r="BS143"/>
      <c r="BT143"/>
      <c r="BU143"/>
    </row>
    <row r="144" spans="1:73" s="1" customFormat="1">
      <c r="B144" s="8">
        <f t="shared" ref="B144" si="54">(B141*B142*2)+(B141*B143)</f>
        <v>10.655899999999999</v>
      </c>
      <c r="C144" s="8">
        <f t="shared" ref="C144:BN144" si="55">(C141*C142*2)+(C141*C143)</f>
        <v>12.450000000000001</v>
      </c>
      <c r="D144" s="8">
        <f t="shared" si="55"/>
        <v>11.399999999999999</v>
      </c>
      <c r="E144" s="8">
        <f t="shared" si="55"/>
        <v>17.369999999999997</v>
      </c>
      <c r="F144" s="8">
        <f t="shared" si="55"/>
        <v>15</v>
      </c>
      <c r="G144" s="8">
        <f t="shared" si="55"/>
        <v>16.454999999999998</v>
      </c>
      <c r="H144" s="8">
        <f t="shared" si="55"/>
        <v>5.7299999999999995</v>
      </c>
      <c r="I144" s="8">
        <f t="shared" si="55"/>
        <v>9.75</v>
      </c>
      <c r="J144" s="8">
        <f t="shared" si="55"/>
        <v>17.369999999999997</v>
      </c>
      <c r="K144" s="8">
        <f t="shared" si="55"/>
        <v>9.6449999999999996</v>
      </c>
      <c r="L144" s="8">
        <f t="shared" si="55"/>
        <v>8.1000000000000014</v>
      </c>
      <c r="M144" s="8">
        <f t="shared" si="55"/>
        <v>24.45</v>
      </c>
      <c r="N144" s="8">
        <f t="shared" si="55"/>
        <v>9.5849999999999991</v>
      </c>
      <c r="O144" s="8">
        <f t="shared" si="55"/>
        <v>6.6000000000000005</v>
      </c>
      <c r="P144" s="8">
        <f t="shared" si="55"/>
        <v>3.3335000000000004</v>
      </c>
      <c r="Q144" s="8">
        <f t="shared" si="55"/>
        <v>6.2853000000000003</v>
      </c>
      <c r="R144" s="8">
        <f t="shared" si="55"/>
        <v>4.5200000000000005</v>
      </c>
      <c r="S144" s="8">
        <f t="shared" si="55"/>
        <v>9.5849999999999991</v>
      </c>
      <c r="T144" s="8">
        <f t="shared" si="55"/>
        <v>7.6650000000000009</v>
      </c>
      <c r="U144" s="8">
        <f t="shared" si="55"/>
        <v>6.1020000000000003</v>
      </c>
      <c r="V144" s="8">
        <f t="shared" si="55"/>
        <v>20.048999999999999</v>
      </c>
      <c r="W144" s="8">
        <f t="shared" si="55"/>
        <v>3.3335000000000004</v>
      </c>
      <c r="X144" s="8">
        <f t="shared" si="55"/>
        <v>6.1020000000000003</v>
      </c>
      <c r="Y144" s="8">
        <f t="shared" si="55"/>
        <v>2.25</v>
      </c>
      <c r="Z144" s="8">
        <f t="shared" si="55"/>
        <v>23.97</v>
      </c>
      <c r="AA144" s="8">
        <f t="shared" si="55"/>
        <v>12.87</v>
      </c>
      <c r="AB144" s="8">
        <f t="shared" si="55"/>
        <v>8.9789999999999992</v>
      </c>
      <c r="AC144" s="8">
        <f t="shared" si="55"/>
        <v>7.98</v>
      </c>
      <c r="AD144" s="8">
        <f t="shared" si="55"/>
        <v>26.849999999999994</v>
      </c>
      <c r="AE144" s="8">
        <f t="shared" si="55"/>
        <v>20.330000000000002</v>
      </c>
      <c r="AF144" s="8">
        <f t="shared" si="55"/>
        <v>12.75</v>
      </c>
      <c r="AG144" s="8">
        <f t="shared" si="55"/>
        <v>2.9380000000000006</v>
      </c>
      <c r="AH144" s="8">
        <f t="shared" si="55"/>
        <v>3.3335000000000004</v>
      </c>
      <c r="AI144" s="8">
        <f t="shared" si="55"/>
        <v>6.3</v>
      </c>
      <c r="AJ144" s="8">
        <f t="shared" si="55"/>
        <v>12.450000000000001</v>
      </c>
      <c r="AK144" s="8">
        <f t="shared" si="55"/>
        <v>7.2320000000000011</v>
      </c>
      <c r="AL144" s="8">
        <f t="shared" si="55"/>
        <v>10.920000000000002</v>
      </c>
      <c r="AM144" s="8">
        <f t="shared" si="55"/>
        <v>2.5989999999999998</v>
      </c>
      <c r="AN144" s="8">
        <f t="shared" si="55"/>
        <v>11.7</v>
      </c>
      <c r="AO144" s="8">
        <f t="shared" si="55"/>
        <v>3.3335000000000004</v>
      </c>
      <c r="AP144" s="8">
        <f t="shared" si="55"/>
        <v>6.2850000000000001</v>
      </c>
      <c r="AQ144" s="8">
        <f t="shared" si="55"/>
        <v>4.1018999999999997</v>
      </c>
      <c r="AR144" s="8">
        <f t="shared" si="55"/>
        <v>6.375</v>
      </c>
      <c r="AS144" s="8">
        <f t="shared" si="55"/>
        <v>31.459</v>
      </c>
      <c r="AT144" s="8">
        <f t="shared" si="55"/>
        <v>5.2910000000000004</v>
      </c>
      <c r="AU144" s="8">
        <f t="shared" si="55"/>
        <v>2.5499999999999998</v>
      </c>
      <c r="AV144" s="8">
        <f t="shared" si="55"/>
        <v>8.9110000000000014</v>
      </c>
      <c r="AW144" s="8">
        <f t="shared" si="55"/>
        <v>11.370000000000001</v>
      </c>
      <c r="AX144" s="8">
        <f t="shared" si="55"/>
        <v>8.625</v>
      </c>
      <c r="AY144" s="8">
        <f t="shared" si="55"/>
        <v>24.530999999999999</v>
      </c>
      <c r="AZ144" s="8">
        <f t="shared" si="55"/>
        <v>19.549999999999997</v>
      </c>
      <c r="BA144" s="8">
        <f t="shared" si="55"/>
        <v>13.469999999999999</v>
      </c>
      <c r="BB144" s="8">
        <f t="shared" si="55"/>
        <v>14.497000000000002</v>
      </c>
      <c r="BC144" s="8">
        <f t="shared" si="55"/>
        <v>4.8477000000000006</v>
      </c>
      <c r="BD144" s="8">
        <f t="shared" si="55"/>
        <v>11.639000000000001</v>
      </c>
      <c r="BE144" s="8">
        <f t="shared" si="55"/>
        <v>11.842400000000001</v>
      </c>
      <c r="BF144" s="8">
        <f t="shared" si="55"/>
        <v>4.7799000000000005</v>
      </c>
      <c r="BG144" s="8">
        <f t="shared" si="55"/>
        <v>24.164999999999996</v>
      </c>
      <c r="BH144" s="8">
        <f t="shared" si="55"/>
        <v>15.600000000000001</v>
      </c>
      <c r="BI144" s="8">
        <f t="shared" si="55"/>
        <v>8.2649999999999988</v>
      </c>
      <c r="BJ144" s="8">
        <f t="shared" si="55"/>
        <v>7.8450000000000006</v>
      </c>
      <c r="BK144" s="8">
        <f t="shared" si="55"/>
        <v>31.568000000000001</v>
      </c>
      <c r="BL144" s="8">
        <f t="shared" si="55"/>
        <v>8.2649999999999988</v>
      </c>
      <c r="BM144" s="8">
        <f t="shared" si="55"/>
        <v>37.184999999999995</v>
      </c>
      <c r="BN144" s="8">
        <f t="shared" si="55"/>
        <v>15.600000000000001</v>
      </c>
      <c r="BO144" s="8">
        <f t="shared" ref="BO144:BP144" si="56">(BO141*BO142*2)+(BO141*BO143)</f>
        <v>6.3</v>
      </c>
      <c r="BP144" s="8">
        <f t="shared" si="56"/>
        <v>5.4450000000000003</v>
      </c>
      <c r="BQ144"/>
      <c r="BR144"/>
      <c r="BS144"/>
      <c r="BT144"/>
      <c r="BU144"/>
    </row>
    <row r="145" spans="1:73" s="1" customFormat="1" ht="15.75" thickBot="1"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 s="4"/>
      <c r="BR145"/>
      <c r="BS145"/>
      <c r="BT145"/>
      <c r="BU145"/>
    </row>
    <row r="146" spans="1:73" s="1" customFormat="1" ht="19.5" thickBot="1">
      <c r="B146" s="203" t="s">
        <v>311</v>
      </c>
      <c r="C146" s="203"/>
      <c r="D146" s="203"/>
      <c r="E146" s="203"/>
      <c r="F146" s="50">
        <f>ROUNDUP(SUM(B152:BP152),0)</f>
        <v>25884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 s="4"/>
      <c r="BR146"/>
      <c r="BS146"/>
      <c r="BT146"/>
      <c r="BU146"/>
    </row>
    <row r="147" spans="1:73" s="1" customFormat="1">
      <c r="C147" s="1" t="s">
        <v>105</v>
      </c>
      <c r="D147" s="1">
        <f>6889*2</f>
        <v>13778</v>
      </c>
      <c r="G147" s="1">
        <f>D147/F132</f>
        <v>78.284090909090907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 s="4"/>
      <c r="BR147"/>
      <c r="BS147"/>
      <c r="BT147"/>
      <c r="BU147"/>
    </row>
    <row r="148" spans="1:73" s="1" customFormat="1">
      <c r="C148" s="1" t="s">
        <v>70</v>
      </c>
      <c r="D148" s="1">
        <f>1475*2</f>
        <v>2950</v>
      </c>
      <c r="G148" s="1">
        <f>D148/F132</f>
        <v>16.761363636363637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 s="4"/>
      <c r="BR148"/>
      <c r="BS148"/>
      <c r="BT148"/>
      <c r="BU148"/>
    </row>
    <row r="149" spans="1:73" s="1" customFormat="1">
      <c r="C149" s="1" t="s">
        <v>71</v>
      </c>
      <c r="D149" s="1">
        <f>2644*2</f>
        <v>5288</v>
      </c>
      <c r="G149" s="1">
        <f>D149/F132</f>
        <v>30.045454545454547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 s="4"/>
      <c r="BR149"/>
      <c r="BS149"/>
      <c r="BT149"/>
      <c r="BU149"/>
    </row>
    <row r="150" spans="1:73" s="1" customFormat="1">
      <c r="C150" s="1" t="s">
        <v>68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 s="4"/>
      <c r="BR150"/>
      <c r="BS150"/>
      <c r="BT150"/>
      <c r="BU150"/>
    </row>
    <row r="151" spans="1:73" s="1" customFormat="1">
      <c r="C151" s="1" t="s">
        <v>108</v>
      </c>
      <c r="D151" s="1">
        <f>1934*2</f>
        <v>3868</v>
      </c>
      <c r="G151" s="1">
        <f>D151/F132</f>
        <v>21.977272727272727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 s="4"/>
      <c r="BR151"/>
      <c r="BS151"/>
      <c r="BT151"/>
      <c r="BU151"/>
    </row>
    <row r="152" spans="1:73" s="1" customFormat="1">
      <c r="D152" s="100">
        <f>SUM(D147:D151)</f>
        <v>25884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 s="4"/>
      <c r="BR152"/>
      <c r="BS152"/>
      <c r="BT152"/>
      <c r="BU152"/>
    </row>
    <row r="153" spans="1:73" s="1" customFormat="1">
      <c r="F153" s="5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 s="4"/>
      <c r="BR153"/>
      <c r="BS153"/>
      <c r="BT153"/>
      <c r="BU153"/>
    </row>
    <row r="154" spans="1:73" s="1" customFormat="1" ht="15.75" thickBot="1"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 s="4"/>
      <c r="BR154"/>
      <c r="BS154"/>
      <c r="BT154"/>
      <c r="BU154"/>
    </row>
    <row r="155" spans="1:73" s="1" customFormat="1" ht="19.5" thickBot="1">
      <c r="B155" s="203" t="s">
        <v>308</v>
      </c>
      <c r="C155" s="203"/>
      <c r="D155" s="203"/>
      <c r="E155" s="206"/>
      <c r="F155" s="50">
        <f>ROUNDUP(SUM(B160:BU160),0)</f>
        <v>85</v>
      </c>
      <c r="I155" s="4"/>
      <c r="BQ155"/>
      <c r="BR155"/>
      <c r="BS155"/>
      <c r="BT155"/>
      <c r="BU155"/>
    </row>
    <row r="156" spans="1:73" s="1" customFormat="1" ht="12.75">
      <c r="B156" s="1" t="s">
        <v>127</v>
      </c>
      <c r="C156" s="1" t="s">
        <v>128</v>
      </c>
      <c r="D156" s="1" t="s">
        <v>129</v>
      </c>
      <c r="E156" s="1" t="s">
        <v>130</v>
      </c>
      <c r="F156" s="1" t="s">
        <v>131</v>
      </c>
      <c r="G156" s="1" t="s">
        <v>132</v>
      </c>
      <c r="H156" s="1" t="s">
        <v>133</v>
      </c>
      <c r="I156" s="1" t="s">
        <v>134</v>
      </c>
      <c r="J156" s="1" t="s">
        <v>135</v>
      </c>
      <c r="K156" s="1" t="s">
        <v>136</v>
      </c>
      <c r="L156" s="1" t="s">
        <v>137</v>
      </c>
      <c r="M156" s="1" t="s">
        <v>138</v>
      </c>
      <c r="N156" s="1" t="s">
        <v>139</v>
      </c>
      <c r="O156" s="1" t="s">
        <v>140</v>
      </c>
      <c r="P156" s="1" t="s">
        <v>141</v>
      </c>
      <c r="Q156" s="1" t="s">
        <v>142</v>
      </c>
      <c r="R156" s="1" t="s">
        <v>143</v>
      </c>
      <c r="S156" s="1" t="s">
        <v>144</v>
      </c>
      <c r="T156" s="1" t="s">
        <v>145</v>
      </c>
      <c r="U156" s="1" t="s">
        <v>146</v>
      </c>
      <c r="V156" s="1" t="s">
        <v>147</v>
      </c>
      <c r="W156" s="1" t="s">
        <v>148</v>
      </c>
      <c r="X156" s="1" t="s">
        <v>149</v>
      </c>
      <c r="Y156" s="1" t="s">
        <v>150</v>
      </c>
      <c r="Z156" s="1" t="s">
        <v>151</v>
      </c>
      <c r="AA156" s="1" t="s">
        <v>152</v>
      </c>
      <c r="AB156" s="1" t="s">
        <v>153</v>
      </c>
      <c r="AC156" s="1" t="s">
        <v>154</v>
      </c>
      <c r="AD156" s="1" t="s">
        <v>155</v>
      </c>
      <c r="AE156" s="1" t="s">
        <v>156</v>
      </c>
      <c r="AF156" s="1" t="s">
        <v>157</v>
      </c>
      <c r="AG156" s="1" t="s">
        <v>158</v>
      </c>
      <c r="AH156" s="1" t="s">
        <v>159</v>
      </c>
      <c r="AI156" s="1" t="s">
        <v>160</v>
      </c>
      <c r="AJ156" s="1" t="s">
        <v>161</v>
      </c>
      <c r="AK156" s="1" t="s">
        <v>162</v>
      </c>
      <c r="AL156" s="1" t="s">
        <v>163</v>
      </c>
      <c r="AM156" s="1" t="s">
        <v>277</v>
      </c>
      <c r="AN156" s="1" t="s">
        <v>278</v>
      </c>
      <c r="AO156" s="1" t="s">
        <v>279</v>
      </c>
      <c r="AP156" s="1" t="s">
        <v>280</v>
      </c>
      <c r="AQ156" s="1" t="s">
        <v>281</v>
      </c>
      <c r="AR156" s="1" t="s">
        <v>282</v>
      </c>
      <c r="AS156" s="1" t="s">
        <v>283</v>
      </c>
      <c r="AT156" s="1" t="s">
        <v>284</v>
      </c>
      <c r="AU156" s="1" t="s">
        <v>285</v>
      </c>
      <c r="AV156" s="1" t="s">
        <v>286</v>
      </c>
      <c r="AW156" s="1" t="s">
        <v>287</v>
      </c>
      <c r="AX156" s="1" t="s">
        <v>288</v>
      </c>
      <c r="AY156" s="1" t="s">
        <v>289</v>
      </c>
      <c r="AZ156" s="1" t="s">
        <v>290</v>
      </c>
      <c r="BA156" s="1" t="s">
        <v>291</v>
      </c>
      <c r="BB156" s="1" t="s">
        <v>292</v>
      </c>
      <c r="BC156" s="1" t="s">
        <v>293</v>
      </c>
      <c r="BD156" s="1" t="s">
        <v>294</v>
      </c>
      <c r="BE156" s="1" t="s">
        <v>295</v>
      </c>
      <c r="BF156" s="1" t="s">
        <v>296</v>
      </c>
      <c r="BG156" s="1" t="s">
        <v>297</v>
      </c>
      <c r="BH156" s="1" t="s">
        <v>298</v>
      </c>
      <c r="BI156" s="1" t="s">
        <v>299</v>
      </c>
      <c r="BJ156" s="1" t="s">
        <v>300</v>
      </c>
      <c r="BK156" s="1" t="s">
        <v>301</v>
      </c>
      <c r="BL156" s="1" t="s">
        <v>302</v>
      </c>
      <c r="BM156" s="1" t="s">
        <v>303</v>
      </c>
      <c r="BN156" s="1" t="s">
        <v>304</v>
      </c>
      <c r="BO156" s="1" t="s">
        <v>305</v>
      </c>
      <c r="BP156" s="1" t="s">
        <v>306</v>
      </c>
      <c r="BQ156" s="1" t="s">
        <v>315</v>
      </c>
      <c r="BR156" s="1" t="s">
        <v>316</v>
      </c>
      <c r="BS156" s="1" t="s">
        <v>323</v>
      </c>
      <c r="BT156" s="1" t="s">
        <v>324</v>
      </c>
      <c r="BU156" s="1" t="s">
        <v>325</v>
      </c>
    </row>
    <row r="157" spans="1:73" s="44" customFormat="1" ht="12.75">
      <c r="A157" s="44" t="s">
        <v>37</v>
      </c>
      <c r="B157" s="51">
        <v>22.1</v>
      </c>
      <c r="C157" s="51">
        <v>2.95</v>
      </c>
      <c r="D157" s="52">
        <v>10.7</v>
      </c>
      <c r="E157" s="52">
        <v>8.5</v>
      </c>
      <c r="F157" s="52">
        <v>5.19</v>
      </c>
      <c r="G157" s="52">
        <v>4.82</v>
      </c>
      <c r="H157" s="52">
        <v>9.5</v>
      </c>
      <c r="I157" s="52">
        <v>9</v>
      </c>
      <c r="J157" s="52">
        <v>7.3</v>
      </c>
      <c r="K157" s="52">
        <v>5.4</v>
      </c>
      <c r="L157" s="52">
        <v>1.8</v>
      </c>
      <c r="M157" s="52">
        <v>8.3000000000000007</v>
      </c>
      <c r="N157" s="52">
        <v>4.2</v>
      </c>
      <c r="O157" s="52">
        <v>6.4</v>
      </c>
      <c r="P157" s="51">
        <v>2.6</v>
      </c>
      <c r="Q157" s="51">
        <v>7.3</v>
      </c>
      <c r="R157" s="51">
        <v>2.2999999999999998</v>
      </c>
      <c r="S157" s="51">
        <v>7.8</v>
      </c>
      <c r="T157" s="51">
        <v>5.1100000000000003</v>
      </c>
      <c r="U157" s="51">
        <v>9.43</v>
      </c>
      <c r="V157" s="51">
        <v>8.3000000000000007</v>
      </c>
      <c r="W157" s="51">
        <v>7.6</v>
      </c>
      <c r="X157" s="51">
        <f>2*11.58</f>
        <v>23.16</v>
      </c>
      <c r="Y157" s="51">
        <v>10</v>
      </c>
      <c r="Z157" s="51">
        <v>10.97</v>
      </c>
      <c r="AA157" s="51">
        <v>3.82</v>
      </c>
      <c r="AB157" s="51">
        <v>6.5</v>
      </c>
      <c r="AC157" s="51">
        <v>6.43</v>
      </c>
      <c r="AD157" s="51">
        <v>5.4</v>
      </c>
      <c r="AE157" s="51">
        <v>1.95</v>
      </c>
      <c r="AF157" s="51">
        <v>7.3</v>
      </c>
      <c r="AG157" s="51">
        <v>2</v>
      </c>
      <c r="AH157" s="51">
        <v>7.05</v>
      </c>
      <c r="AI157" s="51">
        <v>1.5</v>
      </c>
      <c r="AJ157" s="51">
        <v>6.3</v>
      </c>
      <c r="AK157" s="51">
        <v>4.3</v>
      </c>
      <c r="AL157" s="51">
        <v>2.95</v>
      </c>
      <c r="AM157" s="51">
        <v>2</v>
      </c>
      <c r="AN157" s="51">
        <v>5.18</v>
      </c>
      <c r="AO157" s="51">
        <v>2.95</v>
      </c>
      <c r="AP157" s="51">
        <v>14.1</v>
      </c>
      <c r="AQ157" s="51">
        <v>9</v>
      </c>
      <c r="AR157" s="51">
        <v>7.6</v>
      </c>
      <c r="AS157" s="51">
        <v>10.4</v>
      </c>
      <c r="AT157" s="51">
        <v>5.51</v>
      </c>
      <c r="AU157" s="51">
        <v>19.399999999999999</v>
      </c>
      <c r="AV157" s="51">
        <v>4.07</v>
      </c>
      <c r="AW157" s="51">
        <v>6.33</v>
      </c>
      <c r="AX157" s="53">
        <v>24.79</v>
      </c>
      <c r="AY157" s="53">
        <v>5.5</v>
      </c>
      <c r="AZ157" s="53">
        <v>4.2</v>
      </c>
      <c r="BA157" s="53">
        <v>3.33</v>
      </c>
      <c r="BB157" s="53">
        <v>2.95</v>
      </c>
      <c r="BC157" s="53">
        <v>4.2</v>
      </c>
      <c r="BD157" s="53">
        <v>4.25</v>
      </c>
      <c r="BE157" s="53">
        <v>1.7</v>
      </c>
      <c r="BF157" s="53">
        <v>2.75</v>
      </c>
      <c r="BG157" s="53">
        <v>11.5</v>
      </c>
      <c r="BH157" s="53">
        <v>7.58</v>
      </c>
      <c r="BI157" s="53">
        <v>11.72</v>
      </c>
      <c r="BJ157" s="53">
        <v>5.5</v>
      </c>
      <c r="BK157" s="53">
        <v>5.18</v>
      </c>
      <c r="BL157" s="53">
        <v>1.5</v>
      </c>
      <c r="BM157" s="53">
        <v>20.18</v>
      </c>
      <c r="BN157" s="53">
        <v>4.29</v>
      </c>
      <c r="BO157" s="53">
        <v>11.5</v>
      </c>
      <c r="BP157" s="53">
        <v>8.68</v>
      </c>
      <c r="BQ157" s="53">
        <v>10.9</v>
      </c>
      <c r="BR157" s="53">
        <v>9.48</v>
      </c>
      <c r="BS157" s="53">
        <v>4.29</v>
      </c>
      <c r="BT157" s="53">
        <v>5.0999999999999996</v>
      </c>
      <c r="BU157" s="53">
        <v>11.01</v>
      </c>
    </row>
    <row r="158" spans="1:73" s="1" customFormat="1" ht="12.75">
      <c r="A158" s="44" t="s">
        <v>165</v>
      </c>
      <c r="B158" s="1">
        <v>0.6</v>
      </c>
      <c r="C158" s="1">
        <v>0.45</v>
      </c>
      <c r="D158" s="1">
        <v>0.8</v>
      </c>
      <c r="E158" s="1">
        <v>0.45</v>
      </c>
      <c r="F158" s="1">
        <v>0.7</v>
      </c>
      <c r="G158" s="1">
        <v>0.5</v>
      </c>
      <c r="H158" s="1">
        <v>0.45</v>
      </c>
      <c r="I158" s="1">
        <v>0.8</v>
      </c>
      <c r="J158" s="1">
        <v>0.5</v>
      </c>
      <c r="K158" s="1">
        <v>0.45</v>
      </c>
      <c r="L158" s="1">
        <v>0.6</v>
      </c>
      <c r="M158" s="1">
        <f t="shared" ref="M158:M159" si="57">L158</f>
        <v>0.6</v>
      </c>
      <c r="N158" s="1">
        <f t="shared" ref="N158:N159" si="58">M158</f>
        <v>0.6</v>
      </c>
      <c r="O158" s="1">
        <v>0.45</v>
      </c>
      <c r="P158" s="1">
        <v>0.45</v>
      </c>
      <c r="Q158" s="1">
        <v>0.6</v>
      </c>
      <c r="R158" s="1">
        <v>0.45</v>
      </c>
      <c r="S158" s="1">
        <v>0.6</v>
      </c>
      <c r="T158" s="1">
        <f t="shared" ref="T158:T159" si="59">S158</f>
        <v>0.6</v>
      </c>
      <c r="U158" s="1">
        <v>0.45</v>
      </c>
      <c r="V158" s="1">
        <v>0.6</v>
      </c>
      <c r="W158" s="1">
        <v>0.6</v>
      </c>
      <c r="X158" s="1">
        <f t="shared" ref="X158" si="60">W158</f>
        <v>0.6</v>
      </c>
      <c r="Y158" s="1">
        <v>0.6</v>
      </c>
      <c r="Z158" s="1">
        <v>0.6</v>
      </c>
      <c r="AA158" s="1">
        <v>0.6</v>
      </c>
      <c r="AB158" s="1">
        <f>AA158</f>
        <v>0.6</v>
      </c>
      <c r="AC158" s="1">
        <f>AB158</f>
        <v>0.6</v>
      </c>
      <c r="AD158" s="1">
        <v>0.45</v>
      </c>
      <c r="AE158" s="1">
        <v>0.5</v>
      </c>
      <c r="AF158" s="1">
        <v>0.5</v>
      </c>
      <c r="AG158" s="1">
        <f>AF158</f>
        <v>0.5</v>
      </c>
      <c r="AH158" s="1">
        <v>0.8</v>
      </c>
      <c r="AI158" s="1">
        <f>AH158</f>
        <v>0.8</v>
      </c>
      <c r="AJ158" s="1">
        <v>0.6</v>
      </c>
      <c r="AK158" s="1">
        <f>AJ158</f>
        <v>0.6</v>
      </c>
      <c r="AL158" s="1">
        <v>0.45</v>
      </c>
      <c r="AM158" s="1">
        <v>0.6</v>
      </c>
      <c r="AN158" s="1">
        <v>0.6</v>
      </c>
      <c r="AO158" s="1">
        <v>0.45</v>
      </c>
      <c r="AP158" s="1">
        <v>0.55000000000000004</v>
      </c>
      <c r="AQ158" s="1">
        <v>0.8</v>
      </c>
      <c r="AR158" s="1">
        <v>0.6</v>
      </c>
      <c r="AS158" s="1">
        <v>0.6</v>
      </c>
      <c r="AT158" s="1">
        <v>0.6</v>
      </c>
      <c r="AU158" s="1">
        <v>0.45</v>
      </c>
      <c r="AV158" s="1">
        <v>0.6</v>
      </c>
      <c r="AW158" s="1">
        <v>0.45</v>
      </c>
      <c r="AX158" s="1">
        <v>0.6</v>
      </c>
      <c r="AY158" s="1">
        <v>0.6</v>
      </c>
      <c r="AZ158" s="1">
        <v>0.6</v>
      </c>
      <c r="BA158" s="1">
        <v>0.6</v>
      </c>
      <c r="BB158" s="1">
        <v>0.45</v>
      </c>
      <c r="BC158" s="1">
        <v>0.6</v>
      </c>
      <c r="BD158" s="1">
        <v>0.6</v>
      </c>
      <c r="BE158" s="1">
        <v>0.6</v>
      </c>
      <c r="BF158" s="1">
        <v>0.6</v>
      </c>
      <c r="BG158" s="1">
        <v>0.7</v>
      </c>
      <c r="BH158" s="1">
        <v>0.6</v>
      </c>
      <c r="BI158" s="1">
        <v>0.7</v>
      </c>
      <c r="BJ158" s="1">
        <v>0.6</v>
      </c>
      <c r="BK158" s="1">
        <v>0.6</v>
      </c>
      <c r="BL158" s="1">
        <v>0.6</v>
      </c>
      <c r="BM158" s="1">
        <v>0.6</v>
      </c>
      <c r="BN158" s="1">
        <v>0.45</v>
      </c>
      <c r="BO158" s="1">
        <v>0.6</v>
      </c>
      <c r="BP158" s="1">
        <v>0.6</v>
      </c>
      <c r="BQ158" s="1">
        <v>0.45</v>
      </c>
      <c r="BR158" s="1">
        <v>0.45</v>
      </c>
      <c r="BS158" s="1">
        <v>0.45</v>
      </c>
      <c r="BT158" s="1">
        <v>0.8</v>
      </c>
      <c r="BU158" s="1">
        <v>0.6</v>
      </c>
    </row>
    <row r="159" spans="1:73" s="1" customFormat="1" ht="12.75">
      <c r="A159" s="44" t="s">
        <v>166</v>
      </c>
      <c r="B159" s="1">
        <v>0.23</v>
      </c>
      <c r="C159" s="1">
        <v>0.23</v>
      </c>
      <c r="D159" s="1">
        <v>0.3</v>
      </c>
      <c r="E159" s="1">
        <v>0.23</v>
      </c>
      <c r="F159" s="1">
        <v>0.3</v>
      </c>
      <c r="G159" s="1">
        <v>0.23</v>
      </c>
      <c r="H159" s="1">
        <f t="shared" ref="H159" si="61">G159</f>
        <v>0.23</v>
      </c>
      <c r="I159" s="1">
        <v>0.3</v>
      </c>
      <c r="J159" s="1">
        <v>0.23</v>
      </c>
      <c r="K159" s="1">
        <f t="shared" ref="K159" si="62">J159</f>
        <v>0.23</v>
      </c>
      <c r="L159" s="1">
        <v>0.3</v>
      </c>
      <c r="M159" s="1">
        <f t="shared" si="57"/>
        <v>0.3</v>
      </c>
      <c r="N159" s="1">
        <f t="shared" si="58"/>
        <v>0.3</v>
      </c>
      <c r="O159" s="1">
        <v>0.23</v>
      </c>
      <c r="P159" s="1">
        <v>0.23</v>
      </c>
      <c r="Q159" s="1">
        <v>0.23</v>
      </c>
      <c r="R159" s="1">
        <f t="shared" ref="R159" si="63">Q159</f>
        <v>0.23</v>
      </c>
      <c r="S159" s="1">
        <v>0.3</v>
      </c>
      <c r="T159" s="1">
        <f t="shared" si="59"/>
        <v>0.3</v>
      </c>
      <c r="U159" s="1">
        <v>0.23</v>
      </c>
      <c r="V159" s="1">
        <v>0.3</v>
      </c>
      <c r="W159" s="1">
        <f t="shared" ref="W159" si="64">V159</f>
        <v>0.3</v>
      </c>
      <c r="X159" s="1">
        <f>W159</f>
        <v>0.3</v>
      </c>
      <c r="Y159" s="1">
        <v>0.3</v>
      </c>
      <c r="Z159" s="1">
        <v>0.3</v>
      </c>
      <c r="AA159" s="1">
        <f>Z159</f>
        <v>0.3</v>
      </c>
      <c r="AB159" s="1">
        <f t="shared" ref="AB159" si="65">AA159</f>
        <v>0.3</v>
      </c>
      <c r="AC159" s="1">
        <v>0.3</v>
      </c>
      <c r="AD159" s="1">
        <v>0.23</v>
      </c>
      <c r="AE159" s="1">
        <f t="shared" ref="AE159" si="66">AD159</f>
        <v>0.23</v>
      </c>
      <c r="AF159" s="1">
        <f t="shared" ref="AF159" si="67">AE159</f>
        <v>0.23</v>
      </c>
      <c r="AG159" s="1">
        <v>0.23</v>
      </c>
      <c r="AH159" s="1">
        <v>0.3</v>
      </c>
      <c r="AI159" s="1">
        <v>0.3</v>
      </c>
      <c r="AJ159" s="1">
        <f t="shared" ref="AJ159" si="68">AI159</f>
        <v>0.3</v>
      </c>
      <c r="AK159" s="1">
        <v>0.3</v>
      </c>
      <c r="AL159" s="1">
        <v>0.23</v>
      </c>
      <c r="AM159" s="1">
        <v>0.3</v>
      </c>
      <c r="AN159" s="1">
        <v>0.3</v>
      </c>
      <c r="AO159" s="1">
        <v>0.23</v>
      </c>
      <c r="AP159" s="1">
        <v>0.23</v>
      </c>
      <c r="AQ159" s="1">
        <v>0.3</v>
      </c>
      <c r="AR159" s="1">
        <v>0.3</v>
      </c>
      <c r="AS159" s="1">
        <f>AR159</f>
        <v>0.3</v>
      </c>
      <c r="AT159" s="1">
        <f t="shared" ref="AT159" si="69">AS159</f>
        <v>0.3</v>
      </c>
      <c r="AU159" s="1">
        <v>0.23</v>
      </c>
      <c r="AV159" s="1">
        <v>0.3</v>
      </c>
      <c r="AW159" s="1">
        <v>0.23</v>
      </c>
      <c r="AX159" s="1">
        <v>0.3</v>
      </c>
      <c r="AY159" s="1">
        <v>0.3</v>
      </c>
      <c r="AZ159" s="1">
        <v>0.3</v>
      </c>
      <c r="BA159" s="1">
        <v>0.3</v>
      </c>
      <c r="BB159" s="1">
        <v>0.23</v>
      </c>
      <c r="BC159" s="1">
        <v>0.3</v>
      </c>
      <c r="BD159" s="1">
        <v>0.3</v>
      </c>
      <c r="BE159" s="1">
        <v>0.3</v>
      </c>
      <c r="BF159" s="1">
        <v>0.3</v>
      </c>
      <c r="BG159" s="1">
        <v>0.23</v>
      </c>
      <c r="BH159" s="1">
        <v>0.3</v>
      </c>
      <c r="BI159" s="1">
        <v>0.3</v>
      </c>
      <c r="BJ159" s="1">
        <v>0.3</v>
      </c>
      <c r="BK159" s="1">
        <v>0.3</v>
      </c>
      <c r="BL159" s="1">
        <v>0.3</v>
      </c>
      <c r="BM159" s="1">
        <v>0.3</v>
      </c>
      <c r="BN159" s="1">
        <v>0.23</v>
      </c>
      <c r="BO159" s="1">
        <v>0.3</v>
      </c>
      <c r="BP159" s="1">
        <v>0.3</v>
      </c>
      <c r="BQ159" s="1">
        <v>0.23</v>
      </c>
      <c r="BR159" s="1">
        <v>0.23</v>
      </c>
      <c r="BS159" s="1">
        <v>0.23</v>
      </c>
      <c r="BT159" s="1">
        <v>0.3</v>
      </c>
      <c r="BU159" s="1">
        <v>0.3</v>
      </c>
    </row>
    <row r="160" spans="1:73" s="1" customFormat="1" ht="12.75">
      <c r="A160" s="44"/>
      <c r="B160" s="8">
        <f t="shared" ref="B160:BA160" si="70">B157*B158*B159</f>
        <v>3.0498000000000003</v>
      </c>
      <c r="C160" s="8">
        <f t="shared" si="70"/>
        <v>0.30532500000000007</v>
      </c>
      <c r="D160" s="8">
        <f t="shared" si="70"/>
        <v>2.5680000000000001</v>
      </c>
      <c r="E160" s="8">
        <f t="shared" si="70"/>
        <v>0.87975000000000003</v>
      </c>
      <c r="F160" s="8">
        <f t="shared" si="70"/>
        <v>1.0898999999999999</v>
      </c>
      <c r="G160" s="8">
        <f t="shared" si="70"/>
        <v>0.55430000000000001</v>
      </c>
      <c r="H160" s="8">
        <f t="shared" si="70"/>
        <v>0.98325000000000018</v>
      </c>
      <c r="I160" s="8">
        <f t="shared" si="70"/>
        <v>2.16</v>
      </c>
      <c r="J160" s="8">
        <f t="shared" si="70"/>
        <v>0.83950000000000002</v>
      </c>
      <c r="K160" s="8">
        <f t="shared" si="70"/>
        <v>0.55890000000000006</v>
      </c>
      <c r="L160" s="8">
        <f t="shared" si="70"/>
        <v>0.32400000000000001</v>
      </c>
      <c r="M160" s="8">
        <f t="shared" si="70"/>
        <v>1.494</v>
      </c>
      <c r="N160" s="8">
        <f t="shared" si="70"/>
        <v>0.75600000000000001</v>
      </c>
      <c r="O160" s="8">
        <f t="shared" si="70"/>
        <v>0.6624000000000001</v>
      </c>
      <c r="P160" s="8">
        <f t="shared" si="70"/>
        <v>0.26910000000000006</v>
      </c>
      <c r="Q160" s="8">
        <f t="shared" si="70"/>
        <v>1.0074000000000001</v>
      </c>
      <c r="R160" s="8">
        <f t="shared" si="70"/>
        <v>0.23804999999999998</v>
      </c>
      <c r="S160" s="8">
        <f t="shared" si="70"/>
        <v>1.4039999999999999</v>
      </c>
      <c r="T160" s="8">
        <f t="shared" si="70"/>
        <v>0.91980000000000006</v>
      </c>
      <c r="U160" s="8">
        <f t="shared" si="70"/>
        <v>0.97600500000000001</v>
      </c>
      <c r="V160" s="8">
        <f t="shared" si="70"/>
        <v>1.494</v>
      </c>
      <c r="W160" s="8">
        <f t="shared" si="70"/>
        <v>1.3679999999999999</v>
      </c>
      <c r="X160" s="8">
        <f t="shared" si="70"/>
        <v>4.1687999999999992</v>
      </c>
      <c r="Y160" s="8">
        <f t="shared" si="70"/>
        <v>1.7999999999999998</v>
      </c>
      <c r="Z160" s="8">
        <f t="shared" si="70"/>
        <v>1.9745999999999999</v>
      </c>
      <c r="AA160" s="8">
        <f t="shared" si="70"/>
        <v>0.68759999999999988</v>
      </c>
      <c r="AB160" s="8">
        <f t="shared" si="70"/>
        <v>1.17</v>
      </c>
      <c r="AC160" s="8">
        <f t="shared" si="70"/>
        <v>1.1573999999999998</v>
      </c>
      <c r="AD160" s="8">
        <f t="shared" si="70"/>
        <v>0.55890000000000006</v>
      </c>
      <c r="AE160" s="8">
        <f t="shared" si="70"/>
        <v>0.22425</v>
      </c>
      <c r="AF160" s="8">
        <f t="shared" si="70"/>
        <v>0.83950000000000002</v>
      </c>
      <c r="AG160" s="8">
        <f t="shared" si="70"/>
        <v>0.23</v>
      </c>
      <c r="AH160" s="8">
        <f t="shared" si="70"/>
        <v>1.6920000000000002</v>
      </c>
      <c r="AI160" s="8">
        <f t="shared" si="70"/>
        <v>0.36000000000000004</v>
      </c>
      <c r="AJ160" s="8">
        <f t="shared" si="70"/>
        <v>1.1339999999999999</v>
      </c>
      <c r="AK160" s="8">
        <f t="shared" si="70"/>
        <v>0.77399999999999991</v>
      </c>
      <c r="AL160" s="8">
        <f t="shared" si="70"/>
        <v>0.30532500000000007</v>
      </c>
      <c r="AM160" s="8">
        <f t="shared" si="70"/>
        <v>0.36</v>
      </c>
      <c r="AN160" s="8">
        <f t="shared" si="70"/>
        <v>0.9323999999999999</v>
      </c>
      <c r="AO160" s="8">
        <f t="shared" si="70"/>
        <v>0.30532500000000007</v>
      </c>
      <c r="AP160" s="8">
        <f t="shared" si="70"/>
        <v>1.7836500000000002</v>
      </c>
      <c r="AQ160" s="8">
        <f t="shared" si="70"/>
        <v>2.16</v>
      </c>
      <c r="AR160" s="8">
        <f t="shared" si="70"/>
        <v>1.3679999999999999</v>
      </c>
      <c r="AS160" s="8">
        <f t="shared" si="70"/>
        <v>1.8719999999999999</v>
      </c>
      <c r="AT160" s="8">
        <f t="shared" si="70"/>
        <v>0.99179999999999979</v>
      </c>
      <c r="AU160" s="8">
        <f t="shared" si="70"/>
        <v>2.0079000000000002</v>
      </c>
      <c r="AV160" s="8">
        <f t="shared" si="70"/>
        <v>0.73260000000000003</v>
      </c>
      <c r="AW160" s="8">
        <f t="shared" si="70"/>
        <v>0.65515500000000004</v>
      </c>
      <c r="AX160" s="8">
        <f t="shared" si="70"/>
        <v>4.4621999999999993</v>
      </c>
      <c r="AY160" s="8">
        <f t="shared" si="70"/>
        <v>0.98999999999999988</v>
      </c>
      <c r="AZ160" s="8">
        <f t="shared" si="70"/>
        <v>0.75600000000000001</v>
      </c>
      <c r="BA160" s="8">
        <f t="shared" si="70"/>
        <v>0.59939999999999993</v>
      </c>
      <c r="BB160" s="8">
        <f t="shared" ref="BB160:BK160" si="71">BB157*BB158*BB159</f>
        <v>0.30532500000000007</v>
      </c>
      <c r="BC160" s="8">
        <f t="shared" si="71"/>
        <v>0.75600000000000001</v>
      </c>
      <c r="BD160" s="8">
        <f t="shared" si="71"/>
        <v>0.7649999999999999</v>
      </c>
      <c r="BE160" s="8">
        <f t="shared" si="71"/>
        <v>0.30599999999999999</v>
      </c>
      <c r="BF160" s="8">
        <f t="shared" si="71"/>
        <v>0.49499999999999994</v>
      </c>
      <c r="BG160" s="8">
        <f t="shared" si="71"/>
        <v>1.8514999999999999</v>
      </c>
      <c r="BH160" s="8">
        <f t="shared" si="71"/>
        <v>1.3644000000000001</v>
      </c>
      <c r="BI160" s="8">
        <f t="shared" si="71"/>
        <v>2.4612000000000003</v>
      </c>
      <c r="BJ160" s="8">
        <f t="shared" si="71"/>
        <v>0.98999999999999988</v>
      </c>
      <c r="BK160" s="8">
        <f t="shared" si="71"/>
        <v>0.9323999999999999</v>
      </c>
      <c r="BL160" s="8">
        <f t="shared" ref="BL160:BU160" si="72">BL157*BL158*BL159</f>
        <v>0.26999999999999996</v>
      </c>
      <c r="BM160" s="8">
        <f t="shared" si="72"/>
        <v>3.6323999999999996</v>
      </c>
      <c r="BN160" s="8">
        <f t="shared" si="72"/>
        <v>0.44401500000000005</v>
      </c>
      <c r="BO160" s="8">
        <f t="shared" si="72"/>
        <v>2.0699999999999998</v>
      </c>
      <c r="BP160" s="8">
        <f t="shared" si="72"/>
        <v>1.5623999999999998</v>
      </c>
      <c r="BQ160" s="8">
        <f t="shared" si="72"/>
        <v>1.1281500000000002</v>
      </c>
      <c r="BR160" s="8">
        <f t="shared" si="72"/>
        <v>0.98118000000000005</v>
      </c>
      <c r="BS160" s="8">
        <f t="shared" si="72"/>
        <v>0.44401500000000005</v>
      </c>
      <c r="BT160" s="8">
        <f t="shared" si="72"/>
        <v>1.224</v>
      </c>
      <c r="BU160" s="8">
        <f t="shared" si="72"/>
        <v>1.9817999999999998</v>
      </c>
    </row>
    <row r="161" spans="1:73" s="1" customFormat="1" ht="15.75" thickBot="1"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</row>
    <row r="162" spans="1:73" s="1" customFormat="1" ht="19.5" thickBot="1">
      <c r="B162" s="203" t="s">
        <v>309</v>
      </c>
      <c r="C162" s="203"/>
      <c r="D162" s="203"/>
      <c r="E162" s="203"/>
      <c r="F162" s="50">
        <f>ROUNDUP(SUM(B167:BU167),0)</f>
        <v>756</v>
      </c>
      <c r="G162" s="55"/>
      <c r="I162" s="4"/>
      <c r="BQ162"/>
      <c r="BR162"/>
      <c r="BS162"/>
      <c r="BT162"/>
      <c r="BU162"/>
    </row>
    <row r="163" spans="1:73" s="1" customFormat="1" ht="12.75">
      <c r="B163" s="1" t="str">
        <f>B156</f>
        <v>BM 1</v>
      </c>
      <c r="C163" s="1" t="str">
        <f t="shared" ref="C163:BA163" si="73">C156</f>
        <v>BM 2</v>
      </c>
      <c r="D163" s="1" t="str">
        <f t="shared" si="73"/>
        <v>BM 3</v>
      </c>
      <c r="E163" s="1" t="str">
        <f t="shared" si="73"/>
        <v>BM 4</v>
      </c>
      <c r="F163" s="1" t="str">
        <f t="shared" si="73"/>
        <v>BM 5</v>
      </c>
      <c r="G163" s="1" t="str">
        <f t="shared" si="73"/>
        <v>BM 6</v>
      </c>
      <c r="H163" s="1" t="str">
        <f t="shared" si="73"/>
        <v>BM 7</v>
      </c>
      <c r="I163" s="1" t="str">
        <f t="shared" si="73"/>
        <v>BM 8</v>
      </c>
      <c r="J163" s="1" t="str">
        <f t="shared" si="73"/>
        <v>BM 9</v>
      </c>
      <c r="K163" s="1" t="str">
        <f t="shared" si="73"/>
        <v>BM 10</v>
      </c>
      <c r="L163" s="1" t="str">
        <f t="shared" si="73"/>
        <v>BM 11</v>
      </c>
      <c r="M163" s="1" t="str">
        <f t="shared" si="73"/>
        <v>BM 12</v>
      </c>
      <c r="N163" s="1" t="str">
        <f t="shared" si="73"/>
        <v>BM 13</v>
      </c>
      <c r="O163" s="1" t="str">
        <f t="shared" si="73"/>
        <v>BM 14</v>
      </c>
      <c r="P163" s="1" t="str">
        <f t="shared" si="73"/>
        <v>BM 15</v>
      </c>
      <c r="Q163" s="1" t="str">
        <f t="shared" si="73"/>
        <v>BM 16</v>
      </c>
      <c r="R163" s="1" t="str">
        <f t="shared" si="73"/>
        <v>BM 17</v>
      </c>
      <c r="S163" s="1" t="str">
        <f t="shared" si="73"/>
        <v>BM 18</v>
      </c>
      <c r="T163" s="1" t="str">
        <f t="shared" si="73"/>
        <v>BM 19</v>
      </c>
      <c r="U163" s="1" t="str">
        <f t="shared" si="73"/>
        <v>BM 20</v>
      </c>
      <c r="V163" s="1" t="str">
        <f t="shared" si="73"/>
        <v>BM 21</v>
      </c>
      <c r="W163" s="1" t="str">
        <f t="shared" si="73"/>
        <v>BM 22</v>
      </c>
      <c r="X163" s="1" t="str">
        <f t="shared" si="73"/>
        <v>BM 23</v>
      </c>
      <c r="Y163" s="1" t="str">
        <f t="shared" si="73"/>
        <v>BM 24</v>
      </c>
      <c r="Z163" s="1" t="str">
        <f t="shared" si="73"/>
        <v>BM 25</v>
      </c>
      <c r="AA163" s="1" t="str">
        <f t="shared" si="73"/>
        <v>BM 26</v>
      </c>
      <c r="AB163" s="1" t="str">
        <f t="shared" si="73"/>
        <v>BM 27</v>
      </c>
      <c r="AC163" s="1" t="str">
        <f t="shared" si="73"/>
        <v>BM 28</v>
      </c>
      <c r="AD163" s="1" t="str">
        <f t="shared" si="73"/>
        <v>BM 29</v>
      </c>
      <c r="AE163" s="1" t="str">
        <f t="shared" si="73"/>
        <v>BM 30</v>
      </c>
      <c r="AF163" s="1" t="str">
        <f t="shared" si="73"/>
        <v>BM 31</v>
      </c>
      <c r="AG163" s="1" t="str">
        <f t="shared" si="73"/>
        <v>BM 32</v>
      </c>
      <c r="AH163" s="1" t="str">
        <f t="shared" si="73"/>
        <v>BM 33</v>
      </c>
      <c r="AI163" s="1" t="str">
        <f t="shared" si="73"/>
        <v>BM 34</v>
      </c>
      <c r="AJ163" s="1" t="str">
        <f t="shared" si="73"/>
        <v>BM 35</v>
      </c>
      <c r="AK163" s="1" t="str">
        <f t="shared" si="73"/>
        <v>BM 36</v>
      </c>
      <c r="AL163" s="1" t="str">
        <f t="shared" si="73"/>
        <v>BM 37</v>
      </c>
      <c r="AM163" s="1" t="str">
        <f t="shared" si="73"/>
        <v>BM 38</v>
      </c>
      <c r="AN163" s="1" t="str">
        <f t="shared" si="73"/>
        <v>BM 39</v>
      </c>
      <c r="AO163" s="1" t="str">
        <f t="shared" si="73"/>
        <v>BM 40</v>
      </c>
      <c r="AP163" s="1" t="str">
        <f t="shared" si="73"/>
        <v>BM 41</v>
      </c>
      <c r="AQ163" s="1" t="str">
        <f t="shared" si="73"/>
        <v>BM 42</v>
      </c>
      <c r="AR163" s="1" t="str">
        <f t="shared" si="73"/>
        <v>BM 43</v>
      </c>
      <c r="AS163" s="1" t="str">
        <f t="shared" si="73"/>
        <v>BM 44</v>
      </c>
      <c r="AT163" s="1" t="str">
        <f t="shared" si="73"/>
        <v>BM 45</v>
      </c>
      <c r="AU163" s="1" t="str">
        <f t="shared" si="73"/>
        <v>BM 46</v>
      </c>
      <c r="AV163" s="1" t="str">
        <f t="shared" si="73"/>
        <v>BM 47</v>
      </c>
      <c r="AW163" s="1" t="str">
        <f t="shared" si="73"/>
        <v>BM 48</v>
      </c>
      <c r="AX163" s="1" t="str">
        <f t="shared" si="73"/>
        <v>BM 49</v>
      </c>
      <c r="AY163" s="1" t="str">
        <f t="shared" si="73"/>
        <v>BM 50</v>
      </c>
      <c r="AZ163" s="1" t="str">
        <f t="shared" si="73"/>
        <v>BM 51</v>
      </c>
      <c r="BA163" s="1" t="str">
        <f t="shared" si="73"/>
        <v>BM 52</v>
      </c>
      <c r="BB163" s="1" t="str">
        <f t="shared" ref="BB163:BK163" si="74">BB156</f>
        <v>BM 53</v>
      </c>
      <c r="BC163" s="1" t="str">
        <f t="shared" si="74"/>
        <v>BM 54</v>
      </c>
      <c r="BD163" s="1" t="str">
        <f t="shared" si="74"/>
        <v>BM 55</v>
      </c>
      <c r="BE163" s="1" t="str">
        <f t="shared" si="74"/>
        <v>BM 56</v>
      </c>
      <c r="BF163" s="1" t="str">
        <f t="shared" si="74"/>
        <v>BM 57</v>
      </c>
      <c r="BG163" s="1" t="str">
        <f t="shared" si="74"/>
        <v>BM 58</v>
      </c>
      <c r="BH163" s="1" t="str">
        <f t="shared" si="74"/>
        <v>BM 59</v>
      </c>
      <c r="BI163" s="1" t="str">
        <f t="shared" si="74"/>
        <v>BM 60</v>
      </c>
      <c r="BJ163" s="1" t="str">
        <f t="shared" si="74"/>
        <v>BM 61</v>
      </c>
      <c r="BK163" s="1" t="str">
        <f t="shared" si="74"/>
        <v>BM 62</v>
      </c>
      <c r="BL163" s="1" t="str">
        <f t="shared" ref="BL163:BU163" si="75">BL156</f>
        <v>BM 63</v>
      </c>
      <c r="BM163" s="1" t="str">
        <f t="shared" si="75"/>
        <v>BM 64</v>
      </c>
      <c r="BN163" s="1" t="str">
        <f t="shared" si="75"/>
        <v>BM 65</v>
      </c>
      <c r="BO163" s="1" t="str">
        <f t="shared" si="75"/>
        <v>BM 66</v>
      </c>
      <c r="BP163" s="1" t="str">
        <f t="shared" si="75"/>
        <v>BM 67</v>
      </c>
      <c r="BQ163" s="1" t="str">
        <f t="shared" si="75"/>
        <v>BM 68</v>
      </c>
      <c r="BR163" s="1" t="str">
        <f t="shared" si="75"/>
        <v>BM 69</v>
      </c>
      <c r="BS163" s="1" t="str">
        <f t="shared" si="75"/>
        <v>BM 70</v>
      </c>
      <c r="BT163" s="1" t="str">
        <f t="shared" si="75"/>
        <v>BM 71</v>
      </c>
      <c r="BU163" s="1" t="str">
        <f t="shared" si="75"/>
        <v>BM 72</v>
      </c>
    </row>
    <row r="164" spans="1:73" s="44" customFormat="1" ht="12.75">
      <c r="A164" s="44" t="str">
        <f>A157</f>
        <v>length</v>
      </c>
      <c r="B164" s="1">
        <f t="shared" ref="B164:BA166" si="76">B157</f>
        <v>22.1</v>
      </c>
      <c r="C164" s="1">
        <f t="shared" si="76"/>
        <v>2.95</v>
      </c>
      <c r="D164" s="1">
        <f t="shared" si="76"/>
        <v>10.7</v>
      </c>
      <c r="E164" s="1">
        <f t="shared" si="76"/>
        <v>8.5</v>
      </c>
      <c r="F164" s="1">
        <f t="shared" si="76"/>
        <v>5.19</v>
      </c>
      <c r="G164" s="1">
        <f t="shared" si="76"/>
        <v>4.82</v>
      </c>
      <c r="H164" s="1">
        <f t="shared" si="76"/>
        <v>9.5</v>
      </c>
      <c r="I164" s="1">
        <f t="shared" si="76"/>
        <v>9</v>
      </c>
      <c r="J164" s="1">
        <f t="shared" si="76"/>
        <v>7.3</v>
      </c>
      <c r="K164" s="1">
        <f t="shared" si="76"/>
        <v>5.4</v>
      </c>
      <c r="L164" s="1">
        <f t="shared" si="76"/>
        <v>1.8</v>
      </c>
      <c r="M164" s="1">
        <f t="shared" si="76"/>
        <v>8.3000000000000007</v>
      </c>
      <c r="N164" s="1">
        <f t="shared" si="76"/>
        <v>4.2</v>
      </c>
      <c r="O164" s="1">
        <f t="shared" si="76"/>
        <v>6.4</v>
      </c>
      <c r="P164" s="1">
        <f t="shared" si="76"/>
        <v>2.6</v>
      </c>
      <c r="Q164" s="1">
        <f t="shared" si="76"/>
        <v>7.3</v>
      </c>
      <c r="R164" s="1">
        <f t="shared" si="76"/>
        <v>2.2999999999999998</v>
      </c>
      <c r="S164" s="1">
        <f t="shared" si="76"/>
        <v>7.8</v>
      </c>
      <c r="T164" s="1">
        <f t="shared" si="76"/>
        <v>5.1100000000000003</v>
      </c>
      <c r="U164" s="1">
        <f t="shared" si="76"/>
        <v>9.43</v>
      </c>
      <c r="V164" s="1">
        <f t="shared" si="76"/>
        <v>8.3000000000000007</v>
      </c>
      <c r="W164" s="1">
        <f t="shared" si="76"/>
        <v>7.6</v>
      </c>
      <c r="X164" s="1">
        <f t="shared" si="76"/>
        <v>23.16</v>
      </c>
      <c r="Y164" s="1">
        <f t="shared" si="76"/>
        <v>10</v>
      </c>
      <c r="Z164" s="1">
        <f t="shared" si="76"/>
        <v>10.97</v>
      </c>
      <c r="AA164" s="1">
        <f t="shared" si="76"/>
        <v>3.82</v>
      </c>
      <c r="AB164" s="1">
        <f t="shared" si="76"/>
        <v>6.5</v>
      </c>
      <c r="AC164" s="1">
        <f t="shared" si="76"/>
        <v>6.43</v>
      </c>
      <c r="AD164" s="1">
        <f t="shared" si="76"/>
        <v>5.4</v>
      </c>
      <c r="AE164" s="1">
        <f t="shared" si="76"/>
        <v>1.95</v>
      </c>
      <c r="AF164" s="1">
        <f t="shared" si="76"/>
        <v>7.3</v>
      </c>
      <c r="AG164" s="1">
        <f t="shared" si="76"/>
        <v>2</v>
      </c>
      <c r="AH164" s="1">
        <f t="shared" si="76"/>
        <v>7.05</v>
      </c>
      <c r="AI164" s="1">
        <f t="shared" si="76"/>
        <v>1.5</v>
      </c>
      <c r="AJ164" s="1">
        <f t="shared" si="76"/>
        <v>6.3</v>
      </c>
      <c r="AK164" s="1">
        <f t="shared" si="76"/>
        <v>4.3</v>
      </c>
      <c r="AL164" s="1">
        <f t="shared" si="76"/>
        <v>2.95</v>
      </c>
      <c r="AM164" s="1">
        <f t="shared" si="76"/>
        <v>2</v>
      </c>
      <c r="AN164" s="1">
        <f t="shared" si="76"/>
        <v>5.18</v>
      </c>
      <c r="AO164" s="1">
        <f t="shared" si="76"/>
        <v>2.95</v>
      </c>
      <c r="AP164" s="1">
        <f t="shared" si="76"/>
        <v>14.1</v>
      </c>
      <c r="AQ164" s="1">
        <f t="shared" si="76"/>
        <v>9</v>
      </c>
      <c r="AR164" s="1">
        <f t="shared" si="76"/>
        <v>7.6</v>
      </c>
      <c r="AS164" s="1">
        <f t="shared" si="76"/>
        <v>10.4</v>
      </c>
      <c r="AT164" s="1">
        <f t="shared" si="76"/>
        <v>5.51</v>
      </c>
      <c r="AU164" s="1">
        <f t="shared" si="76"/>
        <v>19.399999999999999</v>
      </c>
      <c r="AV164" s="1">
        <f t="shared" si="76"/>
        <v>4.07</v>
      </c>
      <c r="AW164" s="1">
        <f t="shared" si="76"/>
        <v>6.33</v>
      </c>
      <c r="AX164" s="1">
        <f t="shared" si="76"/>
        <v>24.79</v>
      </c>
      <c r="AY164" s="1">
        <f t="shared" si="76"/>
        <v>5.5</v>
      </c>
      <c r="AZ164" s="1">
        <f t="shared" si="76"/>
        <v>4.2</v>
      </c>
      <c r="BA164" s="1">
        <f t="shared" si="76"/>
        <v>3.33</v>
      </c>
      <c r="BB164" s="1">
        <f t="shared" ref="BB164:BK164" si="77">BB157</f>
        <v>2.95</v>
      </c>
      <c r="BC164" s="1">
        <f t="shared" si="77"/>
        <v>4.2</v>
      </c>
      <c r="BD164" s="1">
        <f t="shared" si="77"/>
        <v>4.25</v>
      </c>
      <c r="BE164" s="1">
        <f t="shared" si="77"/>
        <v>1.7</v>
      </c>
      <c r="BF164" s="1">
        <f t="shared" si="77"/>
        <v>2.75</v>
      </c>
      <c r="BG164" s="1">
        <f t="shared" si="77"/>
        <v>11.5</v>
      </c>
      <c r="BH164" s="1">
        <f t="shared" si="77"/>
        <v>7.58</v>
      </c>
      <c r="BI164" s="1">
        <f t="shared" si="77"/>
        <v>11.72</v>
      </c>
      <c r="BJ164" s="1">
        <f t="shared" si="77"/>
        <v>5.5</v>
      </c>
      <c r="BK164" s="1">
        <f t="shared" si="77"/>
        <v>5.18</v>
      </c>
      <c r="BL164" s="1">
        <f t="shared" ref="BL164:BU164" si="78">BL157</f>
        <v>1.5</v>
      </c>
      <c r="BM164" s="1">
        <f t="shared" si="78"/>
        <v>20.18</v>
      </c>
      <c r="BN164" s="1">
        <f t="shared" si="78"/>
        <v>4.29</v>
      </c>
      <c r="BO164" s="1">
        <f t="shared" si="78"/>
        <v>11.5</v>
      </c>
      <c r="BP164" s="1">
        <f t="shared" si="78"/>
        <v>8.68</v>
      </c>
      <c r="BQ164" s="1">
        <f t="shared" si="78"/>
        <v>10.9</v>
      </c>
      <c r="BR164" s="1">
        <f t="shared" si="78"/>
        <v>9.48</v>
      </c>
      <c r="BS164" s="1">
        <f t="shared" si="78"/>
        <v>4.29</v>
      </c>
      <c r="BT164" s="1">
        <f t="shared" si="78"/>
        <v>5.0999999999999996</v>
      </c>
      <c r="BU164" s="1">
        <f t="shared" si="78"/>
        <v>11.01</v>
      </c>
    </row>
    <row r="165" spans="1:73" s="1" customFormat="1" ht="12.75">
      <c r="A165" s="44" t="str">
        <f>A158</f>
        <v>depth</v>
      </c>
      <c r="B165" s="1">
        <f t="shared" si="76"/>
        <v>0.6</v>
      </c>
      <c r="C165" s="1">
        <f t="shared" si="76"/>
        <v>0.45</v>
      </c>
      <c r="D165" s="1">
        <f t="shared" si="76"/>
        <v>0.8</v>
      </c>
      <c r="E165" s="1">
        <f t="shared" si="76"/>
        <v>0.45</v>
      </c>
      <c r="F165" s="1">
        <f t="shared" si="76"/>
        <v>0.7</v>
      </c>
      <c r="G165" s="1">
        <f t="shared" si="76"/>
        <v>0.5</v>
      </c>
      <c r="H165" s="1">
        <f t="shared" si="76"/>
        <v>0.45</v>
      </c>
      <c r="I165" s="1">
        <f t="shared" si="76"/>
        <v>0.8</v>
      </c>
      <c r="J165" s="1">
        <f t="shared" si="76"/>
        <v>0.5</v>
      </c>
      <c r="K165" s="1">
        <f t="shared" si="76"/>
        <v>0.45</v>
      </c>
      <c r="L165" s="1">
        <f t="shared" si="76"/>
        <v>0.6</v>
      </c>
      <c r="M165" s="1">
        <f t="shared" si="76"/>
        <v>0.6</v>
      </c>
      <c r="N165" s="1">
        <f t="shared" si="76"/>
        <v>0.6</v>
      </c>
      <c r="O165" s="1">
        <f t="shared" si="76"/>
        <v>0.45</v>
      </c>
      <c r="P165" s="1">
        <f t="shared" si="76"/>
        <v>0.45</v>
      </c>
      <c r="Q165" s="1">
        <f t="shared" si="76"/>
        <v>0.6</v>
      </c>
      <c r="R165" s="1">
        <f t="shared" si="76"/>
        <v>0.45</v>
      </c>
      <c r="S165" s="1">
        <f t="shared" si="76"/>
        <v>0.6</v>
      </c>
      <c r="T165" s="1">
        <f t="shared" si="76"/>
        <v>0.6</v>
      </c>
      <c r="U165" s="1">
        <f t="shared" si="76"/>
        <v>0.45</v>
      </c>
      <c r="V165" s="1">
        <f t="shared" si="76"/>
        <v>0.6</v>
      </c>
      <c r="W165" s="1">
        <f t="shared" si="76"/>
        <v>0.6</v>
      </c>
      <c r="X165" s="1">
        <f t="shared" si="76"/>
        <v>0.6</v>
      </c>
      <c r="Y165" s="1">
        <f t="shared" si="76"/>
        <v>0.6</v>
      </c>
      <c r="Z165" s="1">
        <f t="shared" si="76"/>
        <v>0.6</v>
      </c>
      <c r="AA165" s="1">
        <f t="shared" si="76"/>
        <v>0.6</v>
      </c>
      <c r="AB165" s="1">
        <f t="shared" si="76"/>
        <v>0.6</v>
      </c>
      <c r="AC165" s="1">
        <f t="shared" si="76"/>
        <v>0.6</v>
      </c>
      <c r="AD165" s="1">
        <f t="shared" si="76"/>
        <v>0.45</v>
      </c>
      <c r="AE165" s="1">
        <f t="shared" si="76"/>
        <v>0.5</v>
      </c>
      <c r="AF165" s="1">
        <f t="shared" si="76"/>
        <v>0.5</v>
      </c>
      <c r="AG165" s="1">
        <f t="shared" si="76"/>
        <v>0.5</v>
      </c>
      <c r="AH165" s="1">
        <f t="shared" si="76"/>
        <v>0.8</v>
      </c>
      <c r="AI165" s="1">
        <f t="shared" si="76"/>
        <v>0.8</v>
      </c>
      <c r="AJ165" s="1">
        <f t="shared" si="76"/>
        <v>0.6</v>
      </c>
      <c r="AK165" s="1">
        <f t="shared" si="76"/>
        <v>0.6</v>
      </c>
      <c r="AL165" s="1">
        <f t="shared" si="76"/>
        <v>0.45</v>
      </c>
      <c r="AM165" s="1">
        <f t="shared" si="76"/>
        <v>0.6</v>
      </c>
      <c r="AN165" s="1">
        <f t="shared" si="76"/>
        <v>0.6</v>
      </c>
      <c r="AO165" s="1">
        <f t="shared" si="76"/>
        <v>0.45</v>
      </c>
      <c r="AP165" s="1">
        <f t="shared" si="76"/>
        <v>0.55000000000000004</v>
      </c>
      <c r="AQ165" s="1">
        <f t="shared" si="76"/>
        <v>0.8</v>
      </c>
      <c r="AR165" s="1">
        <f t="shared" si="76"/>
        <v>0.6</v>
      </c>
      <c r="AS165" s="1">
        <f t="shared" si="76"/>
        <v>0.6</v>
      </c>
      <c r="AT165" s="1">
        <f t="shared" si="76"/>
        <v>0.6</v>
      </c>
      <c r="AU165" s="1">
        <f t="shared" si="76"/>
        <v>0.45</v>
      </c>
      <c r="AV165" s="1">
        <f t="shared" si="76"/>
        <v>0.6</v>
      </c>
      <c r="AW165" s="1">
        <f t="shared" si="76"/>
        <v>0.45</v>
      </c>
      <c r="AX165" s="1">
        <f t="shared" si="76"/>
        <v>0.6</v>
      </c>
      <c r="AY165" s="1">
        <f t="shared" si="76"/>
        <v>0.6</v>
      </c>
      <c r="AZ165" s="1">
        <f t="shared" si="76"/>
        <v>0.6</v>
      </c>
      <c r="BA165" s="1">
        <f t="shared" si="76"/>
        <v>0.6</v>
      </c>
      <c r="BB165" s="1">
        <f t="shared" ref="BB165:BK165" si="79">BB158</f>
        <v>0.45</v>
      </c>
      <c r="BC165" s="1">
        <f t="shared" si="79"/>
        <v>0.6</v>
      </c>
      <c r="BD165" s="1">
        <f t="shared" si="79"/>
        <v>0.6</v>
      </c>
      <c r="BE165" s="1">
        <f t="shared" si="79"/>
        <v>0.6</v>
      </c>
      <c r="BF165" s="1">
        <f t="shared" si="79"/>
        <v>0.6</v>
      </c>
      <c r="BG165" s="1">
        <f t="shared" si="79"/>
        <v>0.7</v>
      </c>
      <c r="BH165" s="1">
        <f t="shared" si="79"/>
        <v>0.6</v>
      </c>
      <c r="BI165" s="1">
        <f t="shared" si="79"/>
        <v>0.7</v>
      </c>
      <c r="BJ165" s="1">
        <f t="shared" si="79"/>
        <v>0.6</v>
      </c>
      <c r="BK165" s="1">
        <f t="shared" si="79"/>
        <v>0.6</v>
      </c>
      <c r="BL165" s="1">
        <f t="shared" ref="BL165:BU165" si="80">BL158</f>
        <v>0.6</v>
      </c>
      <c r="BM165" s="1">
        <f t="shared" si="80"/>
        <v>0.6</v>
      </c>
      <c r="BN165" s="1">
        <f t="shared" si="80"/>
        <v>0.45</v>
      </c>
      <c r="BO165" s="1">
        <f t="shared" si="80"/>
        <v>0.6</v>
      </c>
      <c r="BP165" s="1">
        <f t="shared" si="80"/>
        <v>0.6</v>
      </c>
      <c r="BQ165" s="1">
        <f t="shared" si="80"/>
        <v>0.45</v>
      </c>
      <c r="BR165" s="1">
        <f t="shared" si="80"/>
        <v>0.45</v>
      </c>
      <c r="BS165" s="1">
        <f t="shared" si="80"/>
        <v>0.45</v>
      </c>
      <c r="BT165" s="1">
        <f t="shared" si="80"/>
        <v>0.8</v>
      </c>
      <c r="BU165" s="1">
        <f t="shared" si="80"/>
        <v>0.6</v>
      </c>
    </row>
    <row r="166" spans="1:73" s="1" customFormat="1" ht="12.75">
      <c r="A166" s="44" t="str">
        <f>A159</f>
        <v>width</v>
      </c>
      <c r="B166" s="1">
        <f t="shared" si="76"/>
        <v>0.23</v>
      </c>
      <c r="C166" s="1">
        <f t="shared" si="76"/>
        <v>0.23</v>
      </c>
      <c r="D166" s="1">
        <f t="shared" si="76"/>
        <v>0.3</v>
      </c>
      <c r="E166" s="1">
        <f t="shared" si="76"/>
        <v>0.23</v>
      </c>
      <c r="F166" s="1">
        <f t="shared" si="76"/>
        <v>0.3</v>
      </c>
      <c r="G166" s="1">
        <f t="shared" si="76"/>
        <v>0.23</v>
      </c>
      <c r="H166" s="1">
        <f t="shared" si="76"/>
        <v>0.23</v>
      </c>
      <c r="I166" s="1">
        <f t="shared" si="76"/>
        <v>0.3</v>
      </c>
      <c r="J166" s="1">
        <f t="shared" si="76"/>
        <v>0.23</v>
      </c>
      <c r="K166" s="1">
        <f t="shared" si="76"/>
        <v>0.23</v>
      </c>
      <c r="L166" s="1">
        <f t="shared" si="76"/>
        <v>0.3</v>
      </c>
      <c r="M166" s="1">
        <f t="shared" si="76"/>
        <v>0.3</v>
      </c>
      <c r="N166" s="1">
        <f t="shared" si="76"/>
        <v>0.3</v>
      </c>
      <c r="O166" s="1">
        <f t="shared" si="76"/>
        <v>0.23</v>
      </c>
      <c r="P166" s="1">
        <f t="shared" si="76"/>
        <v>0.23</v>
      </c>
      <c r="Q166" s="1">
        <f t="shared" si="76"/>
        <v>0.23</v>
      </c>
      <c r="R166" s="1">
        <f t="shared" si="76"/>
        <v>0.23</v>
      </c>
      <c r="S166" s="1">
        <f t="shared" si="76"/>
        <v>0.3</v>
      </c>
      <c r="T166" s="1">
        <f t="shared" si="76"/>
        <v>0.3</v>
      </c>
      <c r="U166" s="1">
        <f t="shared" si="76"/>
        <v>0.23</v>
      </c>
      <c r="V166" s="1">
        <f t="shared" si="76"/>
        <v>0.3</v>
      </c>
      <c r="W166" s="1">
        <f t="shared" si="76"/>
        <v>0.3</v>
      </c>
      <c r="X166" s="1">
        <f t="shared" si="76"/>
        <v>0.3</v>
      </c>
      <c r="Y166" s="1">
        <f t="shared" si="76"/>
        <v>0.3</v>
      </c>
      <c r="Z166" s="1">
        <f t="shared" si="76"/>
        <v>0.3</v>
      </c>
      <c r="AA166" s="1">
        <f t="shared" si="76"/>
        <v>0.3</v>
      </c>
      <c r="AB166" s="1">
        <f t="shared" si="76"/>
        <v>0.3</v>
      </c>
      <c r="AC166" s="1">
        <f t="shared" si="76"/>
        <v>0.3</v>
      </c>
      <c r="AD166" s="1">
        <f t="shared" si="76"/>
        <v>0.23</v>
      </c>
      <c r="AE166" s="1">
        <f t="shared" si="76"/>
        <v>0.23</v>
      </c>
      <c r="AF166" s="1">
        <f t="shared" si="76"/>
        <v>0.23</v>
      </c>
      <c r="AG166" s="1">
        <f t="shared" si="76"/>
        <v>0.23</v>
      </c>
      <c r="AH166" s="1">
        <f t="shared" si="76"/>
        <v>0.3</v>
      </c>
      <c r="AI166" s="1">
        <f t="shared" si="76"/>
        <v>0.3</v>
      </c>
      <c r="AJ166" s="1">
        <f t="shared" si="76"/>
        <v>0.3</v>
      </c>
      <c r="AK166" s="1">
        <f t="shared" si="76"/>
        <v>0.3</v>
      </c>
      <c r="AL166" s="1">
        <f t="shared" si="76"/>
        <v>0.23</v>
      </c>
      <c r="AM166" s="1">
        <f t="shared" si="76"/>
        <v>0.3</v>
      </c>
      <c r="AN166" s="1">
        <f t="shared" si="76"/>
        <v>0.3</v>
      </c>
      <c r="AO166" s="1">
        <f t="shared" si="76"/>
        <v>0.23</v>
      </c>
      <c r="AP166" s="1">
        <f t="shared" si="76"/>
        <v>0.23</v>
      </c>
      <c r="AQ166" s="1">
        <f t="shared" si="76"/>
        <v>0.3</v>
      </c>
      <c r="AR166" s="1">
        <f t="shared" si="76"/>
        <v>0.3</v>
      </c>
      <c r="AS166" s="1">
        <f t="shared" si="76"/>
        <v>0.3</v>
      </c>
      <c r="AT166" s="1">
        <f t="shared" si="76"/>
        <v>0.3</v>
      </c>
      <c r="AU166" s="1">
        <f t="shared" si="76"/>
        <v>0.23</v>
      </c>
      <c r="AV166" s="1">
        <f t="shared" si="76"/>
        <v>0.3</v>
      </c>
      <c r="AW166" s="1">
        <f t="shared" si="76"/>
        <v>0.23</v>
      </c>
      <c r="AX166" s="1">
        <f t="shared" si="76"/>
        <v>0.3</v>
      </c>
      <c r="AY166" s="1">
        <f t="shared" si="76"/>
        <v>0.3</v>
      </c>
      <c r="AZ166" s="1">
        <f t="shared" si="76"/>
        <v>0.3</v>
      </c>
      <c r="BA166" s="1">
        <f t="shared" si="76"/>
        <v>0.3</v>
      </c>
      <c r="BB166" s="1">
        <f t="shared" ref="BB166:BK166" si="81">BB159</f>
        <v>0.23</v>
      </c>
      <c r="BC166" s="1">
        <f t="shared" si="81"/>
        <v>0.3</v>
      </c>
      <c r="BD166" s="1">
        <f t="shared" si="81"/>
        <v>0.3</v>
      </c>
      <c r="BE166" s="1">
        <f t="shared" si="81"/>
        <v>0.3</v>
      </c>
      <c r="BF166" s="1">
        <f t="shared" si="81"/>
        <v>0.3</v>
      </c>
      <c r="BG166" s="1">
        <f t="shared" si="81"/>
        <v>0.23</v>
      </c>
      <c r="BH166" s="1">
        <f t="shared" si="81"/>
        <v>0.3</v>
      </c>
      <c r="BI166" s="1">
        <f t="shared" si="81"/>
        <v>0.3</v>
      </c>
      <c r="BJ166" s="1">
        <f t="shared" si="81"/>
        <v>0.3</v>
      </c>
      <c r="BK166" s="1">
        <f t="shared" si="81"/>
        <v>0.3</v>
      </c>
      <c r="BL166" s="1">
        <f t="shared" ref="BL166:BU166" si="82">BL159</f>
        <v>0.3</v>
      </c>
      <c r="BM166" s="1">
        <f t="shared" si="82"/>
        <v>0.3</v>
      </c>
      <c r="BN166" s="1">
        <f t="shared" si="82"/>
        <v>0.23</v>
      </c>
      <c r="BO166" s="1">
        <f t="shared" si="82"/>
        <v>0.3</v>
      </c>
      <c r="BP166" s="1">
        <f t="shared" si="82"/>
        <v>0.3</v>
      </c>
      <c r="BQ166" s="1">
        <f t="shared" si="82"/>
        <v>0.23</v>
      </c>
      <c r="BR166" s="1">
        <f t="shared" si="82"/>
        <v>0.23</v>
      </c>
      <c r="BS166" s="1">
        <f t="shared" si="82"/>
        <v>0.23</v>
      </c>
      <c r="BT166" s="1">
        <f t="shared" si="82"/>
        <v>0.3</v>
      </c>
      <c r="BU166" s="1">
        <f t="shared" si="82"/>
        <v>0.3</v>
      </c>
    </row>
    <row r="167" spans="1:73" s="1" customFormat="1" ht="12.75">
      <c r="B167" s="8">
        <f t="shared" ref="B167:BA167" si="83">(B164*B165*2)+(B164*B166)</f>
        <v>31.603000000000002</v>
      </c>
      <c r="C167" s="8">
        <f t="shared" si="83"/>
        <v>3.3335000000000004</v>
      </c>
      <c r="D167" s="8">
        <f t="shared" si="83"/>
        <v>20.330000000000002</v>
      </c>
      <c r="E167" s="8">
        <f t="shared" si="83"/>
        <v>9.6050000000000004</v>
      </c>
      <c r="F167" s="8">
        <f t="shared" si="83"/>
        <v>8.8230000000000004</v>
      </c>
      <c r="G167" s="8">
        <f t="shared" si="83"/>
        <v>5.9286000000000003</v>
      </c>
      <c r="H167" s="8">
        <f t="shared" si="83"/>
        <v>10.735000000000001</v>
      </c>
      <c r="I167" s="8">
        <f t="shared" si="83"/>
        <v>17.100000000000001</v>
      </c>
      <c r="J167" s="8">
        <f t="shared" si="83"/>
        <v>8.9789999999999992</v>
      </c>
      <c r="K167" s="8">
        <f t="shared" si="83"/>
        <v>6.1020000000000003</v>
      </c>
      <c r="L167" s="8">
        <f t="shared" si="83"/>
        <v>2.7</v>
      </c>
      <c r="M167" s="8">
        <f t="shared" si="83"/>
        <v>12.450000000000001</v>
      </c>
      <c r="N167" s="8">
        <f t="shared" si="83"/>
        <v>6.3</v>
      </c>
      <c r="O167" s="8">
        <f t="shared" si="83"/>
        <v>7.2320000000000011</v>
      </c>
      <c r="P167" s="8">
        <f t="shared" si="83"/>
        <v>2.9380000000000006</v>
      </c>
      <c r="Q167" s="8">
        <f t="shared" si="83"/>
        <v>10.439</v>
      </c>
      <c r="R167" s="8">
        <f t="shared" si="83"/>
        <v>2.5989999999999998</v>
      </c>
      <c r="S167" s="8">
        <f t="shared" si="83"/>
        <v>11.7</v>
      </c>
      <c r="T167" s="8">
        <f t="shared" si="83"/>
        <v>7.6650000000000009</v>
      </c>
      <c r="U167" s="8">
        <f t="shared" si="83"/>
        <v>10.655899999999999</v>
      </c>
      <c r="V167" s="8">
        <f t="shared" si="83"/>
        <v>12.450000000000001</v>
      </c>
      <c r="W167" s="8">
        <f t="shared" si="83"/>
        <v>11.399999999999999</v>
      </c>
      <c r="X167" s="8">
        <f t="shared" si="83"/>
        <v>34.739999999999995</v>
      </c>
      <c r="Y167" s="8">
        <f t="shared" si="83"/>
        <v>15</v>
      </c>
      <c r="Z167" s="8">
        <f t="shared" si="83"/>
        <v>16.454999999999998</v>
      </c>
      <c r="AA167" s="8">
        <f t="shared" si="83"/>
        <v>5.7299999999999995</v>
      </c>
      <c r="AB167" s="8">
        <f t="shared" si="83"/>
        <v>9.75</v>
      </c>
      <c r="AC167" s="8">
        <f t="shared" si="83"/>
        <v>9.6449999999999996</v>
      </c>
      <c r="AD167" s="8">
        <f t="shared" si="83"/>
        <v>6.1020000000000003</v>
      </c>
      <c r="AE167" s="8">
        <f t="shared" si="83"/>
        <v>2.3984999999999999</v>
      </c>
      <c r="AF167" s="8">
        <f t="shared" si="83"/>
        <v>8.9789999999999992</v>
      </c>
      <c r="AG167" s="8">
        <f t="shared" si="83"/>
        <v>2.46</v>
      </c>
      <c r="AH167" s="8">
        <f t="shared" si="83"/>
        <v>13.395000000000001</v>
      </c>
      <c r="AI167" s="8">
        <f t="shared" si="83"/>
        <v>2.8500000000000005</v>
      </c>
      <c r="AJ167" s="8">
        <f t="shared" si="83"/>
        <v>9.4499999999999993</v>
      </c>
      <c r="AK167" s="8">
        <f t="shared" si="83"/>
        <v>6.4499999999999993</v>
      </c>
      <c r="AL167" s="8">
        <f t="shared" si="83"/>
        <v>3.3335000000000004</v>
      </c>
      <c r="AM167" s="8">
        <f t="shared" si="83"/>
        <v>3</v>
      </c>
      <c r="AN167" s="8">
        <f t="shared" si="83"/>
        <v>7.77</v>
      </c>
      <c r="AO167" s="8">
        <f t="shared" si="83"/>
        <v>3.3335000000000004</v>
      </c>
      <c r="AP167" s="8">
        <f t="shared" si="83"/>
        <v>18.753</v>
      </c>
      <c r="AQ167" s="8">
        <f t="shared" si="83"/>
        <v>17.100000000000001</v>
      </c>
      <c r="AR167" s="8">
        <f t="shared" si="83"/>
        <v>11.399999999999999</v>
      </c>
      <c r="AS167" s="8">
        <f t="shared" si="83"/>
        <v>15.600000000000001</v>
      </c>
      <c r="AT167" s="8">
        <f t="shared" si="83"/>
        <v>8.2649999999999988</v>
      </c>
      <c r="AU167" s="8">
        <f t="shared" si="83"/>
        <v>21.922000000000001</v>
      </c>
      <c r="AV167" s="8">
        <f t="shared" si="83"/>
        <v>6.1050000000000004</v>
      </c>
      <c r="AW167" s="8">
        <f t="shared" si="83"/>
        <v>7.1528999999999998</v>
      </c>
      <c r="AX167" s="8">
        <f t="shared" si="83"/>
        <v>37.184999999999995</v>
      </c>
      <c r="AY167" s="8">
        <f t="shared" si="83"/>
        <v>8.25</v>
      </c>
      <c r="AZ167" s="8">
        <f t="shared" si="83"/>
        <v>6.3</v>
      </c>
      <c r="BA167" s="8">
        <f t="shared" si="83"/>
        <v>4.9950000000000001</v>
      </c>
      <c r="BB167" s="8">
        <f t="shared" ref="BB167:BK167" si="84">(BB164*BB165*2)+(BB164*BB166)</f>
        <v>3.3335000000000004</v>
      </c>
      <c r="BC167" s="8">
        <f t="shared" si="84"/>
        <v>6.3</v>
      </c>
      <c r="BD167" s="8">
        <f t="shared" si="84"/>
        <v>6.375</v>
      </c>
      <c r="BE167" s="8">
        <f t="shared" si="84"/>
        <v>2.5499999999999998</v>
      </c>
      <c r="BF167" s="8">
        <f t="shared" si="84"/>
        <v>4.125</v>
      </c>
      <c r="BG167" s="8">
        <f t="shared" si="84"/>
        <v>18.744999999999997</v>
      </c>
      <c r="BH167" s="8">
        <f t="shared" si="84"/>
        <v>11.370000000000001</v>
      </c>
      <c r="BI167" s="8">
        <f t="shared" si="84"/>
        <v>19.923999999999999</v>
      </c>
      <c r="BJ167" s="8">
        <f t="shared" si="84"/>
        <v>8.25</v>
      </c>
      <c r="BK167" s="8">
        <f t="shared" si="84"/>
        <v>7.77</v>
      </c>
      <c r="BL167" s="8">
        <f t="shared" ref="BL167:BU167" si="85">(BL164*BL165*2)+(BL164*BL166)</f>
        <v>2.25</v>
      </c>
      <c r="BM167" s="8">
        <f t="shared" si="85"/>
        <v>30.269999999999996</v>
      </c>
      <c r="BN167" s="8">
        <f t="shared" si="85"/>
        <v>4.8477000000000006</v>
      </c>
      <c r="BO167" s="8">
        <f t="shared" si="85"/>
        <v>17.25</v>
      </c>
      <c r="BP167" s="8">
        <f t="shared" si="85"/>
        <v>13.019999999999998</v>
      </c>
      <c r="BQ167" s="8">
        <f t="shared" si="85"/>
        <v>12.317</v>
      </c>
      <c r="BR167" s="8">
        <f t="shared" si="85"/>
        <v>10.712400000000001</v>
      </c>
      <c r="BS167" s="8">
        <f t="shared" si="85"/>
        <v>4.8477000000000006</v>
      </c>
      <c r="BT167" s="8">
        <f t="shared" si="85"/>
        <v>9.69</v>
      </c>
      <c r="BU167" s="8">
        <f t="shared" si="85"/>
        <v>16.515000000000001</v>
      </c>
    </row>
    <row r="168" spans="1:73" s="1" customFormat="1" ht="15.75" thickBot="1"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 s="4"/>
      <c r="BR168"/>
      <c r="BS168"/>
      <c r="BT168"/>
      <c r="BU168"/>
    </row>
    <row r="169" spans="1:73" s="1" customFormat="1" ht="19.5" thickBot="1">
      <c r="B169" s="203" t="s">
        <v>310</v>
      </c>
      <c r="C169" s="203"/>
      <c r="D169" s="203"/>
      <c r="E169" s="203"/>
      <c r="F169" s="50">
        <f>ROUNDUP(SUM(B175:BP175),0)</f>
        <v>13380</v>
      </c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 s="4"/>
      <c r="BR169"/>
      <c r="BS169"/>
      <c r="BT169"/>
      <c r="BU169"/>
    </row>
    <row r="170" spans="1:73" s="1" customFormat="1">
      <c r="C170" s="1" t="s">
        <v>105</v>
      </c>
      <c r="D170" s="1">
        <v>6822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 s="4"/>
      <c r="BR170"/>
      <c r="BS170"/>
      <c r="BT170"/>
      <c r="BU170"/>
    </row>
    <row r="171" spans="1:73" s="1" customFormat="1">
      <c r="C171" s="1" t="s">
        <v>70</v>
      </c>
      <c r="D171" s="1">
        <v>1419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 s="4"/>
      <c r="BR171"/>
      <c r="BS171"/>
      <c r="BT171"/>
      <c r="BU171"/>
    </row>
    <row r="172" spans="1:73" s="1" customFormat="1">
      <c r="C172" s="1" t="s">
        <v>71</v>
      </c>
      <c r="D172" s="1">
        <v>3130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 s="4"/>
      <c r="BR172"/>
      <c r="BS172"/>
      <c r="BT172"/>
      <c r="BU172"/>
    </row>
    <row r="173" spans="1:73" s="1" customFormat="1">
      <c r="C173" s="1" t="s">
        <v>68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 s="4"/>
      <c r="BR173"/>
      <c r="BS173"/>
      <c r="BT173"/>
      <c r="BU173"/>
    </row>
    <row r="174" spans="1:73" s="1" customFormat="1">
      <c r="C174" s="1" t="s">
        <v>108</v>
      </c>
      <c r="D174" s="1">
        <v>2009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 s="4"/>
      <c r="BR174"/>
      <c r="BS174"/>
      <c r="BT174"/>
      <c r="BU174"/>
    </row>
    <row r="175" spans="1:73" s="1" customFormat="1">
      <c r="D175" s="5">
        <f>SUM(D170:D174)</f>
        <v>13380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 s="4"/>
      <c r="BR175"/>
      <c r="BS175"/>
      <c r="BT175"/>
      <c r="BU175"/>
    </row>
    <row r="176" spans="1:73" s="1" customFormat="1"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 s="4"/>
      <c r="BR176"/>
      <c r="BS176"/>
      <c r="BT176"/>
      <c r="BU176"/>
    </row>
    <row r="177" spans="1:73" s="1" customFormat="1" ht="15.75" thickBot="1"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 s="4"/>
      <c r="BR177"/>
      <c r="BS177"/>
      <c r="BT177"/>
      <c r="BU177"/>
    </row>
    <row r="178" spans="1:73" s="1" customFormat="1" ht="19.5" thickBot="1">
      <c r="B178" s="203" t="s">
        <v>312</v>
      </c>
      <c r="C178" s="203"/>
      <c r="D178" s="203"/>
      <c r="E178" s="203"/>
      <c r="F178" s="50">
        <f>ROUNDUP(SUM(B183:BP183),0)</f>
        <v>90</v>
      </c>
      <c r="I178" s="4"/>
      <c r="BQ178"/>
      <c r="BR178"/>
      <c r="BS178"/>
      <c r="BT178"/>
      <c r="BU178"/>
    </row>
    <row r="179" spans="1:73" s="1" customFormat="1" ht="12.75">
      <c r="A179" s="44"/>
      <c r="B179" s="1" t="s">
        <v>127</v>
      </c>
      <c r="C179" s="1" t="s">
        <v>128</v>
      </c>
      <c r="D179" s="1" t="s">
        <v>129</v>
      </c>
      <c r="E179" s="1" t="s">
        <v>130</v>
      </c>
      <c r="F179" s="1" t="s">
        <v>131</v>
      </c>
      <c r="G179" s="1" t="s">
        <v>132</v>
      </c>
      <c r="H179" s="1" t="s">
        <v>133</v>
      </c>
      <c r="I179" s="1" t="s">
        <v>134</v>
      </c>
      <c r="J179" s="1" t="s">
        <v>135</v>
      </c>
      <c r="K179" s="1" t="s">
        <v>136</v>
      </c>
      <c r="L179" s="1" t="s">
        <v>137</v>
      </c>
      <c r="M179" s="1" t="s">
        <v>138</v>
      </c>
      <c r="N179" s="1" t="s">
        <v>139</v>
      </c>
      <c r="O179" s="1" t="s">
        <v>140</v>
      </c>
      <c r="P179" s="1" t="s">
        <v>141</v>
      </c>
      <c r="Q179" s="1" t="s">
        <v>142</v>
      </c>
      <c r="R179" s="1" t="s">
        <v>143</v>
      </c>
      <c r="S179" s="1" t="s">
        <v>144</v>
      </c>
      <c r="T179" s="1" t="s">
        <v>145</v>
      </c>
      <c r="U179" s="1" t="s">
        <v>146</v>
      </c>
      <c r="V179" s="1" t="s">
        <v>147</v>
      </c>
      <c r="W179" s="1" t="s">
        <v>148</v>
      </c>
      <c r="X179" s="1" t="s">
        <v>149</v>
      </c>
      <c r="Y179" s="1" t="s">
        <v>150</v>
      </c>
      <c r="Z179" s="1" t="s">
        <v>151</v>
      </c>
      <c r="AA179" s="1" t="s">
        <v>152</v>
      </c>
      <c r="AB179" s="1" t="s">
        <v>153</v>
      </c>
      <c r="AC179" s="1" t="s">
        <v>154</v>
      </c>
      <c r="AD179" s="1" t="s">
        <v>155</v>
      </c>
      <c r="AE179" s="1" t="s">
        <v>156</v>
      </c>
      <c r="AF179" s="1" t="s">
        <v>157</v>
      </c>
      <c r="AG179" s="1" t="s">
        <v>158</v>
      </c>
      <c r="AH179" s="1" t="s">
        <v>159</v>
      </c>
      <c r="AI179" s="1" t="s">
        <v>160</v>
      </c>
      <c r="AJ179" s="1" t="s">
        <v>161</v>
      </c>
      <c r="AK179" s="1" t="s">
        <v>162</v>
      </c>
      <c r="AL179" s="1" t="s">
        <v>163</v>
      </c>
      <c r="AM179" s="1" t="s">
        <v>277</v>
      </c>
      <c r="AN179" s="1" t="s">
        <v>278</v>
      </c>
      <c r="AO179" s="1" t="s">
        <v>279</v>
      </c>
      <c r="AP179" s="1" t="s">
        <v>280</v>
      </c>
      <c r="AQ179" s="1" t="s">
        <v>281</v>
      </c>
      <c r="AR179" s="1" t="s">
        <v>282</v>
      </c>
      <c r="AS179" s="1" t="s">
        <v>283</v>
      </c>
      <c r="AT179" s="1" t="s">
        <v>284</v>
      </c>
      <c r="AU179" s="1" t="s">
        <v>285</v>
      </c>
      <c r="AV179" s="1" t="s">
        <v>286</v>
      </c>
      <c r="AW179" s="1" t="s">
        <v>287</v>
      </c>
      <c r="AX179" s="1" t="s">
        <v>288</v>
      </c>
      <c r="AY179" s="1" t="s">
        <v>289</v>
      </c>
      <c r="AZ179" s="1" t="s">
        <v>290</v>
      </c>
      <c r="BA179" s="1" t="s">
        <v>291</v>
      </c>
      <c r="BB179" s="1" t="s">
        <v>292</v>
      </c>
      <c r="BC179" s="1" t="s">
        <v>293</v>
      </c>
      <c r="BD179" s="1" t="s">
        <v>294</v>
      </c>
      <c r="BE179" s="1" t="s">
        <v>295</v>
      </c>
      <c r="BF179" s="1" t="s">
        <v>296</v>
      </c>
      <c r="BG179" s="1" t="s">
        <v>297</v>
      </c>
      <c r="BH179" s="1" t="s">
        <v>298</v>
      </c>
      <c r="BI179" s="1" t="s">
        <v>299</v>
      </c>
      <c r="BJ179" s="1" t="s">
        <v>300</v>
      </c>
      <c r="BK179" s="1" t="s">
        <v>301</v>
      </c>
      <c r="BL179" s="1" t="s">
        <v>302</v>
      </c>
      <c r="BM179" s="1" t="s">
        <v>303</v>
      </c>
      <c r="BN179" s="1" t="s">
        <v>304</v>
      </c>
      <c r="BO179" s="1" t="s">
        <v>305</v>
      </c>
      <c r="BP179" s="1" t="s">
        <v>306</v>
      </c>
      <c r="BQ179" s="1" t="s">
        <v>315</v>
      </c>
      <c r="BR179" s="1" t="s">
        <v>316</v>
      </c>
    </row>
    <row r="180" spans="1:73" s="44" customFormat="1" ht="12.75">
      <c r="A180" s="44" t="s">
        <v>37</v>
      </c>
      <c r="B180" s="51">
        <v>4.7699999999999996</v>
      </c>
      <c r="C180" s="51">
        <v>8.01</v>
      </c>
      <c r="D180" s="52">
        <v>4.72</v>
      </c>
      <c r="E180" s="52">
        <v>1.5</v>
      </c>
      <c r="F180" s="52">
        <v>16.3</v>
      </c>
      <c r="G180" s="52">
        <v>5.18</v>
      </c>
      <c r="H180" s="52">
        <v>4.4000000000000004</v>
      </c>
      <c r="I180" s="52">
        <v>5.4</v>
      </c>
      <c r="J180" s="52">
        <v>3.82</v>
      </c>
      <c r="K180" s="52">
        <v>5.07</v>
      </c>
      <c r="L180" s="52">
        <v>16.3</v>
      </c>
      <c r="M180" s="52">
        <v>2.95</v>
      </c>
      <c r="N180" s="52">
        <v>4</v>
      </c>
      <c r="O180" s="52">
        <v>22.11</v>
      </c>
      <c r="P180" s="51">
        <v>2.54</v>
      </c>
      <c r="Q180" s="51">
        <v>10.199999999999999</v>
      </c>
      <c r="R180" s="51">
        <v>2.65</v>
      </c>
      <c r="S180" s="51">
        <v>7.76</v>
      </c>
      <c r="T180" s="51">
        <f>S180</f>
        <v>7.76</v>
      </c>
      <c r="U180" s="51">
        <f>3.82*2</f>
        <v>7.64</v>
      </c>
      <c r="V180" s="51">
        <v>1.5</v>
      </c>
      <c r="W180" s="51">
        <v>12.62</v>
      </c>
      <c r="X180" s="51">
        <v>8.01</v>
      </c>
      <c r="Y180" s="51">
        <v>11.2</v>
      </c>
      <c r="Z180" s="51">
        <v>2.65</v>
      </c>
      <c r="AA180" s="51">
        <v>6.34</v>
      </c>
      <c r="AB180" s="51">
        <v>2.95</v>
      </c>
      <c r="AC180" s="51">
        <v>8.01</v>
      </c>
      <c r="AD180" s="51">
        <v>11.18</v>
      </c>
      <c r="AE180" s="51">
        <v>6.34</v>
      </c>
      <c r="AF180" s="51">
        <v>7.76</v>
      </c>
      <c r="AG180" s="51">
        <v>4.2</v>
      </c>
      <c r="AH180" s="51">
        <v>7.3</v>
      </c>
      <c r="AI180" s="51">
        <v>19.2</v>
      </c>
      <c r="AJ180" s="51">
        <v>3.2</v>
      </c>
      <c r="AK180" s="51">
        <v>2.95</v>
      </c>
      <c r="AL180" s="51">
        <v>8.3000000000000007</v>
      </c>
      <c r="AM180" s="51">
        <v>8.8000000000000007</v>
      </c>
      <c r="AN180" s="51">
        <v>7.7</v>
      </c>
      <c r="AO180" s="51">
        <v>11.58</v>
      </c>
      <c r="AP180" s="51">
        <v>3.81</v>
      </c>
      <c r="AQ180" s="51">
        <v>10.97</v>
      </c>
      <c r="AR180" s="51">
        <v>3.7</v>
      </c>
      <c r="AS180" s="51">
        <v>12.79</v>
      </c>
      <c r="AT180" s="51">
        <v>3.04</v>
      </c>
      <c r="AU180" s="51">
        <v>11.43</v>
      </c>
      <c r="AV180" s="51">
        <v>3.63</v>
      </c>
      <c r="AW180" s="51">
        <v>2.5</v>
      </c>
      <c r="AX180" s="53">
        <v>2.35</v>
      </c>
      <c r="AY180" s="53">
        <v>18.05</v>
      </c>
      <c r="AZ180" s="53">
        <v>3.7</v>
      </c>
      <c r="BA180" s="53">
        <v>6.34</v>
      </c>
      <c r="BB180" s="53">
        <v>16.78</v>
      </c>
      <c r="BC180" s="53">
        <v>3.92</v>
      </c>
      <c r="BD180" s="53">
        <v>6.89</v>
      </c>
      <c r="BE180" s="53">
        <v>7.1</v>
      </c>
      <c r="BF180" s="53">
        <f>3.59*2</f>
        <v>7.18</v>
      </c>
      <c r="BG180" s="53">
        <f>9.71*2</f>
        <v>19.420000000000002</v>
      </c>
      <c r="BH180" s="53">
        <v>5.13</v>
      </c>
      <c r="BI180" s="53">
        <v>5.57</v>
      </c>
      <c r="BJ180" s="53">
        <v>6.2</v>
      </c>
      <c r="BK180" s="53">
        <v>14.9</v>
      </c>
      <c r="BL180" s="53">
        <v>5.57</v>
      </c>
      <c r="BM180" s="53">
        <v>14.9</v>
      </c>
      <c r="BN180" s="53">
        <v>10.1</v>
      </c>
      <c r="BO180" s="53">
        <v>14.9</v>
      </c>
      <c r="BP180" s="53">
        <v>4.1500000000000004</v>
      </c>
      <c r="BQ180" s="53">
        <v>2.99</v>
      </c>
      <c r="BR180" s="53">
        <v>8.98</v>
      </c>
      <c r="BS180" s="53"/>
      <c r="BT180" s="53"/>
      <c r="BU180" s="53"/>
    </row>
    <row r="181" spans="1:73" s="1" customFormat="1" ht="12.75">
      <c r="A181" s="44" t="s">
        <v>165</v>
      </c>
      <c r="B181" s="1">
        <v>0.7</v>
      </c>
      <c r="C181" s="1">
        <v>0.8</v>
      </c>
      <c r="D181" s="1">
        <v>0.7</v>
      </c>
      <c r="E181" s="1">
        <v>0.6</v>
      </c>
      <c r="F181" s="1">
        <v>0.75</v>
      </c>
      <c r="G181" s="1">
        <v>0.6</v>
      </c>
      <c r="H181" s="1">
        <f t="shared" ref="H181:H182" si="86">G181</f>
        <v>0.6</v>
      </c>
      <c r="I181" s="1">
        <f t="shared" ref="I181:I182" si="87">H181</f>
        <v>0.6</v>
      </c>
      <c r="J181" s="1">
        <f t="shared" ref="J181:J182" si="88">I181</f>
        <v>0.6</v>
      </c>
      <c r="K181" s="1">
        <f t="shared" ref="K181:K182" si="89">J181</f>
        <v>0.6</v>
      </c>
      <c r="L181" s="1">
        <f t="shared" ref="L181:L182" si="90">K181</f>
        <v>0.6</v>
      </c>
      <c r="M181" s="1">
        <v>0.45</v>
      </c>
      <c r="N181" s="1">
        <f t="shared" ref="N181:N182" si="91">M181</f>
        <v>0.45</v>
      </c>
      <c r="O181" s="1">
        <v>0.9</v>
      </c>
      <c r="P181" s="1">
        <v>0.6</v>
      </c>
      <c r="Q181" s="1">
        <f>P181</f>
        <v>0.6</v>
      </c>
      <c r="R181" s="1">
        <v>0.45</v>
      </c>
      <c r="S181" s="1">
        <v>0.7</v>
      </c>
      <c r="T181" s="1">
        <f t="shared" ref="T181" si="92">S181</f>
        <v>0.7</v>
      </c>
      <c r="U181" s="1">
        <v>0.6</v>
      </c>
      <c r="V181" s="1">
        <v>0.45</v>
      </c>
      <c r="W181" s="1">
        <v>0.6</v>
      </c>
      <c r="X181" s="1">
        <v>0.8</v>
      </c>
      <c r="Y181" s="1">
        <v>0.6</v>
      </c>
      <c r="Z181" s="1">
        <v>0.45</v>
      </c>
      <c r="AA181" s="1">
        <v>0.7</v>
      </c>
      <c r="AB181" s="1">
        <v>0.45</v>
      </c>
      <c r="AC181" s="1">
        <v>0.75</v>
      </c>
      <c r="AD181" s="1">
        <v>0.7</v>
      </c>
      <c r="AE181" s="1">
        <v>0.6</v>
      </c>
      <c r="AF181" s="1">
        <v>0.6</v>
      </c>
      <c r="AG181" s="1">
        <f>AF181</f>
        <v>0.6</v>
      </c>
      <c r="AH181" s="1">
        <f t="shared" ref="AH181:AH182" si="93">AG181</f>
        <v>0.6</v>
      </c>
      <c r="AI181" s="1">
        <v>0.6</v>
      </c>
      <c r="AJ181" s="1">
        <f t="shared" ref="AJ181:AJ182" si="94">AI181</f>
        <v>0.6</v>
      </c>
      <c r="AK181" s="1">
        <f>AJ181</f>
        <v>0.6</v>
      </c>
      <c r="AL181" s="1">
        <v>0.6</v>
      </c>
      <c r="AM181" s="1">
        <f>AL181</f>
        <v>0.6</v>
      </c>
      <c r="AN181" s="1">
        <f t="shared" ref="AN181:AT181" si="95">AM181</f>
        <v>0.6</v>
      </c>
      <c r="AO181" s="1">
        <f t="shared" si="95"/>
        <v>0.6</v>
      </c>
      <c r="AP181" s="1">
        <f t="shared" si="95"/>
        <v>0.6</v>
      </c>
      <c r="AQ181" s="1">
        <f t="shared" si="95"/>
        <v>0.6</v>
      </c>
      <c r="AR181" s="1">
        <f t="shared" si="95"/>
        <v>0.6</v>
      </c>
      <c r="AS181" s="1">
        <f t="shared" si="95"/>
        <v>0.6</v>
      </c>
      <c r="AT181" s="1">
        <f t="shared" si="95"/>
        <v>0.6</v>
      </c>
      <c r="AU181" s="1">
        <v>0.7</v>
      </c>
      <c r="AV181" s="1">
        <v>0.6</v>
      </c>
      <c r="AW181" s="1">
        <v>0.6</v>
      </c>
      <c r="AX181" s="1">
        <f>AW181</f>
        <v>0.6</v>
      </c>
      <c r="AY181" s="1">
        <v>0.75</v>
      </c>
      <c r="AZ181" s="1">
        <v>0.6</v>
      </c>
      <c r="BA181" s="1">
        <f>AZ181</f>
        <v>0.6</v>
      </c>
      <c r="BB181" s="1">
        <f t="shared" ref="BB181:BF181" si="96">BA181</f>
        <v>0.6</v>
      </c>
      <c r="BC181" s="1">
        <f t="shared" si="96"/>
        <v>0.6</v>
      </c>
      <c r="BD181" s="1">
        <f t="shared" si="96"/>
        <v>0.6</v>
      </c>
      <c r="BE181" s="1">
        <f t="shared" si="96"/>
        <v>0.6</v>
      </c>
      <c r="BF181" s="1">
        <f t="shared" si="96"/>
        <v>0.6</v>
      </c>
      <c r="BG181" s="1">
        <v>0.45</v>
      </c>
      <c r="BH181" s="1">
        <v>0.6</v>
      </c>
      <c r="BI181" s="1">
        <f t="shared" ref="BI181:BI182" si="97">BH181</f>
        <v>0.6</v>
      </c>
      <c r="BJ181" s="1">
        <f t="shared" ref="BJ181:BJ182" si="98">BI181</f>
        <v>0.6</v>
      </c>
      <c r="BK181" s="1">
        <v>0.75</v>
      </c>
      <c r="BL181" s="1">
        <f>BK181</f>
        <v>0.75</v>
      </c>
      <c r="BM181" s="1">
        <v>0.6</v>
      </c>
      <c r="BN181" s="1">
        <f t="shared" ref="BN181:BN182" si="99">BM181</f>
        <v>0.6</v>
      </c>
      <c r="BO181" s="1">
        <v>0.7</v>
      </c>
      <c r="BP181" s="1">
        <v>0.6</v>
      </c>
      <c r="BQ181" s="1">
        <v>1.6</v>
      </c>
      <c r="BR181" s="1">
        <v>2.6</v>
      </c>
    </row>
    <row r="182" spans="1:73" s="1" customFormat="1" ht="12.75">
      <c r="A182" s="44" t="s">
        <v>166</v>
      </c>
      <c r="B182" s="1">
        <v>0.25</v>
      </c>
      <c r="C182" s="1">
        <v>0.3</v>
      </c>
      <c r="D182" s="1">
        <v>0.25</v>
      </c>
      <c r="E182" s="1">
        <f t="shared" ref="E182" si="100">D182</f>
        <v>0.25</v>
      </c>
      <c r="F182" s="1">
        <v>0.25</v>
      </c>
      <c r="G182" s="1">
        <f t="shared" ref="G182" si="101">F182</f>
        <v>0.25</v>
      </c>
      <c r="H182" s="1">
        <f t="shared" si="86"/>
        <v>0.25</v>
      </c>
      <c r="I182" s="1">
        <f t="shared" si="87"/>
        <v>0.25</v>
      </c>
      <c r="J182" s="1">
        <f t="shared" si="88"/>
        <v>0.25</v>
      </c>
      <c r="K182" s="1">
        <f t="shared" si="89"/>
        <v>0.25</v>
      </c>
      <c r="L182" s="1">
        <f t="shared" si="90"/>
        <v>0.25</v>
      </c>
      <c r="M182" s="1">
        <v>0.23</v>
      </c>
      <c r="N182" s="1">
        <f t="shared" si="91"/>
        <v>0.23</v>
      </c>
      <c r="O182" s="1">
        <v>0.4</v>
      </c>
      <c r="P182" s="1">
        <v>0.25</v>
      </c>
      <c r="Q182" s="1">
        <f t="shared" ref="Q182" si="102">P182</f>
        <v>0.25</v>
      </c>
      <c r="R182" s="1">
        <f t="shared" ref="R182" si="103">Q182</f>
        <v>0.25</v>
      </c>
      <c r="S182" s="1">
        <v>0.25</v>
      </c>
      <c r="T182" s="1">
        <v>0.3</v>
      </c>
      <c r="U182" s="1">
        <v>0.25</v>
      </c>
      <c r="V182" s="1">
        <v>0.23</v>
      </c>
      <c r="W182" s="1">
        <v>0.25</v>
      </c>
      <c r="X182" s="1">
        <v>0.25</v>
      </c>
      <c r="Y182" s="1">
        <v>0.25</v>
      </c>
      <c r="Z182" s="1">
        <v>0.23</v>
      </c>
      <c r="AA182" s="1">
        <v>0.35</v>
      </c>
      <c r="AB182" s="1">
        <v>0.23</v>
      </c>
      <c r="AC182" s="1">
        <v>0.35</v>
      </c>
      <c r="AD182" s="1">
        <f t="shared" ref="AD182" si="104">AC182</f>
        <v>0.35</v>
      </c>
      <c r="AE182" s="1">
        <v>0.25</v>
      </c>
      <c r="AF182" s="1">
        <f t="shared" ref="AF182" si="105">AE182</f>
        <v>0.25</v>
      </c>
      <c r="AG182" s="1">
        <f>AF182</f>
        <v>0.25</v>
      </c>
      <c r="AH182" s="1">
        <f t="shared" si="93"/>
        <v>0.25</v>
      </c>
      <c r="AI182" s="1">
        <f t="shared" ref="AI182" si="106">AH182</f>
        <v>0.25</v>
      </c>
      <c r="AJ182" s="1">
        <f t="shared" si="94"/>
        <v>0.25</v>
      </c>
      <c r="AK182" s="1">
        <f t="shared" ref="AK182" si="107">AJ182</f>
        <v>0.25</v>
      </c>
      <c r="AL182" s="1">
        <f t="shared" ref="AL182" si="108">AK182</f>
        <v>0.25</v>
      </c>
      <c r="AM182" s="1">
        <f>AL182</f>
        <v>0.25</v>
      </c>
      <c r="AN182" s="1">
        <f t="shared" ref="AN182:AT182" si="109">AM182</f>
        <v>0.25</v>
      </c>
      <c r="AO182" s="1">
        <f t="shared" si="109"/>
        <v>0.25</v>
      </c>
      <c r="AP182" s="1">
        <f t="shared" si="109"/>
        <v>0.25</v>
      </c>
      <c r="AQ182" s="1">
        <f t="shared" si="109"/>
        <v>0.25</v>
      </c>
      <c r="AR182" s="1">
        <f t="shared" si="109"/>
        <v>0.25</v>
      </c>
      <c r="AS182" s="1">
        <f t="shared" si="109"/>
        <v>0.25</v>
      </c>
      <c r="AT182" s="1">
        <f t="shared" si="109"/>
        <v>0.25</v>
      </c>
      <c r="AU182" s="1">
        <v>0.25</v>
      </c>
      <c r="AV182" s="1">
        <v>0.25</v>
      </c>
      <c r="AW182" s="1">
        <v>0.25</v>
      </c>
      <c r="AX182" s="1">
        <f>AW182</f>
        <v>0.25</v>
      </c>
      <c r="AY182" s="1">
        <v>0.35</v>
      </c>
      <c r="AZ182" s="1">
        <v>0.25</v>
      </c>
      <c r="BA182" s="1">
        <f>AZ182</f>
        <v>0.25</v>
      </c>
      <c r="BB182" s="1">
        <f t="shared" ref="BB182:BF182" si="110">BA182</f>
        <v>0.25</v>
      </c>
      <c r="BC182" s="1">
        <f t="shared" si="110"/>
        <v>0.25</v>
      </c>
      <c r="BD182" s="1">
        <f t="shared" si="110"/>
        <v>0.25</v>
      </c>
      <c r="BE182" s="1">
        <f t="shared" si="110"/>
        <v>0.25</v>
      </c>
      <c r="BF182" s="1">
        <f t="shared" si="110"/>
        <v>0.25</v>
      </c>
      <c r="BG182" s="1">
        <v>0.23</v>
      </c>
      <c r="BH182" s="1">
        <v>0.25</v>
      </c>
      <c r="BI182" s="1">
        <f t="shared" si="97"/>
        <v>0.25</v>
      </c>
      <c r="BJ182" s="1">
        <f t="shared" si="98"/>
        <v>0.25</v>
      </c>
      <c r="BK182" s="1">
        <f t="shared" ref="BK182" si="111">BJ182</f>
        <v>0.25</v>
      </c>
      <c r="BL182" s="1">
        <v>0.3</v>
      </c>
      <c r="BM182" s="1">
        <v>0.25</v>
      </c>
      <c r="BN182" s="1">
        <f t="shared" si="99"/>
        <v>0.25</v>
      </c>
      <c r="BO182" s="1">
        <f t="shared" ref="BO182" si="112">BN182</f>
        <v>0.25</v>
      </c>
      <c r="BP182" s="1">
        <f t="shared" ref="BP182" si="113">BO182</f>
        <v>0.25</v>
      </c>
      <c r="BQ182" s="1">
        <f t="shared" ref="BQ182" si="114">BP182</f>
        <v>0.25</v>
      </c>
      <c r="BR182" s="1">
        <v>0.23</v>
      </c>
    </row>
    <row r="183" spans="1:73" s="1" customFormat="1" ht="12.75">
      <c r="A183" s="44"/>
      <c r="B183" s="8">
        <f t="shared" ref="B183:BM183" si="115">B180*B181*B182</f>
        <v>0.83474999999999988</v>
      </c>
      <c r="C183" s="8">
        <f t="shared" si="115"/>
        <v>1.9224000000000001</v>
      </c>
      <c r="D183" s="8">
        <f t="shared" si="115"/>
        <v>0.82599999999999996</v>
      </c>
      <c r="E183" s="8">
        <f t="shared" si="115"/>
        <v>0.22499999999999998</v>
      </c>
      <c r="F183" s="8">
        <f t="shared" si="115"/>
        <v>3.0562500000000004</v>
      </c>
      <c r="G183" s="8">
        <f t="shared" si="115"/>
        <v>0.77699999999999991</v>
      </c>
      <c r="H183" s="8">
        <f t="shared" si="115"/>
        <v>0.66</v>
      </c>
      <c r="I183" s="8">
        <f t="shared" si="115"/>
        <v>0.81</v>
      </c>
      <c r="J183" s="8">
        <f t="shared" si="115"/>
        <v>0.57299999999999995</v>
      </c>
      <c r="K183" s="8">
        <f t="shared" si="115"/>
        <v>0.76050000000000006</v>
      </c>
      <c r="L183" s="8">
        <f t="shared" si="115"/>
        <v>2.4449999999999998</v>
      </c>
      <c r="M183" s="8">
        <f t="shared" si="115"/>
        <v>0.30532500000000007</v>
      </c>
      <c r="N183" s="8">
        <f t="shared" si="115"/>
        <v>0.41400000000000003</v>
      </c>
      <c r="O183" s="8">
        <f t="shared" si="115"/>
        <v>7.9596000000000009</v>
      </c>
      <c r="P183" s="8">
        <f t="shared" si="115"/>
        <v>0.38100000000000001</v>
      </c>
      <c r="Q183" s="8">
        <f t="shared" si="115"/>
        <v>1.5299999999999998</v>
      </c>
      <c r="R183" s="8">
        <f t="shared" si="115"/>
        <v>0.29812499999999997</v>
      </c>
      <c r="S183" s="8">
        <f t="shared" si="115"/>
        <v>1.3579999999999999</v>
      </c>
      <c r="T183" s="8">
        <f t="shared" si="115"/>
        <v>1.6295999999999997</v>
      </c>
      <c r="U183" s="8">
        <f t="shared" si="115"/>
        <v>1.1459999999999999</v>
      </c>
      <c r="V183" s="8">
        <f t="shared" si="115"/>
        <v>0.15525000000000003</v>
      </c>
      <c r="W183" s="8">
        <f t="shared" si="115"/>
        <v>1.8929999999999998</v>
      </c>
      <c r="X183" s="8">
        <f t="shared" si="115"/>
        <v>1.6020000000000001</v>
      </c>
      <c r="Y183" s="8">
        <f t="shared" si="115"/>
        <v>1.68</v>
      </c>
      <c r="Z183" s="8">
        <f t="shared" si="115"/>
        <v>0.27427499999999999</v>
      </c>
      <c r="AA183" s="8">
        <f t="shared" si="115"/>
        <v>1.5532999999999999</v>
      </c>
      <c r="AB183" s="8">
        <f t="shared" si="115"/>
        <v>0.30532500000000007</v>
      </c>
      <c r="AC183" s="8">
        <f t="shared" si="115"/>
        <v>2.1026249999999997</v>
      </c>
      <c r="AD183" s="8">
        <f t="shared" si="115"/>
        <v>2.7390999999999996</v>
      </c>
      <c r="AE183" s="8">
        <f t="shared" si="115"/>
        <v>0.95099999999999996</v>
      </c>
      <c r="AF183" s="8">
        <f t="shared" si="115"/>
        <v>1.1639999999999999</v>
      </c>
      <c r="AG183" s="8">
        <f t="shared" si="115"/>
        <v>0.63</v>
      </c>
      <c r="AH183" s="8">
        <f t="shared" si="115"/>
        <v>1.095</v>
      </c>
      <c r="AI183" s="8">
        <f t="shared" si="115"/>
        <v>2.88</v>
      </c>
      <c r="AJ183" s="8">
        <f t="shared" si="115"/>
        <v>0.48</v>
      </c>
      <c r="AK183" s="8">
        <f t="shared" si="115"/>
        <v>0.4425</v>
      </c>
      <c r="AL183" s="8">
        <f t="shared" si="115"/>
        <v>1.2450000000000001</v>
      </c>
      <c r="AM183" s="8">
        <f t="shared" si="115"/>
        <v>1.32</v>
      </c>
      <c r="AN183" s="8">
        <f t="shared" si="115"/>
        <v>1.155</v>
      </c>
      <c r="AO183" s="8">
        <f t="shared" si="115"/>
        <v>1.7369999999999999</v>
      </c>
      <c r="AP183" s="8">
        <f t="shared" si="115"/>
        <v>0.57150000000000001</v>
      </c>
      <c r="AQ183" s="8">
        <f t="shared" si="115"/>
        <v>1.6455</v>
      </c>
      <c r="AR183" s="8">
        <f t="shared" si="115"/>
        <v>0.55500000000000005</v>
      </c>
      <c r="AS183" s="8">
        <f t="shared" si="115"/>
        <v>1.9184999999999999</v>
      </c>
      <c r="AT183" s="8">
        <f t="shared" si="115"/>
        <v>0.45599999999999996</v>
      </c>
      <c r="AU183" s="8">
        <f t="shared" si="115"/>
        <v>2.0002499999999999</v>
      </c>
      <c r="AV183" s="8">
        <f t="shared" si="115"/>
        <v>0.54449999999999998</v>
      </c>
      <c r="AW183" s="8">
        <f t="shared" si="115"/>
        <v>0.375</v>
      </c>
      <c r="AX183" s="8">
        <f t="shared" si="115"/>
        <v>0.35249999999999998</v>
      </c>
      <c r="AY183" s="8">
        <f t="shared" si="115"/>
        <v>4.7381250000000001</v>
      </c>
      <c r="AZ183" s="8">
        <f t="shared" si="115"/>
        <v>0.55500000000000005</v>
      </c>
      <c r="BA183" s="8">
        <f t="shared" si="115"/>
        <v>0.95099999999999996</v>
      </c>
      <c r="BB183" s="8">
        <f t="shared" si="115"/>
        <v>2.5169999999999999</v>
      </c>
      <c r="BC183" s="8">
        <f t="shared" si="115"/>
        <v>0.58799999999999997</v>
      </c>
      <c r="BD183" s="8">
        <f t="shared" si="115"/>
        <v>1.0334999999999999</v>
      </c>
      <c r="BE183" s="8">
        <f t="shared" si="115"/>
        <v>1.0649999999999999</v>
      </c>
      <c r="BF183" s="8">
        <f t="shared" si="115"/>
        <v>1.077</v>
      </c>
      <c r="BG183" s="8">
        <f t="shared" si="115"/>
        <v>2.0099700000000005</v>
      </c>
      <c r="BH183" s="8">
        <f t="shared" si="115"/>
        <v>0.76949999999999996</v>
      </c>
      <c r="BI183" s="8">
        <f t="shared" si="115"/>
        <v>0.83550000000000002</v>
      </c>
      <c r="BJ183" s="8">
        <f t="shared" si="115"/>
        <v>0.92999999999999994</v>
      </c>
      <c r="BK183" s="8">
        <f t="shared" si="115"/>
        <v>2.7937500000000002</v>
      </c>
      <c r="BL183" s="8">
        <f t="shared" si="115"/>
        <v>1.25325</v>
      </c>
      <c r="BM183" s="8">
        <f t="shared" si="115"/>
        <v>2.2349999999999999</v>
      </c>
      <c r="BN183" s="8">
        <f t="shared" ref="BN183:BP183" si="116">BN180*BN181*BN182</f>
        <v>1.5149999999999999</v>
      </c>
      <c r="BO183" s="8">
        <f t="shared" si="116"/>
        <v>2.6074999999999999</v>
      </c>
      <c r="BP183" s="8">
        <f t="shared" si="116"/>
        <v>0.62250000000000005</v>
      </c>
      <c r="BQ183" s="8">
        <f t="shared" ref="BQ183:BR183" si="117">BQ180*BQ181*BQ182</f>
        <v>1.1960000000000002</v>
      </c>
      <c r="BR183" s="8">
        <f t="shared" si="117"/>
        <v>5.3700400000000013</v>
      </c>
      <c r="BS183" s="8"/>
      <c r="BT183" s="8"/>
      <c r="BU183" s="8"/>
    </row>
    <row r="184" spans="1:73" s="1" customFormat="1" ht="15.75" thickBot="1"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</row>
    <row r="185" spans="1:73" s="1" customFormat="1" ht="19.5" thickBot="1">
      <c r="B185" s="203" t="s">
        <v>313</v>
      </c>
      <c r="C185" s="203"/>
      <c r="D185" s="203"/>
      <c r="E185" s="203"/>
      <c r="F185" s="50">
        <f>ROUNDUP(SUM(B190:BP190),0)</f>
        <v>804</v>
      </c>
      <c r="G185" s="55"/>
      <c r="I185" s="4"/>
      <c r="BQ185"/>
      <c r="BR185"/>
      <c r="BS185"/>
      <c r="BT185"/>
      <c r="BU185"/>
    </row>
    <row r="186" spans="1:73" s="1" customFormat="1">
      <c r="B186" s="1" t="str">
        <f>B179</f>
        <v>BM 1</v>
      </c>
      <c r="C186" s="1" t="str">
        <f t="shared" ref="C186:BN186" si="118">C179</f>
        <v>BM 2</v>
      </c>
      <c r="D186" s="1" t="str">
        <f t="shared" si="118"/>
        <v>BM 3</v>
      </c>
      <c r="E186" s="1" t="str">
        <f t="shared" si="118"/>
        <v>BM 4</v>
      </c>
      <c r="F186" s="1" t="str">
        <f t="shared" si="118"/>
        <v>BM 5</v>
      </c>
      <c r="G186" s="1" t="str">
        <f t="shared" si="118"/>
        <v>BM 6</v>
      </c>
      <c r="H186" s="1" t="str">
        <f t="shared" si="118"/>
        <v>BM 7</v>
      </c>
      <c r="I186" s="1" t="str">
        <f t="shared" si="118"/>
        <v>BM 8</v>
      </c>
      <c r="J186" s="1" t="str">
        <f t="shared" si="118"/>
        <v>BM 9</v>
      </c>
      <c r="K186" s="1" t="str">
        <f t="shared" si="118"/>
        <v>BM 10</v>
      </c>
      <c r="L186" s="1" t="str">
        <f t="shared" si="118"/>
        <v>BM 11</v>
      </c>
      <c r="M186" s="1" t="str">
        <f t="shared" si="118"/>
        <v>BM 12</v>
      </c>
      <c r="N186" s="1" t="str">
        <f t="shared" si="118"/>
        <v>BM 13</v>
      </c>
      <c r="O186" s="1" t="str">
        <f t="shared" si="118"/>
        <v>BM 14</v>
      </c>
      <c r="P186" s="1" t="str">
        <f t="shared" si="118"/>
        <v>BM 15</v>
      </c>
      <c r="Q186" s="1" t="str">
        <f t="shared" si="118"/>
        <v>BM 16</v>
      </c>
      <c r="R186" s="1" t="str">
        <f t="shared" si="118"/>
        <v>BM 17</v>
      </c>
      <c r="S186" s="1" t="str">
        <f t="shared" si="118"/>
        <v>BM 18</v>
      </c>
      <c r="T186" s="1" t="str">
        <f t="shared" si="118"/>
        <v>BM 19</v>
      </c>
      <c r="U186" s="1" t="str">
        <f t="shared" si="118"/>
        <v>BM 20</v>
      </c>
      <c r="V186" s="1" t="str">
        <f t="shared" si="118"/>
        <v>BM 21</v>
      </c>
      <c r="W186" s="1" t="str">
        <f t="shared" si="118"/>
        <v>BM 22</v>
      </c>
      <c r="X186" s="1" t="str">
        <f t="shared" si="118"/>
        <v>BM 23</v>
      </c>
      <c r="Y186" s="1" t="str">
        <f t="shared" si="118"/>
        <v>BM 24</v>
      </c>
      <c r="Z186" s="1" t="str">
        <f t="shared" si="118"/>
        <v>BM 25</v>
      </c>
      <c r="AA186" s="1" t="str">
        <f t="shared" si="118"/>
        <v>BM 26</v>
      </c>
      <c r="AB186" s="1" t="str">
        <f t="shared" si="118"/>
        <v>BM 27</v>
      </c>
      <c r="AC186" s="1" t="str">
        <f t="shared" si="118"/>
        <v>BM 28</v>
      </c>
      <c r="AD186" s="1" t="str">
        <f t="shared" si="118"/>
        <v>BM 29</v>
      </c>
      <c r="AE186" s="1" t="str">
        <f t="shared" si="118"/>
        <v>BM 30</v>
      </c>
      <c r="AF186" s="1" t="str">
        <f t="shared" si="118"/>
        <v>BM 31</v>
      </c>
      <c r="AG186" s="1" t="str">
        <f t="shared" si="118"/>
        <v>BM 32</v>
      </c>
      <c r="AH186" s="1" t="str">
        <f t="shared" si="118"/>
        <v>BM 33</v>
      </c>
      <c r="AI186" s="1" t="str">
        <f t="shared" si="118"/>
        <v>BM 34</v>
      </c>
      <c r="AJ186" s="1" t="str">
        <f t="shared" si="118"/>
        <v>BM 35</v>
      </c>
      <c r="AK186" s="1" t="str">
        <f t="shared" si="118"/>
        <v>BM 36</v>
      </c>
      <c r="AL186" s="1" t="str">
        <f t="shared" si="118"/>
        <v>BM 37</v>
      </c>
      <c r="AM186" s="1" t="str">
        <f t="shared" si="118"/>
        <v>BM 38</v>
      </c>
      <c r="AN186" s="1" t="str">
        <f t="shared" si="118"/>
        <v>BM 39</v>
      </c>
      <c r="AO186" s="1" t="str">
        <f t="shared" si="118"/>
        <v>BM 40</v>
      </c>
      <c r="AP186" s="1" t="str">
        <f t="shared" si="118"/>
        <v>BM 41</v>
      </c>
      <c r="AQ186" s="1" t="str">
        <f t="shared" si="118"/>
        <v>BM 42</v>
      </c>
      <c r="AR186" s="1" t="str">
        <f t="shared" si="118"/>
        <v>BM 43</v>
      </c>
      <c r="AS186" s="1" t="str">
        <f t="shared" si="118"/>
        <v>BM 44</v>
      </c>
      <c r="AT186" s="1" t="str">
        <f t="shared" si="118"/>
        <v>BM 45</v>
      </c>
      <c r="AU186" s="1" t="str">
        <f t="shared" si="118"/>
        <v>BM 46</v>
      </c>
      <c r="AV186" s="1" t="str">
        <f t="shared" si="118"/>
        <v>BM 47</v>
      </c>
      <c r="AW186" s="1" t="str">
        <f t="shared" si="118"/>
        <v>BM 48</v>
      </c>
      <c r="AX186" s="1" t="str">
        <f t="shared" si="118"/>
        <v>BM 49</v>
      </c>
      <c r="AY186" s="1" t="str">
        <f t="shared" si="118"/>
        <v>BM 50</v>
      </c>
      <c r="AZ186" s="1" t="str">
        <f t="shared" si="118"/>
        <v>BM 51</v>
      </c>
      <c r="BA186" s="1" t="str">
        <f t="shared" si="118"/>
        <v>BM 52</v>
      </c>
      <c r="BB186" s="1" t="str">
        <f t="shared" si="118"/>
        <v>BM 53</v>
      </c>
      <c r="BC186" s="1" t="str">
        <f t="shared" si="118"/>
        <v>BM 54</v>
      </c>
      <c r="BD186" s="1" t="str">
        <f t="shared" si="118"/>
        <v>BM 55</v>
      </c>
      <c r="BE186" s="1" t="str">
        <f t="shared" si="118"/>
        <v>BM 56</v>
      </c>
      <c r="BF186" s="1" t="str">
        <f t="shared" si="118"/>
        <v>BM 57</v>
      </c>
      <c r="BG186" s="1" t="str">
        <f t="shared" si="118"/>
        <v>BM 58</v>
      </c>
      <c r="BH186" s="1" t="str">
        <f t="shared" si="118"/>
        <v>BM 59</v>
      </c>
      <c r="BI186" s="1" t="str">
        <f t="shared" si="118"/>
        <v>BM 60</v>
      </c>
      <c r="BJ186" s="1" t="str">
        <f t="shared" si="118"/>
        <v>BM 61</v>
      </c>
      <c r="BK186" s="1" t="str">
        <f t="shared" si="118"/>
        <v>BM 62</v>
      </c>
      <c r="BL186" s="1" t="str">
        <f t="shared" si="118"/>
        <v>BM 63</v>
      </c>
      <c r="BM186" s="1" t="str">
        <f t="shared" si="118"/>
        <v>BM 64</v>
      </c>
      <c r="BN186" s="1" t="str">
        <f t="shared" si="118"/>
        <v>BM 65</v>
      </c>
      <c r="BO186" s="1" t="str">
        <f t="shared" ref="BO186:BP186" si="119">BO179</f>
        <v>BM 66</v>
      </c>
      <c r="BP186" s="1" t="str">
        <f t="shared" si="119"/>
        <v>BM 67</v>
      </c>
      <c r="BQ186" s="1" t="str">
        <f t="shared" ref="BQ186:BR186" si="120">BQ179</f>
        <v>BM 68</v>
      </c>
      <c r="BR186" s="1" t="str">
        <f t="shared" si="120"/>
        <v>BM 69</v>
      </c>
      <c r="BS186"/>
      <c r="BT186"/>
      <c r="BU186"/>
    </row>
    <row r="187" spans="1:73" s="44" customFormat="1" ht="12.75">
      <c r="A187" s="44" t="str">
        <f>A180</f>
        <v>length</v>
      </c>
      <c r="B187" s="1">
        <f t="shared" ref="B187:BM189" si="121">B180</f>
        <v>4.7699999999999996</v>
      </c>
      <c r="C187" s="1">
        <f t="shared" si="121"/>
        <v>8.01</v>
      </c>
      <c r="D187" s="1">
        <f t="shared" si="121"/>
        <v>4.72</v>
      </c>
      <c r="E187" s="1">
        <f t="shared" si="121"/>
        <v>1.5</v>
      </c>
      <c r="F187" s="1">
        <f t="shared" si="121"/>
        <v>16.3</v>
      </c>
      <c r="G187" s="1">
        <f t="shared" si="121"/>
        <v>5.18</v>
      </c>
      <c r="H187" s="1">
        <f t="shared" si="121"/>
        <v>4.4000000000000004</v>
      </c>
      <c r="I187" s="1">
        <f t="shared" si="121"/>
        <v>5.4</v>
      </c>
      <c r="J187" s="1">
        <f t="shared" si="121"/>
        <v>3.82</v>
      </c>
      <c r="K187" s="1">
        <f t="shared" si="121"/>
        <v>5.07</v>
      </c>
      <c r="L187" s="1">
        <f t="shared" si="121"/>
        <v>16.3</v>
      </c>
      <c r="M187" s="1">
        <f t="shared" si="121"/>
        <v>2.95</v>
      </c>
      <c r="N187" s="1">
        <f t="shared" si="121"/>
        <v>4</v>
      </c>
      <c r="O187" s="1">
        <f t="shared" si="121"/>
        <v>22.11</v>
      </c>
      <c r="P187" s="1">
        <f t="shared" si="121"/>
        <v>2.54</v>
      </c>
      <c r="Q187" s="1">
        <f t="shared" si="121"/>
        <v>10.199999999999999</v>
      </c>
      <c r="R187" s="1">
        <f t="shared" si="121"/>
        <v>2.65</v>
      </c>
      <c r="S187" s="1">
        <f t="shared" si="121"/>
        <v>7.76</v>
      </c>
      <c r="T187" s="1">
        <f t="shared" si="121"/>
        <v>7.76</v>
      </c>
      <c r="U187" s="1">
        <f t="shared" si="121"/>
        <v>7.64</v>
      </c>
      <c r="V187" s="1">
        <f t="shared" si="121"/>
        <v>1.5</v>
      </c>
      <c r="W187" s="1">
        <f t="shared" si="121"/>
        <v>12.62</v>
      </c>
      <c r="X187" s="1">
        <f t="shared" si="121"/>
        <v>8.01</v>
      </c>
      <c r="Y187" s="1">
        <f t="shared" si="121"/>
        <v>11.2</v>
      </c>
      <c r="Z187" s="1">
        <f t="shared" si="121"/>
        <v>2.65</v>
      </c>
      <c r="AA187" s="1">
        <f t="shared" si="121"/>
        <v>6.34</v>
      </c>
      <c r="AB187" s="1">
        <f t="shared" si="121"/>
        <v>2.95</v>
      </c>
      <c r="AC187" s="1">
        <f t="shared" si="121"/>
        <v>8.01</v>
      </c>
      <c r="AD187" s="1">
        <f t="shared" si="121"/>
        <v>11.18</v>
      </c>
      <c r="AE187" s="1">
        <f t="shared" si="121"/>
        <v>6.34</v>
      </c>
      <c r="AF187" s="1">
        <f t="shared" si="121"/>
        <v>7.76</v>
      </c>
      <c r="AG187" s="1">
        <f t="shared" si="121"/>
        <v>4.2</v>
      </c>
      <c r="AH187" s="1">
        <f t="shared" si="121"/>
        <v>7.3</v>
      </c>
      <c r="AI187" s="1">
        <f t="shared" si="121"/>
        <v>19.2</v>
      </c>
      <c r="AJ187" s="1">
        <f t="shared" si="121"/>
        <v>3.2</v>
      </c>
      <c r="AK187" s="1">
        <f t="shared" si="121"/>
        <v>2.95</v>
      </c>
      <c r="AL187" s="1">
        <f t="shared" si="121"/>
        <v>8.3000000000000007</v>
      </c>
      <c r="AM187" s="1">
        <f t="shared" si="121"/>
        <v>8.8000000000000007</v>
      </c>
      <c r="AN187" s="1">
        <f t="shared" si="121"/>
        <v>7.7</v>
      </c>
      <c r="AO187" s="1">
        <f t="shared" si="121"/>
        <v>11.58</v>
      </c>
      <c r="AP187" s="1">
        <f t="shared" si="121"/>
        <v>3.81</v>
      </c>
      <c r="AQ187" s="1">
        <f t="shared" si="121"/>
        <v>10.97</v>
      </c>
      <c r="AR187" s="1">
        <f t="shared" si="121"/>
        <v>3.7</v>
      </c>
      <c r="AS187" s="1">
        <f t="shared" si="121"/>
        <v>12.79</v>
      </c>
      <c r="AT187" s="1">
        <f t="shared" si="121"/>
        <v>3.04</v>
      </c>
      <c r="AU187" s="1">
        <f t="shared" si="121"/>
        <v>11.43</v>
      </c>
      <c r="AV187" s="1">
        <f t="shared" si="121"/>
        <v>3.63</v>
      </c>
      <c r="AW187" s="1">
        <f t="shared" si="121"/>
        <v>2.5</v>
      </c>
      <c r="AX187" s="1">
        <f t="shared" si="121"/>
        <v>2.35</v>
      </c>
      <c r="AY187" s="1">
        <f t="shared" si="121"/>
        <v>18.05</v>
      </c>
      <c r="AZ187" s="1">
        <f t="shared" si="121"/>
        <v>3.7</v>
      </c>
      <c r="BA187" s="1">
        <f t="shared" si="121"/>
        <v>6.34</v>
      </c>
      <c r="BB187" s="1">
        <f t="shared" si="121"/>
        <v>16.78</v>
      </c>
      <c r="BC187" s="1">
        <f t="shared" si="121"/>
        <v>3.92</v>
      </c>
      <c r="BD187" s="1">
        <f t="shared" si="121"/>
        <v>6.89</v>
      </c>
      <c r="BE187" s="1">
        <f t="shared" si="121"/>
        <v>7.1</v>
      </c>
      <c r="BF187" s="1">
        <f t="shared" si="121"/>
        <v>7.18</v>
      </c>
      <c r="BG187" s="1">
        <f t="shared" si="121"/>
        <v>19.420000000000002</v>
      </c>
      <c r="BH187" s="1">
        <f t="shared" si="121"/>
        <v>5.13</v>
      </c>
      <c r="BI187" s="1">
        <f t="shared" si="121"/>
        <v>5.57</v>
      </c>
      <c r="BJ187" s="1">
        <f t="shared" si="121"/>
        <v>6.2</v>
      </c>
      <c r="BK187" s="1">
        <f t="shared" si="121"/>
        <v>14.9</v>
      </c>
      <c r="BL187" s="1">
        <f t="shared" si="121"/>
        <v>5.57</v>
      </c>
      <c r="BM187" s="1">
        <f t="shared" si="121"/>
        <v>14.9</v>
      </c>
      <c r="BN187" s="1">
        <f t="shared" ref="BN187:BP187" si="122">BN180</f>
        <v>10.1</v>
      </c>
      <c r="BO187" s="1">
        <f t="shared" si="122"/>
        <v>14.9</v>
      </c>
      <c r="BP187" s="1">
        <f t="shared" si="122"/>
        <v>4.1500000000000004</v>
      </c>
      <c r="BQ187" s="1">
        <f t="shared" ref="BQ187:BR187" si="123">BQ180</f>
        <v>2.99</v>
      </c>
      <c r="BR187" s="1">
        <f t="shared" si="123"/>
        <v>8.98</v>
      </c>
    </row>
    <row r="188" spans="1:73" s="1" customFormat="1">
      <c r="A188" s="44" t="str">
        <f>A181</f>
        <v>depth</v>
      </c>
      <c r="B188" s="1">
        <f t="shared" si="121"/>
        <v>0.7</v>
      </c>
      <c r="C188" s="1">
        <f t="shared" si="121"/>
        <v>0.8</v>
      </c>
      <c r="D188" s="1">
        <f t="shared" si="121"/>
        <v>0.7</v>
      </c>
      <c r="E188" s="1">
        <f t="shared" si="121"/>
        <v>0.6</v>
      </c>
      <c r="F188" s="1">
        <f t="shared" si="121"/>
        <v>0.75</v>
      </c>
      <c r="G188" s="1">
        <f t="shared" si="121"/>
        <v>0.6</v>
      </c>
      <c r="H188" s="1">
        <f t="shared" si="121"/>
        <v>0.6</v>
      </c>
      <c r="I188" s="1">
        <f t="shared" si="121"/>
        <v>0.6</v>
      </c>
      <c r="J188" s="1">
        <f t="shared" si="121"/>
        <v>0.6</v>
      </c>
      <c r="K188" s="1">
        <f t="shared" si="121"/>
        <v>0.6</v>
      </c>
      <c r="L188" s="1">
        <f t="shared" si="121"/>
        <v>0.6</v>
      </c>
      <c r="M188" s="1">
        <f t="shared" si="121"/>
        <v>0.45</v>
      </c>
      <c r="N188" s="1">
        <f t="shared" si="121"/>
        <v>0.45</v>
      </c>
      <c r="O188" s="1">
        <f t="shared" si="121"/>
        <v>0.9</v>
      </c>
      <c r="P188" s="1">
        <f t="shared" si="121"/>
        <v>0.6</v>
      </c>
      <c r="Q188" s="1">
        <f t="shared" si="121"/>
        <v>0.6</v>
      </c>
      <c r="R188" s="1">
        <f t="shared" si="121"/>
        <v>0.45</v>
      </c>
      <c r="S188" s="1">
        <f t="shared" si="121"/>
        <v>0.7</v>
      </c>
      <c r="T188" s="1">
        <f t="shared" si="121"/>
        <v>0.7</v>
      </c>
      <c r="U188" s="1">
        <f t="shared" si="121"/>
        <v>0.6</v>
      </c>
      <c r="V188" s="1">
        <f t="shared" si="121"/>
        <v>0.45</v>
      </c>
      <c r="W188" s="1">
        <f t="shared" si="121"/>
        <v>0.6</v>
      </c>
      <c r="X188" s="1">
        <f t="shared" si="121"/>
        <v>0.8</v>
      </c>
      <c r="Y188" s="1">
        <f t="shared" si="121"/>
        <v>0.6</v>
      </c>
      <c r="Z188" s="1">
        <f t="shared" si="121"/>
        <v>0.45</v>
      </c>
      <c r="AA188" s="1">
        <f t="shared" si="121"/>
        <v>0.7</v>
      </c>
      <c r="AB188" s="1">
        <f t="shared" si="121"/>
        <v>0.45</v>
      </c>
      <c r="AC188" s="1">
        <f t="shared" si="121"/>
        <v>0.75</v>
      </c>
      <c r="AD188" s="1">
        <f t="shared" si="121"/>
        <v>0.7</v>
      </c>
      <c r="AE188" s="1">
        <f t="shared" si="121"/>
        <v>0.6</v>
      </c>
      <c r="AF188" s="1">
        <f t="shared" si="121"/>
        <v>0.6</v>
      </c>
      <c r="AG188" s="1">
        <f t="shared" si="121"/>
        <v>0.6</v>
      </c>
      <c r="AH188" s="1">
        <f t="shared" si="121"/>
        <v>0.6</v>
      </c>
      <c r="AI188" s="1">
        <f t="shared" si="121"/>
        <v>0.6</v>
      </c>
      <c r="AJ188" s="1">
        <f t="shared" si="121"/>
        <v>0.6</v>
      </c>
      <c r="AK188" s="1">
        <f t="shared" si="121"/>
        <v>0.6</v>
      </c>
      <c r="AL188" s="1">
        <f t="shared" si="121"/>
        <v>0.6</v>
      </c>
      <c r="AM188" s="1">
        <f t="shared" si="121"/>
        <v>0.6</v>
      </c>
      <c r="AN188" s="1">
        <f t="shared" si="121"/>
        <v>0.6</v>
      </c>
      <c r="AO188" s="1">
        <f t="shared" si="121"/>
        <v>0.6</v>
      </c>
      <c r="AP188" s="1">
        <f t="shared" si="121"/>
        <v>0.6</v>
      </c>
      <c r="AQ188" s="1">
        <f t="shared" si="121"/>
        <v>0.6</v>
      </c>
      <c r="AR188" s="1">
        <f t="shared" si="121"/>
        <v>0.6</v>
      </c>
      <c r="AS188" s="1">
        <f t="shared" si="121"/>
        <v>0.6</v>
      </c>
      <c r="AT188" s="1">
        <f t="shared" si="121"/>
        <v>0.6</v>
      </c>
      <c r="AU188" s="1">
        <f t="shared" si="121"/>
        <v>0.7</v>
      </c>
      <c r="AV188" s="1">
        <f t="shared" si="121"/>
        <v>0.6</v>
      </c>
      <c r="AW188" s="1">
        <f t="shared" si="121"/>
        <v>0.6</v>
      </c>
      <c r="AX188" s="1">
        <f t="shared" si="121"/>
        <v>0.6</v>
      </c>
      <c r="AY188" s="1">
        <f t="shared" si="121"/>
        <v>0.75</v>
      </c>
      <c r="AZ188" s="1">
        <f t="shared" si="121"/>
        <v>0.6</v>
      </c>
      <c r="BA188" s="1">
        <f t="shared" si="121"/>
        <v>0.6</v>
      </c>
      <c r="BB188" s="1">
        <f t="shared" si="121"/>
        <v>0.6</v>
      </c>
      <c r="BC188" s="1">
        <f t="shared" si="121"/>
        <v>0.6</v>
      </c>
      <c r="BD188" s="1">
        <f t="shared" si="121"/>
        <v>0.6</v>
      </c>
      <c r="BE188" s="1">
        <f t="shared" si="121"/>
        <v>0.6</v>
      </c>
      <c r="BF188" s="1">
        <f t="shared" si="121"/>
        <v>0.6</v>
      </c>
      <c r="BG188" s="1">
        <f t="shared" si="121"/>
        <v>0.45</v>
      </c>
      <c r="BH188" s="1">
        <f t="shared" si="121"/>
        <v>0.6</v>
      </c>
      <c r="BI188" s="1">
        <f t="shared" si="121"/>
        <v>0.6</v>
      </c>
      <c r="BJ188" s="1">
        <f t="shared" si="121"/>
        <v>0.6</v>
      </c>
      <c r="BK188" s="1">
        <f t="shared" si="121"/>
        <v>0.75</v>
      </c>
      <c r="BL188" s="1">
        <f t="shared" si="121"/>
        <v>0.75</v>
      </c>
      <c r="BM188" s="1">
        <f t="shared" si="121"/>
        <v>0.6</v>
      </c>
      <c r="BN188" s="1">
        <f t="shared" ref="BN188:BP188" si="124">BN181</f>
        <v>0.6</v>
      </c>
      <c r="BO188" s="1">
        <f t="shared" si="124"/>
        <v>0.7</v>
      </c>
      <c r="BP188" s="1">
        <f t="shared" si="124"/>
        <v>0.6</v>
      </c>
      <c r="BQ188" s="1">
        <f t="shared" ref="BQ188:BR188" si="125">BQ181</f>
        <v>1.6</v>
      </c>
      <c r="BR188" s="1">
        <f t="shared" si="125"/>
        <v>2.6</v>
      </c>
      <c r="BS188"/>
      <c r="BT188"/>
      <c r="BU188"/>
    </row>
    <row r="189" spans="1:73" s="1" customFormat="1">
      <c r="A189" s="44" t="str">
        <f>A182</f>
        <v>width</v>
      </c>
      <c r="B189" s="1">
        <f t="shared" si="121"/>
        <v>0.25</v>
      </c>
      <c r="C189" s="1">
        <f t="shared" si="121"/>
        <v>0.3</v>
      </c>
      <c r="D189" s="1">
        <f t="shared" si="121"/>
        <v>0.25</v>
      </c>
      <c r="E189" s="1">
        <f t="shared" si="121"/>
        <v>0.25</v>
      </c>
      <c r="F189" s="1">
        <f t="shared" si="121"/>
        <v>0.25</v>
      </c>
      <c r="G189" s="1">
        <f t="shared" si="121"/>
        <v>0.25</v>
      </c>
      <c r="H189" s="1">
        <f t="shared" si="121"/>
        <v>0.25</v>
      </c>
      <c r="I189" s="1">
        <f t="shared" si="121"/>
        <v>0.25</v>
      </c>
      <c r="J189" s="1">
        <f t="shared" si="121"/>
        <v>0.25</v>
      </c>
      <c r="K189" s="1">
        <f t="shared" si="121"/>
        <v>0.25</v>
      </c>
      <c r="L189" s="1">
        <f t="shared" si="121"/>
        <v>0.25</v>
      </c>
      <c r="M189" s="1">
        <f t="shared" si="121"/>
        <v>0.23</v>
      </c>
      <c r="N189" s="1">
        <f t="shared" si="121"/>
        <v>0.23</v>
      </c>
      <c r="O189" s="1">
        <f t="shared" si="121"/>
        <v>0.4</v>
      </c>
      <c r="P189" s="1">
        <f t="shared" si="121"/>
        <v>0.25</v>
      </c>
      <c r="Q189" s="1">
        <f t="shared" si="121"/>
        <v>0.25</v>
      </c>
      <c r="R189" s="1">
        <f t="shared" si="121"/>
        <v>0.25</v>
      </c>
      <c r="S189" s="1">
        <f t="shared" si="121"/>
        <v>0.25</v>
      </c>
      <c r="T189" s="1">
        <f t="shared" si="121"/>
        <v>0.3</v>
      </c>
      <c r="U189" s="1">
        <f t="shared" si="121"/>
        <v>0.25</v>
      </c>
      <c r="V189" s="1">
        <f t="shared" si="121"/>
        <v>0.23</v>
      </c>
      <c r="W189" s="1">
        <f t="shared" si="121"/>
        <v>0.25</v>
      </c>
      <c r="X189" s="1">
        <f t="shared" si="121"/>
        <v>0.25</v>
      </c>
      <c r="Y189" s="1">
        <f t="shared" si="121"/>
        <v>0.25</v>
      </c>
      <c r="Z189" s="1">
        <f t="shared" si="121"/>
        <v>0.23</v>
      </c>
      <c r="AA189" s="1">
        <f t="shared" si="121"/>
        <v>0.35</v>
      </c>
      <c r="AB189" s="1">
        <f t="shared" si="121"/>
        <v>0.23</v>
      </c>
      <c r="AC189" s="1">
        <f t="shared" si="121"/>
        <v>0.35</v>
      </c>
      <c r="AD189" s="1">
        <f t="shared" si="121"/>
        <v>0.35</v>
      </c>
      <c r="AE189" s="1">
        <f t="shared" si="121"/>
        <v>0.25</v>
      </c>
      <c r="AF189" s="1">
        <f t="shared" si="121"/>
        <v>0.25</v>
      </c>
      <c r="AG189" s="1">
        <f t="shared" si="121"/>
        <v>0.25</v>
      </c>
      <c r="AH189" s="1">
        <f t="shared" si="121"/>
        <v>0.25</v>
      </c>
      <c r="AI189" s="1">
        <f t="shared" si="121"/>
        <v>0.25</v>
      </c>
      <c r="AJ189" s="1">
        <f t="shared" si="121"/>
        <v>0.25</v>
      </c>
      <c r="AK189" s="1">
        <f t="shared" si="121"/>
        <v>0.25</v>
      </c>
      <c r="AL189" s="1">
        <f t="shared" si="121"/>
        <v>0.25</v>
      </c>
      <c r="AM189" s="1">
        <f t="shared" si="121"/>
        <v>0.25</v>
      </c>
      <c r="AN189" s="1">
        <f t="shared" si="121"/>
        <v>0.25</v>
      </c>
      <c r="AO189" s="1">
        <f t="shared" si="121"/>
        <v>0.25</v>
      </c>
      <c r="AP189" s="1">
        <f t="shared" si="121"/>
        <v>0.25</v>
      </c>
      <c r="AQ189" s="1">
        <f t="shared" si="121"/>
        <v>0.25</v>
      </c>
      <c r="AR189" s="1">
        <f t="shared" si="121"/>
        <v>0.25</v>
      </c>
      <c r="AS189" s="1">
        <f t="shared" si="121"/>
        <v>0.25</v>
      </c>
      <c r="AT189" s="1">
        <f t="shared" si="121"/>
        <v>0.25</v>
      </c>
      <c r="AU189" s="1">
        <f t="shared" si="121"/>
        <v>0.25</v>
      </c>
      <c r="AV189" s="1">
        <f t="shared" si="121"/>
        <v>0.25</v>
      </c>
      <c r="AW189" s="1">
        <f t="shared" si="121"/>
        <v>0.25</v>
      </c>
      <c r="AX189" s="1">
        <f t="shared" si="121"/>
        <v>0.25</v>
      </c>
      <c r="AY189" s="1">
        <f t="shared" si="121"/>
        <v>0.35</v>
      </c>
      <c r="AZ189" s="1">
        <f t="shared" si="121"/>
        <v>0.25</v>
      </c>
      <c r="BA189" s="1">
        <f t="shared" si="121"/>
        <v>0.25</v>
      </c>
      <c r="BB189" s="1">
        <f t="shared" si="121"/>
        <v>0.25</v>
      </c>
      <c r="BC189" s="1">
        <f t="shared" si="121"/>
        <v>0.25</v>
      </c>
      <c r="BD189" s="1">
        <f t="shared" si="121"/>
        <v>0.25</v>
      </c>
      <c r="BE189" s="1">
        <f t="shared" si="121"/>
        <v>0.25</v>
      </c>
      <c r="BF189" s="1">
        <f t="shared" si="121"/>
        <v>0.25</v>
      </c>
      <c r="BG189" s="1">
        <f t="shared" si="121"/>
        <v>0.23</v>
      </c>
      <c r="BH189" s="1">
        <f t="shared" si="121"/>
        <v>0.25</v>
      </c>
      <c r="BI189" s="1">
        <f t="shared" si="121"/>
        <v>0.25</v>
      </c>
      <c r="BJ189" s="1">
        <f t="shared" si="121"/>
        <v>0.25</v>
      </c>
      <c r="BK189" s="1">
        <f t="shared" si="121"/>
        <v>0.25</v>
      </c>
      <c r="BL189" s="1">
        <f t="shared" si="121"/>
        <v>0.3</v>
      </c>
      <c r="BM189" s="1">
        <f t="shared" si="121"/>
        <v>0.25</v>
      </c>
      <c r="BN189" s="1">
        <f t="shared" ref="BN189:BP189" si="126">BN182</f>
        <v>0.25</v>
      </c>
      <c r="BO189" s="1">
        <f t="shared" si="126"/>
        <v>0.25</v>
      </c>
      <c r="BP189" s="1">
        <f t="shared" si="126"/>
        <v>0.25</v>
      </c>
      <c r="BQ189" s="1">
        <f t="shared" ref="BQ189:BR189" si="127">BQ182</f>
        <v>0.25</v>
      </c>
      <c r="BR189" s="1">
        <f t="shared" si="127"/>
        <v>0.23</v>
      </c>
      <c r="BS189"/>
      <c r="BT189"/>
      <c r="BU189"/>
    </row>
    <row r="190" spans="1:73" s="1" customFormat="1">
      <c r="B190" s="8">
        <f t="shared" ref="B190:BM190" si="128">(B187*B188*2)+(B187*B189)</f>
        <v>7.8704999999999989</v>
      </c>
      <c r="C190" s="8">
        <f t="shared" si="128"/>
        <v>15.219000000000001</v>
      </c>
      <c r="D190" s="8">
        <f t="shared" si="128"/>
        <v>7.7879999999999994</v>
      </c>
      <c r="E190" s="8">
        <f t="shared" si="128"/>
        <v>2.1749999999999998</v>
      </c>
      <c r="F190" s="8">
        <f t="shared" si="128"/>
        <v>28.525000000000002</v>
      </c>
      <c r="G190" s="8">
        <f t="shared" si="128"/>
        <v>7.5109999999999992</v>
      </c>
      <c r="H190" s="8">
        <f t="shared" si="128"/>
        <v>6.3800000000000008</v>
      </c>
      <c r="I190" s="8">
        <f t="shared" si="128"/>
        <v>7.83</v>
      </c>
      <c r="J190" s="8">
        <f t="shared" si="128"/>
        <v>5.5389999999999997</v>
      </c>
      <c r="K190" s="8">
        <f t="shared" si="128"/>
        <v>7.3515000000000006</v>
      </c>
      <c r="L190" s="8">
        <f t="shared" si="128"/>
        <v>23.634999999999998</v>
      </c>
      <c r="M190" s="8">
        <f t="shared" si="128"/>
        <v>3.3335000000000004</v>
      </c>
      <c r="N190" s="8">
        <f t="shared" si="128"/>
        <v>4.5200000000000005</v>
      </c>
      <c r="O190" s="8">
        <f t="shared" si="128"/>
        <v>48.642000000000003</v>
      </c>
      <c r="P190" s="8">
        <f t="shared" si="128"/>
        <v>3.6829999999999998</v>
      </c>
      <c r="Q190" s="8">
        <f t="shared" si="128"/>
        <v>14.79</v>
      </c>
      <c r="R190" s="8">
        <f t="shared" si="128"/>
        <v>3.0474999999999999</v>
      </c>
      <c r="S190" s="8">
        <f t="shared" si="128"/>
        <v>12.803999999999998</v>
      </c>
      <c r="T190" s="8">
        <f t="shared" si="128"/>
        <v>13.191999999999998</v>
      </c>
      <c r="U190" s="8">
        <f t="shared" si="128"/>
        <v>11.077999999999999</v>
      </c>
      <c r="V190" s="8">
        <f t="shared" si="128"/>
        <v>1.6950000000000001</v>
      </c>
      <c r="W190" s="8">
        <f t="shared" si="128"/>
        <v>18.298999999999999</v>
      </c>
      <c r="X190" s="8">
        <f t="shared" si="128"/>
        <v>14.8185</v>
      </c>
      <c r="Y190" s="8">
        <f t="shared" si="128"/>
        <v>16.239999999999998</v>
      </c>
      <c r="Z190" s="8">
        <f t="shared" si="128"/>
        <v>2.9944999999999999</v>
      </c>
      <c r="AA190" s="8">
        <f t="shared" si="128"/>
        <v>11.094999999999999</v>
      </c>
      <c r="AB190" s="8">
        <f t="shared" si="128"/>
        <v>3.3335000000000004</v>
      </c>
      <c r="AC190" s="8">
        <f t="shared" si="128"/>
        <v>14.8185</v>
      </c>
      <c r="AD190" s="8">
        <f t="shared" si="128"/>
        <v>19.564999999999998</v>
      </c>
      <c r="AE190" s="8">
        <f t="shared" si="128"/>
        <v>9.1929999999999996</v>
      </c>
      <c r="AF190" s="8">
        <f t="shared" si="128"/>
        <v>11.251999999999999</v>
      </c>
      <c r="AG190" s="8">
        <f t="shared" si="128"/>
        <v>6.09</v>
      </c>
      <c r="AH190" s="8">
        <f t="shared" si="128"/>
        <v>10.584999999999999</v>
      </c>
      <c r="AI190" s="8">
        <f t="shared" si="128"/>
        <v>27.84</v>
      </c>
      <c r="AJ190" s="8">
        <f t="shared" si="128"/>
        <v>4.6399999999999997</v>
      </c>
      <c r="AK190" s="8">
        <f t="shared" si="128"/>
        <v>4.2774999999999999</v>
      </c>
      <c r="AL190" s="8">
        <f t="shared" si="128"/>
        <v>12.035</v>
      </c>
      <c r="AM190" s="8">
        <f t="shared" si="128"/>
        <v>12.760000000000002</v>
      </c>
      <c r="AN190" s="8">
        <f t="shared" si="128"/>
        <v>11.165000000000001</v>
      </c>
      <c r="AO190" s="8">
        <f t="shared" si="128"/>
        <v>16.791</v>
      </c>
      <c r="AP190" s="8">
        <f t="shared" si="128"/>
        <v>5.5244999999999997</v>
      </c>
      <c r="AQ190" s="8">
        <f t="shared" si="128"/>
        <v>15.906499999999999</v>
      </c>
      <c r="AR190" s="8">
        <f t="shared" si="128"/>
        <v>5.3650000000000002</v>
      </c>
      <c r="AS190" s="8">
        <f t="shared" si="128"/>
        <v>18.545499999999997</v>
      </c>
      <c r="AT190" s="8">
        <f t="shared" si="128"/>
        <v>4.4079999999999995</v>
      </c>
      <c r="AU190" s="8">
        <f t="shared" si="128"/>
        <v>18.859499999999997</v>
      </c>
      <c r="AV190" s="8">
        <f t="shared" si="128"/>
        <v>5.2634999999999996</v>
      </c>
      <c r="AW190" s="8">
        <f t="shared" si="128"/>
        <v>3.625</v>
      </c>
      <c r="AX190" s="8">
        <f t="shared" si="128"/>
        <v>3.4074999999999998</v>
      </c>
      <c r="AY190" s="8">
        <f t="shared" si="128"/>
        <v>33.392500000000005</v>
      </c>
      <c r="AZ190" s="8">
        <f t="shared" si="128"/>
        <v>5.3650000000000002</v>
      </c>
      <c r="BA190" s="8">
        <f t="shared" si="128"/>
        <v>9.1929999999999996</v>
      </c>
      <c r="BB190" s="8">
        <f t="shared" si="128"/>
        <v>24.331</v>
      </c>
      <c r="BC190" s="8">
        <f t="shared" si="128"/>
        <v>5.6839999999999993</v>
      </c>
      <c r="BD190" s="8">
        <f t="shared" si="128"/>
        <v>9.990499999999999</v>
      </c>
      <c r="BE190" s="8">
        <f t="shared" si="128"/>
        <v>10.295</v>
      </c>
      <c r="BF190" s="8">
        <f t="shared" si="128"/>
        <v>10.411</v>
      </c>
      <c r="BG190" s="8">
        <f t="shared" si="128"/>
        <v>21.944600000000001</v>
      </c>
      <c r="BH190" s="8">
        <f t="shared" si="128"/>
        <v>7.4384999999999994</v>
      </c>
      <c r="BI190" s="8">
        <f t="shared" si="128"/>
        <v>8.0764999999999993</v>
      </c>
      <c r="BJ190" s="8">
        <f t="shared" si="128"/>
        <v>8.99</v>
      </c>
      <c r="BK190" s="8">
        <f t="shared" si="128"/>
        <v>26.075000000000003</v>
      </c>
      <c r="BL190" s="8">
        <f t="shared" si="128"/>
        <v>10.026</v>
      </c>
      <c r="BM190" s="8">
        <f t="shared" si="128"/>
        <v>21.605</v>
      </c>
      <c r="BN190" s="8">
        <f t="shared" ref="BN190:BP190" si="129">(BN187*BN188*2)+(BN187*BN189)</f>
        <v>14.645</v>
      </c>
      <c r="BO190" s="8">
        <f t="shared" si="129"/>
        <v>24.585000000000001</v>
      </c>
      <c r="BP190" s="8">
        <f t="shared" si="129"/>
        <v>6.0175000000000001</v>
      </c>
      <c r="BQ190" s="8">
        <f t="shared" ref="BQ190:BR190" si="130">(BQ187*BQ188*2)+(BQ187*BQ189)</f>
        <v>10.315500000000002</v>
      </c>
      <c r="BR190" s="8">
        <f t="shared" si="130"/>
        <v>48.761400000000009</v>
      </c>
      <c r="BS190"/>
      <c r="BT190"/>
      <c r="BU190"/>
    </row>
    <row r="191" spans="1:73" s="1" customFormat="1" ht="15.75" thickBot="1"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 s="4"/>
      <c r="BR191"/>
      <c r="BS191"/>
      <c r="BT191"/>
      <c r="BU191"/>
    </row>
    <row r="192" spans="1:73" s="1" customFormat="1" ht="19.5" thickBot="1">
      <c r="B192" s="203" t="s">
        <v>314</v>
      </c>
      <c r="C192" s="203"/>
      <c r="D192" s="203"/>
      <c r="E192" s="203"/>
      <c r="F192" s="50">
        <f>ROUNDUP(SUM(B198:BP198),0)</f>
        <v>13238</v>
      </c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 s="4"/>
      <c r="BR192"/>
      <c r="BS192"/>
      <c r="BT192"/>
      <c r="BU192"/>
    </row>
    <row r="193" spans="1:73" s="1" customFormat="1">
      <c r="C193" s="1" t="s">
        <v>105</v>
      </c>
      <c r="D193" s="1">
        <f>ROUNDUP(7045.56818181818,0)</f>
        <v>7046</v>
      </c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 s="4"/>
      <c r="BR193"/>
      <c r="BS193"/>
      <c r="BT193"/>
      <c r="BU193"/>
    </row>
    <row r="194" spans="1:73" s="1" customFormat="1">
      <c r="C194" s="1" t="s">
        <v>70</v>
      </c>
      <c r="D194" s="1">
        <f>ROUNDUP(1508.52272727273,0)</f>
        <v>1509</v>
      </c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 s="4"/>
      <c r="BR194"/>
      <c r="BS194"/>
      <c r="BT194"/>
      <c r="BU194"/>
    </row>
    <row r="195" spans="1:73" s="1" customFormat="1">
      <c r="C195" s="1" t="s">
        <v>71</v>
      </c>
      <c r="D195" s="1">
        <f>ROUNDUP(2704.09090909091,0)</f>
        <v>2705</v>
      </c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 s="4"/>
      <c r="BR195"/>
      <c r="BS195"/>
      <c r="BT195"/>
      <c r="BU195"/>
    </row>
    <row r="196" spans="1:73" s="1" customFormat="1">
      <c r="C196" s="1" t="s">
        <v>68</v>
      </c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 s="4"/>
      <c r="BR196"/>
      <c r="BS196"/>
      <c r="BT196"/>
      <c r="BU196"/>
    </row>
    <row r="197" spans="1:73" s="1" customFormat="1">
      <c r="C197" s="1" t="s">
        <v>108</v>
      </c>
      <c r="D197" s="1">
        <f>ROUNDUP(1977.95454545455,0)</f>
        <v>1978</v>
      </c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 s="4"/>
      <c r="BR197"/>
      <c r="BS197"/>
      <c r="BT197"/>
      <c r="BU197"/>
    </row>
    <row r="198" spans="1:73" s="1" customFormat="1">
      <c r="D198" s="100">
        <f>SUM(D193:D197)</f>
        <v>13238</v>
      </c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 s="4"/>
      <c r="BR198"/>
      <c r="BS198"/>
      <c r="BT198"/>
      <c r="BU198"/>
    </row>
    <row r="199" spans="1:73" s="1" customFormat="1"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 s="4"/>
      <c r="BR199"/>
      <c r="BS199"/>
      <c r="BT199"/>
      <c r="BU199"/>
    </row>
    <row r="200" spans="1:73" s="1" customFormat="1" ht="15.75" thickBot="1"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 s="4"/>
      <c r="BR200"/>
      <c r="BS200"/>
      <c r="BT200"/>
      <c r="BU200"/>
    </row>
    <row r="201" spans="1:73" s="1" customFormat="1" ht="19.5" thickBot="1">
      <c r="B201" s="203" t="s">
        <v>317</v>
      </c>
      <c r="C201" s="203"/>
      <c r="D201" s="203"/>
      <c r="E201" s="203"/>
      <c r="F201" s="50">
        <f>ROUNDUP(SUM(B206:BP206),0)</f>
        <v>73</v>
      </c>
      <c r="I201" s="4"/>
      <c r="BQ201"/>
      <c r="BR201"/>
      <c r="BS201"/>
      <c r="BT201"/>
      <c r="BU201"/>
    </row>
    <row r="202" spans="1:73" s="1" customFormat="1" ht="12.75">
      <c r="A202" s="44"/>
      <c r="B202" s="1" t="s">
        <v>127</v>
      </c>
      <c r="C202" s="1" t="s">
        <v>128</v>
      </c>
      <c r="D202" s="1" t="s">
        <v>129</v>
      </c>
      <c r="E202" s="1" t="s">
        <v>130</v>
      </c>
      <c r="F202" s="1" t="s">
        <v>131</v>
      </c>
      <c r="G202" s="1" t="s">
        <v>132</v>
      </c>
      <c r="H202" s="1" t="s">
        <v>133</v>
      </c>
      <c r="I202" s="1" t="s">
        <v>134</v>
      </c>
      <c r="J202" s="1" t="s">
        <v>135</v>
      </c>
      <c r="K202" s="1" t="s">
        <v>136</v>
      </c>
      <c r="L202" s="1" t="s">
        <v>137</v>
      </c>
      <c r="M202" s="1" t="s">
        <v>138</v>
      </c>
      <c r="N202" s="1" t="s">
        <v>139</v>
      </c>
      <c r="O202" s="1" t="s">
        <v>140</v>
      </c>
      <c r="P202" s="1" t="s">
        <v>141</v>
      </c>
      <c r="Q202" s="1" t="s">
        <v>142</v>
      </c>
      <c r="R202" s="1" t="s">
        <v>143</v>
      </c>
      <c r="S202" s="1" t="s">
        <v>144</v>
      </c>
      <c r="T202" s="1" t="s">
        <v>145</v>
      </c>
      <c r="U202" s="1" t="s">
        <v>146</v>
      </c>
      <c r="V202" s="1" t="s">
        <v>147</v>
      </c>
      <c r="W202" s="1" t="s">
        <v>148</v>
      </c>
      <c r="X202" s="1" t="s">
        <v>149</v>
      </c>
      <c r="Y202" s="1" t="s">
        <v>150</v>
      </c>
      <c r="Z202" s="1" t="s">
        <v>151</v>
      </c>
      <c r="AA202" s="1" t="s">
        <v>152</v>
      </c>
      <c r="AB202" s="1" t="s">
        <v>153</v>
      </c>
      <c r="AC202" s="1" t="s">
        <v>154</v>
      </c>
      <c r="AD202" s="1" t="s">
        <v>155</v>
      </c>
      <c r="AE202" s="1" t="s">
        <v>156</v>
      </c>
      <c r="AF202" s="1" t="s">
        <v>157</v>
      </c>
      <c r="AG202" s="1" t="s">
        <v>158</v>
      </c>
      <c r="AH202" s="1" t="s">
        <v>159</v>
      </c>
      <c r="AI202" s="1" t="s">
        <v>160</v>
      </c>
      <c r="AJ202" s="1" t="s">
        <v>161</v>
      </c>
      <c r="AK202" s="1" t="s">
        <v>162</v>
      </c>
      <c r="AL202" s="1" t="s">
        <v>163</v>
      </c>
      <c r="AM202" s="1" t="s">
        <v>277</v>
      </c>
      <c r="AN202" s="1" t="s">
        <v>278</v>
      </c>
      <c r="AO202" s="1" t="s">
        <v>279</v>
      </c>
      <c r="AP202" s="1" t="s">
        <v>280</v>
      </c>
      <c r="AQ202" s="1" t="s">
        <v>281</v>
      </c>
      <c r="AR202" s="1" t="s">
        <v>282</v>
      </c>
    </row>
    <row r="203" spans="1:73" s="44" customFormat="1" ht="12.75">
      <c r="A203" s="44" t="s">
        <v>37</v>
      </c>
      <c r="B203" s="51">
        <v>9</v>
      </c>
      <c r="C203" s="51">
        <v>25.13</v>
      </c>
      <c r="D203" s="52">
        <v>2.65</v>
      </c>
      <c r="E203" s="52">
        <v>2.95</v>
      </c>
      <c r="F203" s="52">
        <v>7.6</v>
      </c>
      <c r="G203" s="52">
        <v>9</v>
      </c>
      <c r="H203" s="52">
        <v>25.13</v>
      </c>
      <c r="I203" s="52">
        <v>2.95</v>
      </c>
      <c r="J203" s="52">
        <v>2.9</v>
      </c>
      <c r="K203" s="52">
        <v>16.3</v>
      </c>
      <c r="L203" s="52">
        <v>6.77</v>
      </c>
      <c r="M203" s="52">
        <v>14.23</v>
      </c>
      <c r="N203" s="52">
        <v>8.4499999999999993</v>
      </c>
      <c r="O203" s="52">
        <v>16.3</v>
      </c>
      <c r="P203" s="51">
        <v>15.3</v>
      </c>
      <c r="Q203" s="51">
        <v>8.8000000000000007</v>
      </c>
      <c r="R203" s="51">
        <v>7.23</v>
      </c>
      <c r="S203" s="51">
        <v>16.3</v>
      </c>
      <c r="T203" s="51">
        <v>8.75</v>
      </c>
      <c r="U203" s="51">
        <v>15.3</v>
      </c>
      <c r="V203" s="51">
        <v>11.04</v>
      </c>
      <c r="W203" s="51">
        <v>3.63</v>
      </c>
      <c r="X203" s="51">
        <v>8.1</v>
      </c>
      <c r="Y203" s="51">
        <v>15.83</v>
      </c>
      <c r="Z203" s="51">
        <v>12.93</v>
      </c>
      <c r="AA203" s="51">
        <v>14.43</v>
      </c>
      <c r="AB203" s="51">
        <v>2.2000000000000002</v>
      </c>
      <c r="AC203" s="51">
        <v>3.77</v>
      </c>
      <c r="AD203" s="51">
        <v>6.63</v>
      </c>
      <c r="AE203" s="51">
        <v>4.3</v>
      </c>
      <c r="AF203" s="51">
        <v>7.73</v>
      </c>
      <c r="AG203" s="51">
        <v>9.7100000000000009</v>
      </c>
      <c r="AH203" s="51">
        <v>4.3</v>
      </c>
      <c r="AI203" s="51">
        <v>8</v>
      </c>
      <c r="AJ203" s="51">
        <v>14.48</v>
      </c>
      <c r="AK203" s="51">
        <v>7.73</v>
      </c>
      <c r="AL203" s="51">
        <v>9.7100000000000009</v>
      </c>
      <c r="AM203" s="51">
        <v>8.1</v>
      </c>
      <c r="AN203" s="51">
        <v>10.4</v>
      </c>
      <c r="AO203" s="51">
        <v>7.73</v>
      </c>
      <c r="AP203" s="51">
        <v>8.1</v>
      </c>
      <c r="AQ203" s="51">
        <v>10.1</v>
      </c>
      <c r="AR203" s="51">
        <v>8.1</v>
      </c>
      <c r="AS203" s="51"/>
      <c r="AT203" s="51"/>
      <c r="AU203" s="51"/>
      <c r="AV203" s="51"/>
      <c r="AW203" s="51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</row>
    <row r="204" spans="1:73" s="1" customFormat="1" ht="12.75">
      <c r="A204" s="44" t="s">
        <v>165</v>
      </c>
      <c r="B204" s="1">
        <v>0.75</v>
      </c>
      <c r="C204" s="1">
        <v>0.7</v>
      </c>
      <c r="D204" s="1">
        <v>0.6</v>
      </c>
      <c r="E204" s="1">
        <v>0.45</v>
      </c>
      <c r="F204" s="1">
        <v>0.6</v>
      </c>
      <c r="G204" s="1">
        <v>0.75</v>
      </c>
      <c r="H204" s="1">
        <v>0.6</v>
      </c>
      <c r="I204" s="1">
        <f t="shared" ref="I204:AJ204" si="131">H204</f>
        <v>0.6</v>
      </c>
      <c r="J204" s="1">
        <f t="shared" si="131"/>
        <v>0.6</v>
      </c>
      <c r="K204" s="1">
        <v>0.85</v>
      </c>
      <c r="L204" s="1">
        <v>0.6</v>
      </c>
      <c r="M204" s="1">
        <f t="shared" si="131"/>
        <v>0.6</v>
      </c>
      <c r="N204" s="1">
        <f t="shared" si="131"/>
        <v>0.6</v>
      </c>
      <c r="O204" s="1">
        <v>0.7</v>
      </c>
      <c r="P204" s="1">
        <v>0.6</v>
      </c>
      <c r="Q204" s="1">
        <f t="shared" si="131"/>
        <v>0.6</v>
      </c>
      <c r="R204" s="1">
        <f t="shared" si="131"/>
        <v>0.6</v>
      </c>
      <c r="S204" s="1">
        <f t="shared" si="131"/>
        <v>0.6</v>
      </c>
      <c r="T204" s="1">
        <f t="shared" si="131"/>
        <v>0.6</v>
      </c>
      <c r="U204" s="1">
        <f t="shared" si="131"/>
        <v>0.6</v>
      </c>
      <c r="V204" s="1">
        <f t="shared" si="131"/>
        <v>0.6</v>
      </c>
      <c r="W204" s="1">
        <f t="shared" si="131"/>
        <v>0.6</v>
      </c>
      <c r="X204" s="1">
        <f t="shared" si="131"/>
        <v>0.6</v>
      </c>
      <c r="Y204" s="1">
        <v>0.45</v>
      </c>
      <c r="Z204" s="1">
        <v>0.7</v>
      </c>
      <c r="AA204" s="1">
        <f t="shared" si="131"/>
        <v>0.7</v>
      </c>
      <c r="AB204" s="1">
        <v>0.6</v>
      </c>
      <c r="AC204" s="1">
        <f t="shared" si="131"/>
        <v>0.6</v>
      </c>
      <c r="AD204" s="1">
        <v>0.75</v>
      </c>
      <c r="AE204" s="1">
        <v>0.45</v>
      </c>
      <c r="AF204" s="1">
        <v>0.6</v>
      </c>
      <c r="AG204" s="1">
        <v>0.45</v>
      </c>
      <c r="AH204" s="1">
        <v>0.8</v>
      </c>
      <c r="AI204" s="1">
        <v>0.6</v>
      </c>
      <c r="AJ204" s="1">
        <f t="shared" si="131"/>
        <v>0.6</v>
      </c>
      <c r="AK204" s="1">
        <v>0.6</v>
      </c>
      <c r="AL204" s="1">
        <v>0.45</v>
      </c>
      <c r="AM204" s="1">
        <v>0.75</v>
      </c>
      <c r="AN204" s="1">
        <v>0.6</v>
      </c>
      <c r="AO204" s="1">
        <v>0.75</v>
      </c>
      <c r="AP204" s="1">
        <v>0.85</v>
      </c>
      <c r="AQ204" s="1">
        <v>0.6</v>
      </c>
      <c r="AR204" s="1">
        <v>0.75</v>
      </c>
    </row>
    <row r="205" spans="1:73" s="1" customFormat="1" ht="12.75">
      <c r="A205" s="44" t="s">
        <v>166</v>
      </c>
      <c r="B205" s="1">
        <v>0.35</v>
      </c>
      <c r="C205" s="1">
        <v>0.25</v>
      </c>
      <c r="D205" s="1">
        <v>0.23</v>
      </c>
      <c r="E205" s="1">
        <f t="shared" ref="E205" si="132">D205</f>
        <v>0.23</v>
      </c>
      <c r="F205" s="1">
        <v>0.25</v>
      </c>
      <c r="G205" s="1">
        <v>0.35</v>
      </c>
      <c r="H205" s="1">
        <v>0.25</v>
      </c>
      <c r="I205" s="1">
        <f t="shared" ref="I205:AR205" si="133">H205</f>
        <v>0.25</v>
      </c>
      <c r="J205" s="1">
        <f t="shared" si="133"/>
        <v>0.25</v>
      </c>
      <c r="K205" s="1">
        <v>0.3</v>
      </c>
      <c r="L205" s="1">
        <v>0.25</v>
      </c>
      <c r="M205" s="1">
        <f t="shared" si="133"/>
        <v>0.25</v>
      </c>
      <c r="N205" s="1">
        <f t="shared" si="133"/>
        <v>0.25</v>
      </c>
      <c r="O205" s="1">
        <v>0.35</v>
      </c>
      <c r="P205" s="1">
        <v>0.25</v>
      </c>
      <c r="Q205" s="1">
        <f t="shared" si="133"/>
        <v>0.25</v>
      </c>
      <c r="R205" s="1">
        <f t="shared" si="133"/>
        <v>0.25</v>
      </c>
      <c r="S205" s="1">
        <f t="shared" si="133"/>
        <v>0.25</v>
      </c>
      <c r="T205" s="1">
        <f t="shared" si="133"/>
        <v>0.25</v>
      </c>
      <c r="U205" s="1">
        <f t="shared" si="133"/>
        <v>0.25</v>
      </c>
      <c r="V205" s="1">
        <f t="shared" si="133"/>
        <v>0.25</v>
      </c>
      <c r="W205" s="1">
        <f t="shared" si="133"/>
        <v>0.25</v>
      </c>
      <c r="X205" s="1">
        <f t="shared" si="133"/>
        <v>0.25</v>
      </c>
      <c r="Y205" s="1">
        <v>0.23</v>
      </c>
      <c r="Z205" s="1">
        <v>0.35</v>
      </c>
      <c r="AA205" s="1">
        <f t="shared" si="133"/>
        <v>0.35</v>
      </c>
      <c r="AB205" s="1">
        <v>0.25</v>
      </c>
      <c r="AC205" s="1">
        <f t="shared" si="133"/>
        <v>0.25</v>
      </c>
      <c r="AD205" s="1">
        <f t="shared" si="133"/>
        <v>0.25</v>
      </c>
      <c r="AE205" s="1">
        <v>0.23</v>
      </c>
      <c r="AF205" s="1">
        <v>0.25</v>
      </c>
      <c r="AG205" s="1">
        <v>0.23</v>
      </c>
      <c r="AH205" s="1">
        <v>0.35</v>
      </c>
      <c r="AI205" s="1">
        <v>0.25</v>
      </c>
      <c r="AJ205" s="1">
        <f t="shared" si="133"/>
        <v>0.25</v>
      </c>
      <c r="AK205" s="1">
        <v>0.25</v>
      </c>
      <c r="AL205" s="1">
        <v>0.23</v>
      </c>
      <c r="AM205" s="1">
        <v>0.25</v>
      </c>
      <c r="AN205" s="1">
        <f t="shared" si="133"/>
        <v>0.25</v>
      </c>
      <c r="AO205" s="1">
        <v>0.35</v>
      </c>
      <c r="AP205" s="1">
        <f t="shared" si="133"/>
        <v>0.35</v>
      </c>
      <c r="AQ205" s="1">
        <v>0.25</v>
      </c>
      <c r="AR205" s="1">
        <f t="shared" si="133"/>
        <v>0.25</v>
      </c>
    </row>
    <row r="206" spans="1:73" s="1" customFormat="1" ht="12.75">
      <c r="A206" s="44"/>
      <c r="B206" s="8">
        <f t="shared" ref="B206:AR206" si="134">B203*B204*B205</f>
        <v>2.3624999999999998</v>
      </c>
      <c r="C206" s="8">
        <f t="shared" si="134"/>
        <v>4.3977499999999994</v>
      </c>
      <c r="D206" s="8">
        <f t="shared" si="134"/>
        <v>0.36569999999999997</v>
      </c>
      <c r="E206" s="8">
        <f t="shared" si="134"/>
        <v>0.30532500000000007</v>
      </c>
      <c r="F206" s="8">
        <f t="shared" si="134"/>
        <v>1.1399999999999999</v>
      </c>
      <c r="G206" s="8">
        <f t="shared" si="134"/>
        <v>2.3624999999999998</v>
      </c>
      <c r="H206" s="8">
        <f t="shared" si="134"/>
        <v>3.7694999999999999</v>
      </c>
      <c r="I206" s="8">
        <f t="shared" si="134"/>
        <v>0.4425</v>
      </c>
      <c r="J206" s="8">
        <f t="shared" si="134"/>
        <v>0.435</v>
      </c>
      <c r="K206" s="8">
        <f t="shared" si="134"/>
        <v>4.1565000000000003</v>
      </c>
      <c r="L206" s="8">
        <f t="shared" si="134"/>
        <v>1.0154999999999998</v>
      </c>
      <c r="M206" s="8">
        <f t="shared" si="134"/>
        <v>2.1345000000000001</v>
      </c>
      <c r="N206" s="8">
        <f t="shared" si="134"/>
        <v>1.2674999999999998</v>
      </c>
      <c r="O206" s="8">
        <f t="shared" si="134"/>
        <v>3.9934999999999996</v>
      </c>
      <c r="P206" s="8">
        <f t="shared" si="134"/>
        <v>2.2949999999999999</v>
      </c>
      <c r="Q206" s="8">
        <f t="shared" si="134"/>
        <v>1.32</v>
      </c>
      <c r="R206" s="8">
        <f t="shared" si="134"/>
        <v>1.0845</v>
      </c>
      <c r="S206" s="8">
        <f t="shared" si="134"/>
        <v>2.4449999999999998</v>
      </c>
      <c r="T206" s="8">
        <f t="shared" si="134"/>
        <v>1.3125</v>
      </c>
      <c r="U206" s="8">
        <f t="shared" si="134"/>
        <v>2.2949999999999999</v>
      </c>
      <c r="V206" s="8">
        <f t="shared" si="134"/>
        <v>1.6559999999999999</v>
      </c>
      <c r="W206" s="8">
        <f t="shared" si="134"/>
        <v>0.54449999999999998</v>
      </c>
      <c r="X206" s="8">
        <f t="shared" si="134"/>
        <v>1.2149999999999999</v>
      </c>
      <c r="Y206" s="8">
        <f t="shared" si="134"/>
        <v>1.6384050000000001</v>
      </c>
      <c r="Z206" s="8">
        <f t="shared" si="134"/>
        <v>3.1678499999999992</v>
      </c>
      <c r="AA206" s="8">
        <f t="shared" si="134"/>
        <v>3.5353499999999993</v>
      </c>
      <c r="AB206" s="8">
        <f t="shared" si="134"/>
        <v>0.33</v>
      </c>
      <c r="AC206" s="8">
        <f t="shared" si="134"/>
        <v>0.5655</v>
      </c>
      <c r="AD206" s="8">
        <f t="shared" si="134"/>
        <v>1.243125</v>
      </c>
      <c r="AE206" s="8">
        <f t="shared" si="134"/>
        <v>0.44505000000000006</v>
      </c>
      <c r="AF206" s="8">
        <f t="shared" si="134"/>
        <v>1.1595</v>
      </c>
      <c r="AG206" s="8">
        <f t="shared" si="134"/>
        <v>1.0049850000000002</v>
      </c>
      <c r="AH206" s="8">
        <f t="shared" si="134"/>
        <v>1.204</v>
      </c>
      <c r="AI206" s="8">
        <f t="shared" si="134"/>
        <v>1.2</v>
      </c>
      <c r="AJ206" s="8">
        <f t="shared" si="134"/>
        <v>2.1720000000000002</v>
      </c>
      <c r="AK206" s="8">
        <f t="shared" si="134"/>
        <v>1.1595</v>
      </c>
      <c r="AL206" s="8">
        <f t="shared" si="134"/>
        <v>1.0049850000000002</v>
      </c>
      <c r="AM206" s="8">
        <f t="shared" si="134"/>
        <v>1.5187499999999998</v>
      </c>
      <c r="AN206" s="8">
        <f t="shared" si="134"/>
        <v>1.56</v>
      </c>
      <c r="AO206" s="8">
        <f t="shared" si="134"/>
        <v>2.0291250000000001</v>
      </c>
      <c r="AP206" s="8">
        <f t="shared" si="134"/>
        <v>2.4097499999999998</v>
      </c>
      <c r="AQ206" s="8">
        <f t="shared" si="134"/>
        <v>1.5149999999999999</v>
      </c>
      <c r="AR206" s="8">
        <f t="shared" si="134"/>
        <v>1.5187499999999998</v>
      </c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</row>
    <row r="207" spans="1:73" s="1" customFormat="1" ht="15.75" thickBot="1"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</row>
    <row r="208" spans="1:73" s="1" customFormat="1" ht="19.5" thickBot="1">
      <c r="B208" s="203" t="s">
        <v>318</v>
      </c>
      <c r="C208" s="203"/>
      <c r="D208" s="203"/>
      <c r="E208" s="203"/>
      <c r="F208" s="50">
        <f>ROUNDUP(SUM(B213:BP213),0)</f>
        <v>644</v>
      </c>
      <c r="G208" s="55"/>
      <c r="I208" s="4"/>
      <c r="BQ208"/>
      <c r="BR208"/>
      <c r="BS208"/>
      <c r="BT208"/>
      <c r="BU208"/>
    </row>
    <row r="209" spans="1:73" s="1" customFormat="1">
      <c r="B209" s="1" t="str">
        <f t="shared" ref="B209:AR209" si="135">B202</f>
        <v>BM 1</v>
      </c>
      <c r="C209" s="1" t="str">
        <f t="shared" si="135"/>
        <v>BM 2</v>
      </c>
      <c r="D209" s="1" t="str">
        <f t="shared" si="135"/>
        <v>BM 3</v>
      </c>
      <c r="E209" s="1" t="str">
        <f t="shared" si="135"/>
        <v>BM 4</v>
      </c>
      <c r="F209" s="1" t="str">
        <f t="shared" si="135"/>
        <v>BM 5</v>
      </c>
      <c r="G209" s="1" t="str">
        <f t="shared" si="135"/>
        <v>BM 6</v>
      </c>
      <c r="H209" s="1" t="str">
        <f t="shared" si="135"/>
        <v>BM 7</v>
      </c>
      <c r="I209" s="1" t="str">
        <f t="shared" si="135"/>
        <v>BM 8</v>
      </c>
      <c r="J209" s="1" t="str">
        <f t="shared" si="135"/>
        <v>BM 9</v>
      </c>
      <c r="K209" s="1" t="str">
        <f t="shared" si="135"/>
        <v>BM 10</v>
      </c>
      <c r="L209" s="1" t="str">
        <f t="shared" si="135"/>
        <v>BM 11</v>
      </c>
      <c r="M209" s="1" t="str">
        <f t="shared" si="135"/>
        <v>BM 12</v>
      </c>
      <c r="N209" s="1" t="str">
        <f t="shared" si="135"/>
        <v>BM 13</v>
      </c>
      <c r="O209" s="1" t="str">
        <f t="shared" si="135"/>
        <v>BM 14</v>
      </c>
      <c r="P209" s="1" t="str">
        <f t="shared" si="135"/>
        <v>BM 15</v>
      </c>
      <c r="Q209" s="1" t="str">
        <f t="shared" si="135"/>
        <v>BM 16</v>
      </c>
      <c r="R209" s="1" t="str">
        <f t="shared" si="135"/>
        <v>BM 17</v>
      </c>
      <c r="S209" s="1" t="str">
        <f t="shared" si="135"/>
        <v>BM 18</v>
      </c>
      <c r="T209" s="1" t="str">
        <f t="shared" si="135"/>
        <v>BM 19</v>
      </c>
      <c r="U209" s="1" t="str">
        <f t="shared" si="135"/>
        <v>BM 20</v>
      </c>
      <c r="V209" s="1" t="str">
        <f t="shared" si="135"/>
        <v>BM 21</v>
      </c>
      <c r="W209" s="1" t="str">
        <f t="shared" si="135"/>
        <v>BM 22</v>
      </c>
      <c r="X209" s="1" t="str">
        <f t="shared" si="135"/>
        <v>BM 23</v>
      </c>
      <c r="Y209" s="1" t="str">
        <f t="shared" si="135"/>
        <v>BM 24</v>
      </c>
      <c r="Z209" s="1" t="str">
        <f t="shared" si="135"/>
        <v>BM 25</v>
      </c>
      <c r="AA209" s="1" t="str">
        <f t="shared" si="135"/>
        <v>BM 26</v>
      </c>
      <c r="AB209" s="1" t="str">
        <f t="shared" si="135"/>
        <v>BM 27</v>
      </c>
      <c r="AC209" s="1" t="str">
        <f t="shared" si="135"/>
        <v>BM 28</v>
      </c>
      <c r="AD209" s="1" t="str">
        <f t="shared" si="135"/>
        <v>BM 29</v>
      </c>
      <c r="AE209" s="1" t="str">
        <f t="shared" si="135"/>
        <v>BM 30</v>
      </c>
      <c r="AF209" s="1" t="str">
        <f t="shared" si="135"/>
        <v>BM 31</v>
      </c>
      <c r="AG209" s="1" t="str">
        <f t="shared" si="135"/>
        <v>BM 32</v>
      </c>
      <c r="AH209" s="1" t="str">
        <f t="shared" si="135"/>
        <v>BM 33</v>
      </c>
      <c r="AI209" s="1" t="str">
        <f t="shared" si="135"/>
        <v>BM 34</v>
      </c>
      <c r="AJ209" s="1" t="str">
        <f t="shared" si="135"/>
        <v>BM 35</v>
      </c>
      <c r="AK209" s="1" t="str">
        <f t="shared" si="135"/>
        <v>BM 36</v>
      </c>
      <c r="AL209" s="1" t="str">
        <f t="shared" si="135"/>
        <v>BM 37</v>
      </c>
      <c r="AM209" s="1" t="str">
        <f t="shared" si="135"/>
        <v>BM 38</v>
      </c>
      <c r="AN209" s="1" t="str">
        <f t="shared" si="135"/>
        <v>BM 39</v>
      </c>
      <c r="AO209" s="1" t="str">
        <f t="shared" si="135"/>
        <v>BM 40</v>
      </c>
      <c r="AP209" s="1" t="str">
        <f t="shared" si="135"/>
        <v>BM 41</v>
      </c>
      <c r="AQ209" s="1" t="str">
        <f t="shared" si="135"/>
        <v>BM 42</v>
      </c>
      <c r="AR209" s="1" t="str">
        <f t="shared" si="135"/>
        <v>BM 43</v>
      </c>
      <c r="BS209"/>
      <c r="BT209"/>
      <c r="BU209"/>
    </row>
    <row r="210" spans="1:73" s="44" customFormat="1" ht="12.75">
      <c r="A210" s="44" t="str">
        <f>A203</f>
        <v>length</v>
      </c>
      <c r="B210" s="1">
        <f t="shared" ref="B210:AR210" si="136">B203</f>
        <v>9</v>
      </c>
      <c r="C210" s="1">
        <f t="shared" si="136"/>
        <v>25.13</v>
      </c>
      <c r="D210" s="1">
        <f t="shared" si="136"/>
        <v>2.65</v>
      </c>
      <c r="E210" s="1">
        <f t="shared" si="136"/>
        <v>2.95</v>
      </c>
      <c r="F210" s="1">
        <f t="shared" si="136"/>
        <v>7.6</v>
      </c>
      <c r="G210" s="1">
        <f t="shared" si="136"/>
        <v>9</v>
      </c>
      <c r="H210" s="1">
        <f t="shared" si="136"/>
        <v>25.13</v>
      </c>
      <c r="I210" s="1">
        <f t="shared" si="136"/>
        <v>2.95</v>
      </c>
      <c r="J210" s="1">
        <f t="shared" si="136"/>
        <v>2.9</v>
      </c>
      <c r="K210" s="1">
        <f t="shared" si="136"/>
        <v>16.3</v>
      </c>
      <c r="L210" s="1">
        <f t="shared" si="136"/>
        <v>6.77</v>
      </c>
      <c r="M210" s="1">
        <f t="shared" si="136"/>
        <v>14.23</v>
      </c>
      <c r="N210" s="1">
        <f t="shared" si="136"/>
        <v>8.4499999999999993</v>
      </c>
      <c r="O210" s="1">
        <f t="shared" si="136"/>
        <v>16.3</v>
      </c>
      <c r="P210" s="1">
        <f t="shared" si="136"/>
        <v>15.3</v>
      </c>
      <c r="Q210" s="1">
        <f t="shared" si="136"/>
        <v>8.8000000000000007</v>
      </c>
      <c r="R210" s="1">
        <f t="shared" si="136"/>
        <v>7.23</v>
      </c>
      <c r="S210" s="1">
        <f t="shared" si="136"/>
        <v>16.3</v>
      </c>
      <c r="T210" s="1">
        <f t="shared" si="136"/>
        <v>8.75</v>
      </c>
      <c r="U210" s="1">
        <f t="shared" si="136"/>
        <v>15.3</v>
      </c>
      <c r="V210" s="1">
        <f t="shared" si="136"/>
        <v>11.04</v>
      </c>
      <c r="W210" s="1">
        <f t="shared" si="136"/>
        <v>3.63</v>
      </c>
      <c r="X210" s="1">
        <f t="shared" si="136"/>
        <v>8.1</v>
      </c>
      <c r="Y210" s="1">
        <f t="shared" si="136"/>
        <v>15.83</v>
      </c>
      <c r="Z210" s="1">
        <f t="shared" si="136"/>
        <v>12.93</v>
      </c>
      <c r="AA210" s="1">
        <f t="shared" si="136"/>
        <v>14.43</v>
      </c>
      <c r="AB210" s="1">
        <f t="shared" si="136"/>
        <v>2.2000000000000002</v>
      </c>
      <c r="AC210" s="1">
        <f t="shared" si="136"/>
        <v>3.77</v>
      </c>
      <c r="AD210" s="1">
        <f t="shared" si="136"/>
        <v>6.63</v>
      </c>
      <c r="AE210" s="1">
        <f t="shared" si="136"/>
        <v>4.3</v>
      </c>
      <c r="AF210" s="1">
        <f t="shared" si="136"/>
        <v>7.73</v>
      </c>
      <c r="AG210" s="1">
        <f t="shared" si="136"/>
        <v>9.7100000000000009</v>
      </c>
      <c r="AH210" s="1">
        <f t="shared" si="136"/>
        <v>4.3</v>
      </c>
      <c r="AI210" s="1">
        <f t="shared" si="136"/>
        <v>8</v>
      </c>
      <c r="AJ210" s="1">
        <f t="shared" si="136"/>
        <v>14.48</v>
      </c>
      <c r="AK210" s="1">
        <f t="shared" si="136"/>
        <v>7.73</v>
      </c>
      <c r="AL210" s="1">
        <f t="shared" si="136"/>
        <v>9.7100000000000009</v>
      </c>
      <c r="AM210" s="1">
        <f t="shared" si="136"/>
        <v>8.1</v>
      </c>
      <c r="AN210" s="1">
        <f t="shared" si="136"/>
        <v>10.4</v>
      </c>
      <c r="AO210" s="1">
        <f t="shared" si="136"/>
        <v>7.73</v>
      </c>
      <c r="AP210" s="1">
        <f t="shared" si="136"/>
        <v>8.1</v>
      </c>
      <c r="AQ210" s="1">
        <f t="shared" si="136"/>
        <v>10.1</v>
      </c>
      <c r="AR210" s="1">
        <f t="shared" si="136"/>
        <v>8.1</v>
      </c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3" s="1" customFormat="1">
      <c r="A211" s="44" t="str">
        <f>A204</f>
        <v>depth</v>
      </c>
      <c r="B211" s="1">
        <f t="shared" ref="B211:AR211" si="137">B204</f>
        <v>0.75</v>
      </c>
      <c r="C211" s="1">
        <f t="shared" si="137"/>
        <v>0.7</v>
      </c>
      <c r="D211" s="1">
        <f t="shared" si="137"/>
        <v>0.6</v>
      </c>
      <c r="E211" s="1">
        <f t="shared" si="137"/>
        <v>0.45</v>
      </c>
      <c r="F211" s="1">
        <f t="shared" si="137"/>
        <v>0.6</v>
      </c>
      <c r="G211" s="1">
        <f t="shared" si="137"/>
        <v>0.75</v>
      </c>
      <c r="H211" s="1">
        <f t="shared" si="137"/>
        <v>0.6</v>
      </c>
      <c r="I211" s="1">
        <f t="shared" si="137"/>
        <v>0.6</v>
      </c>
      <c r="J211" s="1">
        <f t="shared" si="137"/>
        <v>0.6</v>
      </c>
      <c r="K211" s="1">
        <f t="shared" si="137"/>
        <v>0.85</v>
      </c>
      <c r="L211" s="1">
        <f t="shared" si="137"/>
        <v>0.6</v>
      </c>
      <c r="M211" s="1">
        <f t="shared" si="137"/>
        <v>0.6</v>
      </c>
      <c r="N211" s="1">
        <f t="shared" si="137"/>
        <v>0.6</v>
      </c>
      <c r="O211" s="1">
        <f t="shared" si="137"/>
        <v>0.7</v>
      </c>
      <c r="P211" s="1">
        <f t="shared" si="137"/>
        <v>0.6</v>
      </c>
      <c r="Q211" s="1">
        <f t="shared" si="137"/>
        <v>0.6</v>
      </c>
      <c r="R211" s="1">
        <f t="shared" si="137"/>
        <v>0.6</v>
      </c>
      <c r="S211" s="1">
        <f t="shared" si="137"/>
        <v>0.6</v>
      </c>
      <c r="T211" s="1">
        <f t="shared" si="137"/>
        <v>0.6</v>
      </c>
      <c r="U211" s="1">
        <f t="shared" si="137"/>
        <v>0.6</v>
      </c>
      <c r="V211" s="1">
        <f t="shared" si="137"/>
        <v>0.6</v>
      </c>
      <c r="W211" s="1">
        <f t="shared" si="137"/>
        <v>0.6</v>
      </c>
      <c r="X211" s="1">
        <f t="shared" si="137"/>
        <v>0.6</v>
      </c>
      <c r="Y211" s="1">
        <f t="shared" si="137"/>
        <v>0.45</v>
      </c>
      <c r="Z211" s="1">
        <f t="shared" si="137"/>
        <v>0.7</v>
      </c>
      <c r="AA211" s="1">
        <f t="shared" si="137"/>
        <v>0.7</v>
      </c>
      <c r="AB211" s="1">
        <f t="shared" si="137"/>
        <v>0.6</v>
      </c>
      <c r="AC211" s="1">
        <f t="shared" si="137"/>
        <v>0.6</v>
      </c>
      <c r="AD211" s="1">
        <f t="shared" si="137"/>
        <v>0.75</v>
      </c>
      <c r="AE211" s="1">
        <f t="shared" si="137"/>
        <v>0.45</v>
      </c>
      <c r="AF211" s="1">
        <f t="shared" si="137"/>
        <v>0.6</v>
      </c>
      <c r="AG211" s="1">
        <f t="shared" si="137"/>
        <v>0.45</v>
      </c>
      <c r="AH211" s="1">
        <f t="shared" si="137"/>
        <v>0.8</v>
      </c>
      <c r="AI211" s="1">
        <f t="shared" si="137"/>
        <v>0.6</v>
      </c>
      <c r="AJ211" s="1">
        <f t="shared" si="137"/>
        <v>0.6</v>
      </c>
      <c r="AK211" s="1">
        <f t="shared" si="137"/>
        <v>0.6</v>
      </c>
      <c r="AL211" s="1">
        <f t="shared" si="137"/>
        <v>0.45</v>
      </c>
      <c r="AM211" s="1">
        <f t="shared" si="137"/>
        <v>0.75</v>
      </c>
      <c r="AN211" s="1">
        <f t="shared" si="137"/>
        <v>0.6</v>
      </c>
      <c r="AO211" s="1">
        <f t="shared" si="137"/>
        <v>0.75</v>
      </c>
      <c r="AP211" s="1">
        <f t="shared" si="137"/>
        <v>0.85</v>
      </c>
      <c r="AQ211" s="1">
        <f t="shared" si="137"/>
        <v>0.6</v>
      </c>
      <c r="AR211" s="1">
        <f t="shared" si="137"/>
        <v>0.75</v>
      </c>
      <c r="BS211"/>
      <c r="BT211"/>
      <c r="BU211"/>
    </row>
    <row r="212" spans="1:73" s="1" customFormat="1">
      <c r="A212" s="44" t="str">
        <f>A205</f>
        <v>width</v>
      </c>
      <c r="B212" s="1">
        <f t="shared" ref="B212:AR212" si="138">B205</f>
        <v>0.35</v>
      </c>
      <c r="C212" s="1">
        <f t="shared" si="138"/>
        <v>0.25</v>
      </c>
      <c r="D212" s="1">
        <f t="shared" si="138"/>
        <v>0.23</v>
      </c>
      <c r="E212" s="1">
        <f t="shared" si="138"/>
        <v>0.23</v>
      </c>
      <c r="F212" s="1">
        <f t="shared" si="138"/>
        <v>0.25</v>
      </c>
      <c r="G212" s="1">
        <f t="shared" si="138"/>
        <v>0.35</v>
      </c>
      <c r="H212" s="1">
        <f t="shared" si="138"/>
        <v>0.25</v>
      </c>
      <c r="I212" s="1">
        <f t="shared" si="138"/>
        <v>0.25</v>
      </c>
      <c r="J212" s="1">
        <f t="shared" si="138"/>
        <v>0.25</v>
      </c>
      <c r="K212" s="1">
        <f t="shared" si="138"/>
        <v>0.3</v>
      </c>
      <c r="L212" s="1">
        <f t="shared" si="138"/>
        <v>0.25</v>
      </c>
      <c r="M212" s="1">
        <f t="shared" si="138"/>
        <v>0.25</v>
      </c>
      <c r="N212" s="1">
        <f t="shared" si="138"/>
        <v>0.25</v>
      </c>
      <c r="O212" s="1">
        <f t="shared" si="138"/>
        <v>0.35</v>
      </c>
      <c r="P212" s="1">
        <f t="shared" si="138"/>
        <v>0.25</v>
      </c>
      <c r="Q212" s="1">
        <f t="shared" si="138"/>
        <v>0.25</v>
      </c>
      <c r="R212" s="1">
        <f t="shared" si="138"/>
        <v>0.25</v>
      </c>
      <c r="S212" s="1">
        <f t="shared" si="138"/>
        <v>0.25</v>
      </c>
      <c r="T212" s="1">
        <f t="shared" si="138"/>
        <v>0.25</v>
      </c>
      <c r="U212" s="1">
        <f t="shared" si="138"/>
        <v>0.25</v>
      </c>
      <c r="V212" s="1">
        <f t="shared" si="138"/>
        <v>0.25</v>
      </c>
      <c r="W212" s="1">
        <f t="shared" si="138"/>
        <v>0.25</v>
      </c>
      <c r="X212" s="1">
        <f t="shared" si="138"/>
        <v>0.25</v>
      </c>
      <c r="Y212" s="1">
        <f t="shared" si="138"/>
        <v>0.23</v>
      </c>
      <c r="Z212" s="1">
        <f t="shared" si="138"/>
        <v>0.35</v>
      </c>
      <c r="AA212" s="1">
        <f t="shared" si="138"/>
        <v>0.35</v>
      </c>
      <c r="AB212" s="1">
        <f t="shared" si="138"/>
        <v>0.25</v>
      </c>
      <c r="AC212" s="1">
        <f t="shared" si="138"/>
        <v>0.25</v>
      </c>
      <c r="AD212" s="1">
        <f t="shared" si="138"/>
        <v>0.25</v>
      </c>
      <c r="AE212" s="1">
        <f t="shared" si="138"/>
        <v>0.23</v>
      </c>
      <c r="AF212" s="1">
        <f t="shared" si="138"/>
        <v>0.25</v>
      </c>
      <c r="AG212" s="1">
        <f t="shared" si="138"/>
        <v>0.23</v>
      </c>
      <c r="AH212" s="1">
        <f t="shared" si="138"/>
        <v>0.35</v>
      </c>
      <c r="AI212" s="1">
        <f t="shared" si="138"/>
        <v>0.25</v>
      </c>
      <c r="AJ212" s="1">
        <f t="shared" si="138"/>
        <v>0.25</v>
      </c>
      <c r="AK212" s="1">
        <f t="shared" si="138"/>
        <v>0.25</v>
      </c>
      <c r="AL212" s="1">
        <f t="shared" si="138"/>
        <v>0.23</v>
      </c>
      <c r="AM212" s="1">
        <f t="shared" si="138"/>
        <v>0.25</v>
      </c>
      <c r="AN212" s="1">
        <f t="shared" si="138"/>
        <v>0.25</v>
      </c>
      <c r="AO212" s="1">
        <f t="shared" si="138"/>
        <v>0.35</v>
      </c>
      <c r="AP212" s="1">
        <f t="shared" si="138"/>
        <v>0.35</v>
      </c>
      <c r="AQ212" s="1">
        <f t="shared" si="138"/>
        <v>0.25</v>
      </c>
      <c r="AR212" s="1">
        <f t="shared" si="138"/>
        <v>0.25</v>
      </c>
      <c r="BS212"/>
      <c r="BT212"/>
      <c r="BU212"/>
    </row>
    <row r="213" spans="1:73" s="1" customFormat="1">
      <c r="B213" s="8">
        <f t="shared" ref="B213:AR213" si="139">(B210*B211*2)+(B210*B212)</f>
        <v>16.649999999999999</v>
      </c>
      <c r="C213" s="8">
        <f t="shared" si="139"/>
        <v>41.464499999999994</v>
      </c>
      <c r="D213" s="8">
        <f t="shared" si="139"/>
        <v>3.7894999999999999</v>
      </c>
      <c r="E213" s="8">
        <f t="shared" si="139"/>
        <v>3.3335000000000004</v>
      </c>
      <c r="F213" s="8">
        <f t="shared" si="139"/>
        <v>11.02</v>
      </c>
      <c r="G213" s="8">
        <f t="shared" si="139"/>
        <v>16.649999999999999</v>
      </c>
      <c r="H213" s="8">
        <f t="shared" si="139"/>
        <v>36.438499999999998</v>
      </c>
      <c r="I213" s="8">
        <f t="shared" si="139"/>
        <v>4.2774999999999999</v>
      </c>
      <c r="J213" s="8">
        <f t="shared" si="139"/>
        <v>4.2050000000000001</v>
      </c>
      <c r="K213" s="8">
        <f t="shared" si="139"/>
        <v>32.6</v>
      </c>
      <c r="L213" s="8">
        <f t="shared" si="139"/>
        <v>9.8164999999999978</v>
      </c>
      <c r="M213" s="8">
        <f t="shared" si="139"/>
        <v>20.633500000000002</v>
      </c>
      <c r="N213" s="8">
        <f t="shared" si="139"/>
        <v>12.252499999999998</v>
      </c>
      <c r="O213" s="8">
        <f t="shared" si="139"/>
        <v>28.524999999999999</v>
      </c>
      <c r="P213" s="8">
        <f t="shared" si="139"/>
        <v>22.184999999999999</v>
      </c>
      <c r="Q213" s="8">
        <f t="shared" si="139"/>
        <v>12.760000000000002</v>
      </c>
      <c r="R213" s="8">
        <f t="shared" si="139"/>
        <v>10.483499999999999</v>
      </c>
      <c r="S213" s="8">
        <f t="shared" si="139"/>
        <v>23.634999999999998</v>
      </c>
      <c r="T213" s="8">
        <f t="shared" si="139"/>
        <v>12.6875</v>
      </c>
      <c r="U213" s="8">
        <f t="shared" si="139"/>
        <v>22.184999999999999</v>
      </c>
      <c r="V213" s="8">
        <f t="shared" si="139"/>
        <v>16.007999999999999</v>
      </c>
      <c r="W213" s="8">
        <f t="shared" si="139"/>
        <v>5.2634999999999996</v>
      </c>
      <c r="X213" s="8">
        <f t="shared" si="139"/>
        <v>11.744999999999999</v>
      </c>
      <c r="Y213" s="8">
        <f t="shared" si="139"/>
        <v>17.887900000000002</v>
      </c>
      <c r="Z213" s="8">
        <f t="shared" si="139"/>
        <v>22.627499999999998</v>
      </c>
      <c r="AA213" s="8">
        <f t="shared" si="139"/>
        <v>25.252499999999998</v>
      </c>
      <c r="AB213" s="8">
        <f t="shared" si="139"/>
        <v>3.1900000000000004</v>
      </c>
      <c r="AC213" s="8">
        <f t="shared" si="139"/>
        <v>5.4664999999999999</v>
      </c>
      <c r="AD213" s="8">
        <f t="shared" si="139"/>
        <v>11.602500000000001</v>
      </c>
      <c r="AE213" s="8">
        <f t="shared" si="139"/>
        <v>4.859</v>
      </c>
      <c r="AF213" s="8">
        <f t="shared" si="139"/>
        <v>11.208500000000001</v>
      </c>
      <c r="AG213" s="8">
        <f t="shared" si="139"/>
        <v>10.972300000000001</v>
      </c>
      <c r="AH213" s="8">
        <f t="shared" si="139"/>
        <v>8.3849999999999998</v>
      </c>
      <c r="AI213" s="8">
        <f t="shared" si="139"/>
        <v>11.6</v>
      </c>
      <c r="AJ213" s="8">
        <f t="shared" si="139"/>
        <v>20.996000000000002</v>
      </c>
      <c r="AK213" s="8">
        <f t="shared" si="139"/>
        <v>11.208500000000001</v>
      </c>
      <c r="AL213" s="8">
        <f t="shared" si="139"/>
        <v>10.972300000000001</v>
      </c>
      <c r="AM213" s="8">
        <f t="shared" si="139"/>
        <v>14.174999999999999</v>
      </c>
      <c r="AN213" s="8">
        <f t="shared" si="139"/>
        <v>15.08</v>
      </c>
      <c r="AO213" s="8">
        <f t="shared" si="139"/>
        <v>14.3005</v>
      </c>
      <c r="AP213" s="8">
        <f t="shared" si="139"/>
        <v>16.605</v>
      </c>
      <c r="AQ213" s="8">
        <f t="shared" si="139"/>
        <v>14.645</v>
      </c>
      <c r="AR213" s="8">
        <f t="shared" si="139"/>
        <v>14.174999999999999</v>
      </c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/>
      <c r="BT213"/>
      <c r="BU213"/>
    </row>
    <row r="214" spans="1:73" s="1" customFormat="1" ht="15.75" thickBot="1"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 s="4"/>
      <c r="BR214"/>
      <c r="BS214"/>
      <c r="BT214"/>
      <c r="BU214"/>
    </row>
    <row r="215" spans="1:73" s="1" customFormat="1" ht="19.5" thickBot="1">
      <c r="B215" s="203" t="s">
        <v>319</v>
      </c>
      <c r="C215" s="203"/>
      <c r="D215" s="203"/>
      <c r="E215" s="203"/>
      <c r="F215" s="50">
        <f>ROUNDUP(SUM(B221:BP221),0)</f>
        <v>10731</v>
      </c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 s="4"/>
      <c r="BR215"/>
      <c r="BS215"/>
      <c r="BT215"/>
      <c r="BU215"/>
    </row>
    <row r="216" spans="1:73" s="1" customFormat="1">
      <c r="C216" s="1" t="s">
        <v>105</v>
      </c>
      <c r="D216" s="1">
        <f>G216*F201</f>
        <v>5694</v>
      </c>
      <c r="G216" s="1">
        <v>78</v>
      </c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 s="4"/>
      <c r="BR216"/>
      <c r="BS216"/>
      <c r="BT216"/>
      <c r="BU216"/>
    </row>
    <row r="217" spans="1:73" s="1" customFormat="1">
      <c r="C217" s="1" t="s">
        <v>70</v>
      </c>
      <c r="D217" s="1">
        <f>F201*G217</f>
        <v>1241</v>
      </c>
      <c r="G217" s="1">
        <v>17</v>
      </c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 s="4"/>
      <c r="BR217"/>
      <c r="BS217"/>
      <c r="BT217"/>
      <c r="BU217"/>
    </row>
    <row r="218" spans="1:73" s="1" customFormat="1">
      <c r="C218" s="1" t="s">
        <v>71</v>
      </c>
      <c r="D218" s="1">
        <f>G218*F201</f>
        <v>2190</v>
      </c>
      <c r="G218" s="1">
        <v>30</v>
      </c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 s="4"/>
      <c r="BR218"/>
      <c r="BS218"/>
      <c r="BT218"/>
      <c r="BU218"/>
    </row>
    <row r="219" spans="1:73" s="1" customFormat="1">
      <c r="C219" s="1" t="s">
        <v>68</v>
      </c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 s="4"/>
      <c r="BR219"/>
      <c r="BS219"/>
      <c r="BT219"/>
      <c r="BU219"/>
    </row>
    <row r="220" spans="1:73" s="1" customFormat="1">
      <c r="C220" s="1" t="s">
        <v>108</v>
      </c>
      <c r="D220" s="1">
        <f>G220*F201</f>
        <v>1606</v>
      </c>
      <c r="G220" s="1">
        <v>22</v>
      </c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 s="4"/>
      <c r="BR220"/>
      <c r="BS220"/>
      <c r="BT220"/>
      <c r="BU220"/>
    </row>
    <row r="221" spans="1:73" s="1" customFormat="1">
      <c r="D221" s="100">
        <f>SUM(D216:D220)</f>
        <v>10731</v>
      </c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 s="4"/>
      <c r="BR221"/>
      <c r="BS221"/>
      <c r="BT221"/>
      <c r="BU221"/>
    </row>
    <row r="222" spans="1:73" s="1" customFormat="1"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 s="4"/>
      <c r="BR222"/>
      <c r="BS222"/>
      <c r="BT222"/>
      <c r="BU222"/>
    </row>
    <row r="223" spans="1:73" s="1" customFormat="1" ht="15.75" thickBot="1"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 s="4"/>
      <c r="BR223"/>
      <c r="BS223"/>
      <c r="BT223"/>
      <c r="BU223"/>
    </row>
    <row r="224" spans="1:73" s="1" customFormat="1" ht="19.5" thickBot="1">
      <c r="B224" s="203" t="s">
        <v>320</v>
      </c>
      <c r="C224" s="203"/>
      <c r="D224" s="203"/>
      <c r="E224" s="203"/>
      <c r="F224" s="50">
        <f>ROUNDUP(SUM(B229:BP229),0)</f>
        <v>120</v>
      </c>
      <c r="I224" s="4"/>
      <c r="BQ224"/>
      <c r="BR224"/>
      <c r="BS224"/>
      <c r="BT224"/>
      <c r="BU224"/>
    </row>
    <row r="225" spans="1:73" s="1" customFormat="1" ht="12.75">
      <c r="A225" s="44"/>
      <c r="B225" s="1" t="s">
        <v>127</v>
      </c>
      <c r="C225" s="1" t="s">
        <v>128</v>
      </c>
      <c r="D225" s="1" t="s">
        <v>129</v>
      </c>
      <c r="E225" s="1" t="s">
        <v>130</v>
      </c>
      <c r="F225" s="1" t="s">
        <v>131</v>
      </c>
      <c r="G225" s="1" t="s">
        <v>132</v>
      </c>
      <c r="H225" s="1" t="s">
        <v>133</v>
      </c>
      <c r="I225" s="1" t="s">
        <v>134</v>
      </c>
      <c r="J225" s="1" t="s">
        <v>135</v>
      </c>
      <c r="K225" s="1" t="s">
        <v>136</v>
      </c>
      <c r="L225" s="1" t="s">
        <v>137</v>
      </c>
      <c r="M225" s="1" t="s">
        <v>138</v>
      </c>
      <c r="N225" s="1" t="s">
        <v>139</v>
      </c>
      <c r="O225" s="1" t="s">
        <v>140</v>
      </c>
      <c r="P225" s="1" t="s">
        <v>141</v>
      </c>
      <c r="Q225" s="1" t="s">
        <v>142</v>
      </c>
      <c r="R225" s="1" t="s">
        <v>143</v>
      </c>
      <c r="S225" s="1" t="s">
        <v>144</v>
      </c>
      <c r="T225" s="1" t="s">
        <v>145</v>
      </c>
      <c r="U225" s="1" t="s">
        <v>146</v>
      </c>
      <c r="V225" s="1" t="s">
        <v>147</v>
      </c>
      <c r="W225" s="1" t="s">
        <v>148</v>
      </c>
      <c r="X225" s="1" t="s">
        <v>149</v>
      </c>
      <c r="Y225" s="1" t="s">
        <v>150</v>
      </c>
      <c r="Z225" s="1" t="s">
        <v>151</v>
      </c>
      <c r="AA225" s="1" t="s">
        <v>152</v>
      </c>
      <c r="AB225" s="1" t="s">
        <v>153</v>
      </c>
      <c r="AC225" s="1" t="s">
        <v>154</v>
      </c>
      <c r="AD225" s="1" t="s">
        <v>155</v>
      </c>
      <c r="AE225" s="1" t="s">
        <v>156</v>
      </c>
      <c r="AF225" s="1" t="s">
        <v>157</v>
      </c>
      <c r="AG225" s="1" t="s">
        <v>158</v>
      </c>
      <c r="AH225" s="1" t="s">
        <v>159</v>
      </c>
      <c r="AI225" s="1" t="s">
        <v>160</v>
      </c>
      <c r="AJ225" s="1" t="s">
        <v>161</v>
      </c>
      <c r="AK225" s="1" t="s">
        <v>162</v>
      </c>
      <c r="AL225" s="1" t="s">
        <v>163</v>
      </c>
      <c r="AM225" s="1" t="s">
        <v>277</v>
      </c>
      <c r="AN225" s="1" t="s">
        <v>278</v>
      </c>
      <c r="AO225" s="1" t="s">
        <v>279</v>
      </c>
      <c r="AP225" s="1" t="s">
        <v>280</v>
      </c>
    </row>
    <row r="226" spans="1:73" s="44" customFormat="1" ht="12.75">
      <c r="A226" s="44" t="s">
        <v>37</v>
      </c>
      <c r="B226" s="51">
        <v>24.75</v>
      </c>
      <c r="C226" s="51">
        <v>18.600000000000001</v>
      </c>
      <c r="D226" s="52">
        <v>2.95</v>
      </c>
      <c r="E226" s="52">
        <v>26.26</v>
      </c>
      <c r="F226" s="52">
        <v>3.55</v>
      </c>
      <c r="G226" s="52">
        <v>18.600000000000001</v>
      </c>
      <c r="H226" s="52">
        <v>3.2</v>
      </c>
      <c r="I226" s="52">
        <v>8.8000000000000007</v>
      </c>
      <c r="J226" s="52">
        <v>40.200000000000003</v>
      </c>
      <c r="K226" s="52">
        <v>11.42</v>
      </c>
      <c r="L226" s="52">
        <v>12.79</v>
      </c>
      <c r="M226" s="52">
        <v>8.1</v>
      </c>
      <c r="N226" s="52">
        <v>4.25</v>
      </c>
      <c r="O226" s="52">
        <v>4.3</v>
      </c>
      <c r="P226" s="51">
        <v>8.0299999999999994</v>
      </c>
      <c r="Q226" s="51">
        <v>4.2300000000000004</v>
      </c>
      <c r="R226" s="51">
        <v>7.9</v>
      </c>
      <c r="S226" s="51">
        <f>1.25*2</f>
        <v>2.5</v>
      </c>
      <c r="T226" s="51">
        <v>4.2300000000000004</v>
      </c>
      <c r="U226" s="51">
        <v>11.9</v>
      </c>
      <c r="V226" s="51">
        <v>4.2300000000000004</v>
      </c>
      <c r="W226" s="51">
        <v>5.18</v>
      </c>
      <c r="X226" s="51">
        <v>15.83</v>
      </c>
      <c r="Y226" s="51">
        <v>4.3</v>
      </c>
      <c r="Z226" s="51">
        <v>2.2000000000000002</v>
      </c>
      <c r="AA226" s="51">
        <f>2*2.67</f>
        <v>5.34</v>
      </c>
      <c r="AB226" s="51">
        <v>4.2300000000000004</v>
      </c>
      <c r="AC226" s="51">
        <v>15.83</v>
      </c>
      <c r="AD226" s="51">
        <v>0.95</v>
      </c>
      <c r="AE226" s="51">
        <v>4.2300000000000004</v>
      </c>
      <c r="AF226" s="51">
        <v>1.71</v>
      </c>
      <c r="AG226" s="51">
        <f>2*9.71</f>
        <v>19.420000000000002</v>
      </c>
      <c r="AH226" s="51">
        <v>2.0099999999999998</v>
      </c>
      <c r="AI226" s="51">
        <f>2*6.1</f>
        <v>12.2</v>
      </c>
      <c r="AJ226" s="51">
        <v>2.37</v>
      </c>
      <c r="AK226" s="51">
        <v>10.029999999999999</v>
      </c>
      <c r="AL226" s="51">
        <v>12.93</v>
      </c>
      <c r="AM226" s="51">
        <v>5.27</v>
      </c>
      <c r="AN226" s="51">
        <v>9.15</v>
      </c>
      <c r="AO226" s="51">
        <v>7.63</v>
      </c>
      <c r="AP226" s="51">
        <v>15.83</v>
      </c>
      <c r="AQ226" s="51"/>
      <c r="AR226" s="51"/>
      <c r="AS226" s="51"/>
      <c r="AT226" s="51"/>
      <c r="AU226" s="51"/>
      <c r="AV226" s="51"/>
      <c r="AW226" s="51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</row>
    <row r="227" spans="1:73" s="1" customFormat="1" ht="12.75">
      <c r="A227" s="44" t="s">
        <v>165</v>
      </c>
      <c r="B227" s="1">
        <v>0.95</v>
      </c>
      <c r="C227" s="1">
        <f>B227</f>
        <v>0.95</v>
      </c>
      <c r="D227" s="1">
        <v>0.45</v>
      </c>
      <c r="E227" s="1">
        <v>0.95</v>
      </c>
      <c r="F227" s="1">
        <v>0.7</v>
      </c>
      <c r="G227" s="1">
        <f>F227</f>
        <v>0.7</v>
      </c>
      <c r="H227" s="1">
        <f t="shared" ref="H227" si="140">G227</f>
        <v>0.7</v>
      </c>
      <c r="I227" s="1">
        <v>0.6</v>
      </c>
      <c r="J227" s="1">
        <v>0.95</v>
      </c>
      <c r="K227" s="1">
        <v>0.6</v>
      </c>
      <c r="L227" s="1">
        <v>0.6</v>
      </c>
      <c r="M227" s="1">
        <v>0.5</v>
      </c>
      <c r="N227" s="1">
        <v>0.6</v>
      </c>
      <c r="O227" s="1">
        <v>0.7</v>
      </c>
      <c r="P227" s="1">
        <v>0.7</v>
      </c>
      <c r="Q227" s="1">
        <f t="shared" ref="Q227:U227" si="141">P227</f>
        <v>0.7</v>
      </c>
      <c r="R227" s="1">
        <v>0.95</v>
      </c>
      <c r="S227" s="1">
        <v>0.6</v>
      </c>
      <c r="T227" s="1">
        <v>0.7</v>
      </c>
      <c r="U227" s="1">
        <f t="shared" si="141"/>
        <v>0.7</v>
      </c>
      <c r="V227" s="1">
        <v>0.6</v>
      </c>
      <c r="W227" s="1">
        <v>0.55000000000000004</v>
      </c>
      <c r="X227" s="1">
        <v>0.95</v>
      </c>
      <c r="Y227" s="1">
        <v>0.7</v>
      </c>
      <c r="Z227" s="1">
        <v>0.6</v>
      </c>
      <c r="AA227" s="1">
        <f t="shared" ref="AA227" si="142">Z227</f>
        <v>0.6</v>
      </c>
      <c r="AB227" s="1">
        <v>0.7</v>
      </c>
      <c r="AC227" s="1">
        <v>0.8</v>
      </c>
      <c r="AD227" s="1">
        <v>0.6</v>
      </c>
      <c r="AE227" s="1">
        <v>0.7</v>
      </c>
      <c r="AF227" s="1">
        <v>0.45</v>
      </c>
      <c r="AG227" s="1">
        <v>0.45</v>
      </c>
      <c r="AH227" s="1">
        <f>AG227</f>
        <v>0.45</v>
      </c>
      <c r="AI227" s="1">
        <v>0.95</v>
      </c>
      <c r="AJ227" s="1">
        <v>0.6</v>
      </c>
      <c r="AK227" s="1">
        <v>0.85</v>
      </c>
      <c r="AL227" s="1">
        <v>0.95</v>
      </c>
      <c r="AM227" s="1">
        <v>0.6</v>
      </c>
      <c r="AN227" s="1">
        <v>0.95</v>
      </c>
      <c r="AO227" s="1">
        <v>1</v>
      </c>
      <c r="AP227" s="1">
        <v>0.95</v>
      </c>
    </row>
    <row r="228" spans="1:73" s="1" customFormat="1" ht="12.75">
      <c r="A228" s="44" t="s">
        <v>166</v>
      </c>
      <c r="B228" s="1">
        <v>0.35</v>
      </c>
      <c r="C228" s="1">
        <f>B228</f>
        <v>0.35</v>
      </c>
      <c r="D228" s="1">
        <v>0.23</v>
      </c>
      <c r="E228" s="1">
        <v>0.35</v>
      </c>
      <c r="F228" s="1">
        <v>0.35</v>
      </c>
      <c r="G228" s="1">
        <f>F228</f>
        <v>0.35</v>
      </c>
      <c r="H228" s="1">
        <f t="shared" ref="H228" si="143">G228</f>
        <v>0.35</v>
      </c>
      <c r="I228" s="1">
        <v>0.25</v>
      </c>
      <c r="J228" s="1">
        <v>0.35</v>
      </c>
      <c r="K228" s="1">
        <v>0.25</v>
      </c>
      <c r="L228" s="1">
        <v>0.25</v>
      </c>
      <c r="M228" s="1">
        <v>0.23</v>
      </c>
      <c r="N228" s="1">
        <v>0.25</v>
      </c>
      <c r="O228" s="1">
        <v>0.35</v>
      </c>
      <c r="P228" s="1">
        <v>0.35</v>
      </c>
      <c r="Q228" s="1">
        <f t="shared" ref="Q228:W228" si="144">P228</f>
        <v>0.35</v>
      </c>
      <c r="R228" s="1">
        <f t="shared" si="144"/>
        <v>0.35</v>
      </c>
      <c r="S228" s="1">
        <v>0.25</v>
      </c>
      <c r="T228" s="1">
        <v>0.35</v>
      </c>
      <c r="U228" s="1">
        <f t="shared" si="144"/>
        <v>0.35</v>
      </c>
      <c r="V228" s="1">
        <v>0.25</v>
      </c>
      <c r="W228" s="1">
        <f t="shared" si="144"/>
        <v>0.25</v>
      </c>
      <c r="X228" s="1">
        <v>0.35</v>
      </c>
      <c r="Y228" s="1">
        <v>0.35</v>
      </c>
      <c r="Z228" s="1">
        <v>0.25</v>
      </c>
      <c r="AA228" s="1">
        <v>0.3</v>
      </c>
      <c r="AB228" s="1">
        <v>0.35</v>
      </c>
      <c r="AC228" s="1">
        <v>0.3</v>
      </c>
      <c r="AD228" s="1">
        <v>0.25</v>
      </c>
      <c r="AE228" s="1">
        <v>0.36</v>
      </c>
      <c r="AF228" s="1">
        <v>0.23</v>
      </c>
      <c r="AG228" s="1">
        <v>0.23</v>
      </c>
      <c r="AH228" s="1">
        <f>AG228</f>
        <v>0.23</v>
      </c>
      <c r="AI228" s="1">
        <v>0.25</v>
      </c>
      <c r="AJ228" s="1">
        <v>0.3</v>
      </c>
      <c r="AK228" s="1">
        <v>0.35</v>
      </c>
      <c r="AL228" s="1">
        <v>0.3</v>
      </c>
      <c r="AM228" s="1">
        <v>0.3</v>
      </c>
      <c r="AN228" s="1">
        <f t="shared" ref="AN228" si="145">AM228</f>
        <v>0.3</v>
      </c>
      <c r="AO228" s="1">
        <v>3</v>
      </c>
      <c r="AP228" s="1">
        <v>0.35</v>
      </c>
    </row>
    <row r="229" spans="1:73" s="1" customFormat="1" ht="12.75">
      <c r="A229" s="44"/>
      <c r="B229" s="8">
        <f t="shared" ref="B229:AP229" si="146">B226*B227*B228</f>
        <v>8.2293749999999992</v>
      </c>
      <c r="C229" s="8">
        <f t="shared" si="146"/>
        <v>6.1844999999999999</v>
      </c>
      <c r="D229" s="8">
        <f t="shared" si="146"/>
        <v>0.30532500000000007</v>
      </c>
      <c r="E229" s="8">
        <f t="shared" si="146"/>
        <v>8.7314499999999988</v>
      </c>
      <c r="F229" s="8">
        <f t="shared" si="146"/>
        <v>0.86974999999999991</v>
      </c>
      <c r="G229" s="8">
        <f t="shared" si="146"/>
        <v>4.5569999999999995</v>
      </c>
      <c r="H229" s="8">
        <f t="shared" si="146"/>
        <v>0.78399999999999992</v>
      </c>
      <c r="I229" s="8">
        <f t="shared" si="146"/>
        <v>1.32</v>
      </c>
      <c r="J229" s="8">
        <f t="shared" si="146"/>
        <v>13.366499999999998</v>
      </c>
      <c r="K229" s="8">
        <f t="shared" si="146"/>
        <v>1.7129999999999999</v>
      </c>
      <c r="L229" s="8">
        <f t="shared" si="146"/>
        <v>1.9184999999999999</v>
      </c>
      <c r="M229" s="8">
        <f t="shared" si="146"/>
        <v>0.93149999999999999</v>
      </c>
      <c r="N229" s="8">
        <f t="shared" si="146"/>
        <v>0.63749999999999996</v>
      </c>
      <c r="O229" s="8">
        <f t="shared" si="146"/>
        <v>1.0534999999999999</v>
      </c>
      <c r="P229" s="8">
        <f t="shared" si="146"/>
        <v>1.9673499999999997</v>
      </c>
      <c r="Q229" s="8">
        <f t="shared" si="146"/>
        <v>1.0363500000000001</v>
      </c>
      <c r="R229" s="8">
        <f t="shared" si="146"/>
        <v>2.6267499999999999</v>
      </c>
      <c r="S229" s="8">
        <f t="shared" si="146"/>
        <v>0.375</v>
      </c>
      <c r="T229" s="8">
        <f t="shared" si="146"/>
        <v>1.0363500000000001</v>
      </c>
      <c r="U229" s="8">
        <f t="shared" si="146"/>
        <v>2.9154999999999998</v>
      </c>
      <c r="V229" s="8">
        <f t="shared" si="146"/>
        <v>0.63450000000000006</v>
      </c>
      <c r="W229" s="8">
        <f t="shared" si="146"/>
        <v>0.71225000000000005</v>
      </c>
      <c r="X229" s="8">
        <f t="shared" si="146"/>
        <v>5.2634749999999997</v>
      </c>
      <c r="Y229" s="8">
        <f t="shared" si="146"/>
        <v>1.0534999999999999</v>
      </c>
      <c r="Z229" s="8">
        <f t="shared" si="146"/>
        <v>0.33</v>
      </c>
      <c r="AA229" s="8">
        <f t="shared" si="146"/>
        <v>0.96119999999999983</v>
      </c>
      <c r="AB229" s="8">
        <f t="shared" si="146"/>
        <v>1.0363500000000001</v>
      </c>
      <c r="AC229" s="8">
        <f t="shared" si="146"/>
        <v>3.7992000000000004</v>
      </c>
      <c r="AD229" s="8">
        <f t="shared" si="146"/>
        <v>0.14249999999999999</v>
      </c>
      <c r="AE229" s="8">
        <f t="shared" si="146"/>
        <v>1.06596</v>
      </c>
      <c r="AF229" s="8">
        <f t="shared" si="146"/>
        <v>0.176985</v>
      </c>
      <c r="AG229" s="8">
        <f t="shared" si="146"/>
        <v>2.0099700000000005</v>
      </c>
      <c r="AH229" s="8">
        <f t="shared" si="146"/>
        <v>0.208035</v>
      </c>
      <c r="AI229" s="8">
        <f t="shared" si="146"/>
        <v>2.8974999999999995</v>
      </c>
      <c r="AJ229" s="8">
        <f t="shared" si="146"/>
        <v>0.42659999999999998</v>
      </c>
      <c r="AK229" s="8">
        <f t="shared" si="146"/>
        <v>2.9839249999999997</v>
      </c>
      <c r="AL229" s="8">
        <f t="shared" si="146"/>
        <v>3.6850499999999995</v>
      </c>
      <c r="AM229" s="8">
        <f t="shared" si="146"/>
        <v>0.94859999999999978</v>
      </c>
      <c r="AN229" s="8">
        <f t="shared" si="146"/>
        <v>2.6077500000000002</v>
      </c>
      <c r="AO229" s="8">
        <f t="shared" si="146"/>
        <v>22.89</v>
      </c>
      <c r="AP229" s="8">
        <f t="shared" si="146"/>
        <v>5.2634749999999997</v>
      </c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</row>
    <row r="230" spans="1:73" s="1" customFormat="1" ht="15.75" thickBot="1"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</row>
    <row r="231" spans="1:73" s="1" customFormat="1" ht="19.5" thickBot="1">
      <c r="B231" s="203" t="s">
        <v>321</v>
      </c>
      <c r="C231" s="203"/>
      <c r="D231" s="203"/>
      <c r="E231" s="203"/>
      <c r="F231" s="50">
        <f>ROUNDUP(SUM(B236:BP236),0)</f>
        <v>758</v>
      </c>
      <c r="G231" s="55"/>
      <c r="I231" s="4"/>
      <c r="BQ231"/>
      <c r="BR231"/>
      <c r="BS231"/>
      <c r="BT231"/>
      <c r="BU231"/>
    </row>
    <row r="232" spans="1:73" s="1" customFormat="1">
      <c r="B232" s="1" t="str">
        <f t="shared" ref="B232:AP232" si="147">B225</f>
        <v>BM 1</v>
      </c>
      <c r="C232" s="1" t="str">
        <f t="shared" si="147"/>
        <v>BM 2</v>
      </c>
      <c r="D232" s="1" t="str">
        <f t="shared" si="147"/>
        <v>BM 3</v>
      </c>
      <c r="E232" s="1" t="str">
        <f t="shared" si="147"/>
        <v>BM 4</v>
      </c>
      <c r="F232" s="1" t="str">
        <f t="shared" si="147"/>
        <v>BM 5</v>
      </c>
      <c r="G232" s="1" t="str">
        <f t="shared" si="147"/>
        <v>BM 6</v>
      </c>
      <c r="H232" s="1" t="str">
        <f t="shared" si="147"/>
        <v>BM 7</v>
      </c>
      <c r="I232" s="1" t="str">
        <f t="shared" si="147"/>
        <v>BM 8</v>
      </c>
      <c r="J232" s="1" t="str">
        <f t="shared" si="147"/>
        <v>BM 9</v>
      </c>
      <c r="K232" s="1" t="str">
        <f t="shared" si="147"/>
        <v>BM 10</v>
      </c>
      <c r="L232" s="1" t="str">
        <f t="shared" si="147"/>
        <v>BM 11</v>
      </c>
      <c r="M232" s="1" t="str">
        <f t="shared" si="147"/>
        <v>BM 12</v>
      </c>
      <c r="N232" s="1" t="str">
        <f t="shared" si="147"/>
        <v>BM 13</v>
      </c>
      <c r="O232" s="1" t="str">
        <f t="shared" si="147"/>
        <v>BM 14</v>
      </c>
      <c r="P232" s="1" t="str">
        <f t="shared" si="147"/>
        <v>BM 15</v>
      </c>
      <c r="Q232" s="1" t="str">
        <f t="shared" si="147"/>
        <v>BM 16</v>
      </c>
      <c r="R232" s="1" t="str">
        <f t="shared" si="147"/>
        <v>BM 17</v>
      </c>
      <c r="S232" s="1" t="str">
        <f t="shared" si="147"/>
        <v>BM 18</v>
      </c>
      <c r="T232" s="1" t="str">
        <f t="shared" si="147"/>
        <v>BM 19</v>
      </c>
      <c r="U232" s="1" t="str">
        <f t="shared" si="147"/>
        <v>BM 20</v>
      </c>
      <c r="V232" s="1" t="str">
        <f t="shared" si="147"/>
        <v>BM 21</v>
      </c>
      <c r="W232" s="1" t="str">
        <f t="shared" si="147"/>
        <v>BM 22</v>
      </c>
      <c r="X232" s="1" t="str">
        <f t="shared" si="147"/>
        <v>BM 23</v>
      </c>
      <c r="Y232" s="1" t="str">
        <f t="shared" si="147"/>
        <v>BM 24</v>
      </c>
      <c r="Z232" s="1" t="str">
        <f t="shared" si="147"/>
        <v>BM 25</v>
      </c>
      <c r="AA232" s="1" t="str">
        <f t="shared" si="147"/>
        <v>BM 26</v>
      </c>
      <c r="AB232" s="1" t="str">
        <f t="shared" si="147"/>
        <v>BM 27</v>
      </c>
      <c r="AC232" s="1" t="str">
        <f t="shared" si="147"/>
        <v>BM 28</v>
      </c>
      <c r="AD232" s="1" t="str">
        <f t="shared" si="147"/>
        <v>BM 29</v>
      </c>
      <c r="AE232" s="1" t="str">
        <f t="shared" si="147"/>
        <v>BM 30</v>
      </c>
      <c r="AF232" s="1" t="str">
        <f t="shared" si="147"/>
        <v>BM 31</v>
      </c>
      <c r="AG232" s="1" t="str">
        <f t="shared" si="147"/>
        <v>BM 32</v>
      </c>
      <c r="AH232" s="1" t="str">
        <f t="shared" si="147"/>
        <v>BM 33</v>
      </c>
      <c r="AI232" s="1" t="str">
        <f t="shared" si="147"/>
        <v>BM 34</v>
      </c>
      <c r="AJ232" s="1" t="str">
        <f t="shared" si="147"/>
        <v>BM 35</v>
      </c>
      <c r="AK232" s="1" t="str">
        <f t="shared" si="147"/>
        <v>BM 36</v>
      </c>
      <c r="AL232" s="1" t="str">
        <f t="shared" si="147"/>
        <v>BM 37</v>
      </c>
      <c r="AM232" s="1" t="str">
        <f t="shared" si="147"/>
        <v>BM 38</v>
      </c>
      <c r="AN232" s="1" t="str">
        <f t="shared" si="147"/>
        <v>BM 39</v>
      </c>
      <c r="AO232" s="1" t="str">
        <f t="shared" si="147"/>
        <v>BM 40</v>
      </c>
      <c r="AP232" s="1" t="str">
        <f t="shared" si="147"/>
        <v>BM 41</v>
      </c>
      <c r="BS232"/>
      <c r="BT232"/>
      <c r="BU232"/>
    </row>
    <row r="233" spans="1:73" s="44" customFormat="1" ht="12.75">
      <c r="A233" s="44" t="str">
        <f>A226</f>
        <v>length</v>
      </c>
      <c r="B233" s="1">
        <f t="shared" ref="B233:AP233" si="148">B226</f>
        <v>24.75</v>
      </c>
      <c r="C233" s="1">
        <f t="shared" si="148"/>
        <v>18.600000000000001</v>
      </c>
      <c r="D233" s="1">
        <f t="shared" si="148"/>
        <v>2.95</v>
      </c>
      <c r="E233" s="1">
        <f t="shared" si="148"/>
        <v>26.26</v>
      </c>
      <c r="F233" s="1">
        <f t="shared" si="148"/>
        <v>3.55</v>
      </c>
      <c r="G233" s="1">
        <f t="shared" si="148"/>
        <v>18.600000000000001</v>
      </c>
      <c r="H233" s="1">
        <f t="shared" si="148"/>
        <v>3.2</v>
      </c>
      <c r="I233" s="1">
        <f t="shared" si="148"/>
        <v>8.8000000000000007</v>
      </c>
      <c r="J233" s="1">
        <f t="shared" si="148"/>
        <v>40.200000000000003</v>
      </c>
      <c r="K233" s="1">
        <f t="shared" si="148"/>
        <v>11.42</v>
      </c>
      <c r="L233" s="1">
        <f t="shared" si="148"/>
        <v>12.79</v>
      </c>
      <c r="M233" s="1">
        <f t="shared" si="148"/>
        <v>8.1</v>
      </c>
      <c r="N233" s="1">
        <f t="shared" si="148"/>
        <v>4.25</v>
      </c>
      <c r="O233" s="1">
        <f t="shared" si="148"/>
        <v>4.3</v>
      </c>
      <c r="P233" s="1">
        <f t="shared" si="148"/>
        <v>8.0299999999999994</v>
      </c>
      <c r="Q233" s="1">
        <f t="shared" si="148"/>
        <v>4.2300000000000004</v>
      </c>
      <c r="R233" s="1">
        <f t="shared" si="148"/>
        <v>7.9</v>
      </c>
      <c r="S233" s="1">
        <f t="shared" si="148"/>
        <v>2.5</v>
      </c>
      <c r="T233" s="1">
        <f t="shared" si="148"/>
        <v>4.2300000000000004</v>
      </c>
      <c r="U233" s="1">
        <f t="shared" si="148"/>
        <v>11.9</v>
      </c>
      <c r="V233" s="1">
        <f t="shared" si="148"/>
        <v>4.2300000000000004</v>
      </c>
      <c r="W233" s="1">
        <f t="shared" si="148"/>
        <v>5.18</v>
      </c>
      <c r="X233" s="1">
        <f t="shared" si="148"/>
        <v>15.83</v>
      </c>
      <c r="Y233" s="1">
        <f t="shared" si="148"/>
        <v>4.3</v>
      </c>
      <c r="Z233" s="1">
        <f t="shared" si="148"/>
        <v>2.2000000000000002</v>
      </c>
      <c r="AA233" s="1">
        <f t="shared" si="148"/>
        <v>5.34</v>
      </c>
      <c r="AB233" s="1">
        <f t="shared" si="148"/>
        <v>4.2300000000000004</v>
      </c>
      <c r="AC233" s="1">
        <f t="shared" si="148"/>
        <v>15.83</v>
      </c>
      <c r="AD233" s="1">
        <f t="shared" si="148"/>
        <v>0.95</v>
      </c>
      <c r="AE233" s="1">
        <f t="shared" si="148"/>
        <v>4.2300000000000004</v>
      </c>
      <c r="AF233" s="1">
        <f t="shared" si="148"/>
        <v>1.71</v>
      </c>
      <c r="AG233" s="1">
        <f t="shared" si="148"/>
        <v>19.420000000000002</v>
      </c>
      <c r="AH233" s="1">
        <f t="shared" si="148"/>
        <v>2.0099999999999998</v>
      </c>
      <c r="AI233" s="1">
        <f t="shared" si="148"/>
        <v>12.2</v>
      </c>
      <c r="AJ233" s="1">
        <f t="shared" si="148"/>
        <v>2.37</v>
      </c>
      <c r="AK233" s="1">
        <f t="shared" si="148"/>
        <v>10.029999999999999</v>
      </c>
      <c r="AL233" s="1">
        <f t="shared" si="148"/>
        <v>12.93</v>
      </c>
      <c r="AM233" s="1">
        <f t="shared" si="148"/>
        <v>5.27</v>
      </c>
      <c r="AN233" s="1">
        <f t="shared" si="148"/>
        <v>9.15</v>
      </c>
      <c r="AO233" s="1">
        <f t="shared" si="148"/>
        <v>7.63</v>
      </c>
      <c r="AP233" s="1">
        <f t="shared" si="148"/>
        <v>15.83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3" s="1" customFormat="1">
      <c r="A234" s="44" t="str">
        <f>A227</f>
        <v>depth</v>
      </c>
      <c r="B234" s="1">
        <f t="shared" ref="B234:AP234" si="149">B227</f>
        <v>0.95</v>
      </c>
      <c r="C234" s="1">
        <f t="shared" si="149"/>
        <v>0.95</v>
      </c>
      <c r="D234" s="1">
        <f t="shared" si="149"/>
        <v>0.45</v>
      </c>
      <c r="E234" s="1">
        <f t="shared" si="149"/>
        <v>0.95</v>
      </c>
      <c r="F234" s="1">
        <f t="shared" si="149"/>
        <v>0.7</v>
      </c>
      <c r="G234" s="1">
        <f t="shared" si="149"/>
        <v>0.7</v>
      </c>
      <c r="H234" s="1">
        <f t="shared" si="149"/>
        <v>0.7</v>
      </c>
      <c r="I234" s="1">
        <f t="shared" si="149"/>
        <v>0.6</v>
      </c>
      <c r="J234" s="1">
        <f t="shared" si="149"/>
        <v>0.95</v>
      </c>
      <c r="K234" s="1">
        <f t="shared" si="149"/>
        <v>0.6</v>
      </c>
      <c r="L234" s="1">
        <f t="shared" si="149"/>
        <v>0.6</v>
      </c>
      <c r="M234" s="1">
        <f t="shared" si="149"/>
        <v>0.5</v>
      </c>
      <c r="N234" s="1">
        <f t="shared" si="149"/>
        <v>0.6</v>
      </c>
      <c r="O234" s="1">
        <f t="shared" si="149"/>
        <v>0.7</v>
      </c>
      <c r="P234" s="1">
        <f t="shared" si="149"/>
        <v>0.7</v>
      </c>
      <c r="Q234" s="1">
        <f t="shared" si="149"/>
        <v>0.7</v>
      </c>
      <c r="R234" s="1">
        <f t="shared" si="149"/>
        <v>0.95</v>
      </c>
      <c r="S234" s="1">
        <f t="shared" si="149"/>
        <v>0.6</v>
      </c>
      <c r="T234" s="1">
        <f t="shared" si="149"/>
        <v>0.7</v>
      </c>
      <c r="U234" s="1">
        <f t="shared" si="149"/>
        <v>0.7</v>
      </c>
      <c r="V234" s="1">
        <f t="shared" si="149"/>
        <v>0.6</v>
      </c>
      <c r="W234" s="1">
        <f t="shared" si="149"/>
        <v>0.55000000000000004</v>
      </c>
      <c r="X234" s="1">
        <f t="shared" si="149"/>
        <v>0.95</v>
      </c>
      <c r="Y234" s="1">
        <f t="shared" si="149"/>
        <v>0.7</v>
      </c>
      <c r="Z234" s="1">
        <f t="shared" si="149"/>
        <v>0.6</v>
      </c>
      <c r="AA234" s="1">
        <f t="shared" si="149"/>
        <v>0.6</v>
      </c>
      <c r="AB234" s="1">
        <f t="shared" si="149"/>
        <v>0.7</v>
      </c>
      <c r="AC234" s="1">
        <f t="shared" si="149"/>
        <v>0.8</v>
      </c>
      <c r="AD234" s="1">
        <f t="shared" si="149"/>
        <v>0.6</v>
      </c>
      <c r="AE234" s="1">
        <f t="shared" si="149"/>
        <v>0.7</v>
      </c>
      <c r="AF234" s="1">
        <f t="shared" si="149"/>
        <v>0.45</v>
      </c>
      <c r="AG234" s="1">
        <f t="shared" si="149"/>
        <v>0.45</v>
      </c>
      <c r="AH234" s="1">
        <f t="shared" si="149"/>
        <v>0.45</v>
      </c>
      <c r="AI234" s="1">
        <f t="shared" si="149"/>
        <v>0.95</v>
      </c>
      <c r="AJ234" s="1">
        <f t="shared" si="149"/>
        <v>0.6</v>
      </c>
      <c r="AK234" s="1">
        <f t="shared" si="149"/>
        <v>0.85</v>
      </c>
      <c r="AL234" s="1">
        <f t="shared" si="149"/>
        <v>0.95</v>
      </c>
      <c r="AM234" s="1">
        <f t="shared" si="149"/>
        <v>0.6</v>
      </c>
      <c r="AN234" s="1">
        <f t="shared" si="149"/>
        <v>0.95</v>
      </c>
      <c r="AO234" s="1">
        <f t="shared" si="149"/>
        <v>1</v>
      </c>
      <c r="AP234" s="1">
        <f t="shared" si="149"/>
        <v>0.95</v>
      </c>
      <c r="BS234"/>
      <c r="BT234"/>
      <c r="BU234"/>
    </row>
    <row r="235" spans="1:73" s="1" customFormat="1">
      <c r="A235" s="44" t="str">
        <f>A228</f>
        <v>width</v>
      </c>
      <c r="B235" s="1">
        <f t="shared" ref="B235:AP235" si="150">B228</f>
        <v>0.35</v>
      </c>
      <c r="C235" s="1">
        <f t="shared" si="150"/>
        <v>0.35</v>
      </c>
      <c r="D235" s="1">
        <f t="shared" si="150"/>
        <v>0.23</v>
      </c>
      <c r="E235" s="1">
        <f t="shared" si="150"/>
        <v>0.35</v>
      </c>
      <c r="F235" s="1">
        <f t="shared" si="150"/>
        <v>0.35</v>
      </c>
      <c r="G235" s="1">
        <f t="shared" si="150"/>
        <v>0.35</v>
      </c>
      <c r="H235" s="1">
        <f t="shared" si="150"/>
        <v>0.35</v>
      </c>
      <c r="I235" s="1">
        <f t="shared" si="150"/>
        <v>0.25</v>
      </c>
      <c r="J235" s="1">
        <f t="shared" si="150"/>
        <v>0.35</v>
      </c>
      <c r="K235" s="1">
        <f t="shared" si="150"/>
        <v>0.25</v>
      </c>
      <c r="L235" s="1">
        <f t="shared" si="150"/>
        <v>0.25</v>
      </c>
      <c r="M235" s="1">
        <f t="shared" si="150"/>
        <v>0.23</v>
      </c>
      <c r="N235" s="1">
        <f t="shared" si="150"/>
        <v>0.25</v>
      </c>
      <c r="O235" s="1">
        <f t="shared" si="150"/>
        <v>0.35</v>
      </c>
      <c r="P235" s="1">
        <f t="shared" si="150"/>
        <v>0.35</v>
      </c>
      <c r="Q235" s="1">
        <f t="shared" si="150"/>
        <v>0.35</v>
      </c>
      <c r="R235" s="1">
        <f t="shared" si="150"/>
        <v>0.35</v>
      </c>
      <c r="S235" s="1">
        <f t="shared" si="150"/>
        <v>0.25</v>
      </c>
      <c r="T235" s="1">
        <f t="shared" si="150"/>
        <v>0.35</v>
      </c>
      <c r="U235" s="1">
        <f t="shared" si="150"/>
        <v>0.35</v>
      </c>
      <c r="V235" s="1">
        <f t="shared" si="150"/>
        <v>0.25</v>
      </c>
      <c r="W235" s="1">
        <f t="shared" si="150"/>
        <v>0.25</v>
      </c>
      <c r="X235" s="1">
        <f t="shared" si="150"/>
        <v>0.35</v>
      </c>
      <c r="Y235" s="1">
        <f t="shared" si="150"/>
        <v>0.35</v>
      </c>
      <c r="Z235" s="1">
        <f t="shared" si="150"/>
        <v>0.25</v>
      </c>
      <c r="AA235" s="1">
        <f t="shared" si="150"/>
        <v>0.3</v>
      </c>
      <c r="AB235" s="1">
        <f t="shared" si="150"/>
        <v>0.35</v>
      </c>
      <c r="AC235" s="1">
        <f t="shared" si="150"/>
        <v>0.3</v>
      </c>
      <c r="AD235" s="1">
        <f t="shared" si="150"/>
        <v>0.25</v>
      </c>
      <c r="AE235" s="1">
        <f t="shared" si="150"/>
        <v>0.36</v>
      </c>
      <c r="AF235" s="1">
        <f t="shared" si="150"/>
        <v>0.23</v>
      </c>
      <c r="AG235" s="1">
        <f t="shared" si="150"/>
        <v>0.23</v>
      </c>
      <c r="AH235" s="1">
        <f t="shared" si="150"/>
        <v>0.23</v>
      </c>
      <c r="AI235" s="1">
        <f t="shared" si="150"/>
        <v>0.25</v>
      </c>
      <c r="AJ235" s="1">
        <f t="shared" si="150"/>
        <v>0.3</v>
      </c>
      <c r="AK235" s="1">
        <f t="shared" si="150"/>
        <v>0.35</v>
      </c>
      <c r="AL235" s="1">
        <f t="shared" si="150"/>
        <v>0.3</v>
      </c>
      <c r="AM235" s="1">
        <f t="shared" si="150"/>
        <v>0.3</v>
      </c>
      <c r="AN235" s="1">
        <f t="shared" si="150"/>
        <v>0.3</v>
      </c>
      <c r="AO235" s="1">
        <f t="shared" si="150"/>
        <v>3</v>
      </c>
      <c r="AP235" s="1">
        <f t="shared" si="150"/>
        <v>0.35</v>
      </c>
      <c r="BS235"/>
      <c r="BT235"/>
      <c r="BU235"/>
    </row>
    <row r="236" spans="1:73" s="1" customFormat="1">
      <c r="B236" s="8">
        <f t="shared" ref="B236:AP236" si="151">(B233*B234*2)+(B233*B235)</f>
        <v>55.6875</v>
      </c>
      <c r="C236" s="8">
        <f t="shared" si="151"/>
        <v>41.85</v>
      </c>
      <c r="D236" s="8">
        <f t="shared" si="151"/>
        <v>3.3335000000000004</v>
      </c>
      <c r="E236" s="8">
        <f t="shared" si="151"/>
        <v>59.085000000000001</v>
      </c>
      <c r="F236" s="8">
        <f t="shared" si="151"/>
        <v>6.2124999999999995</v>
      </c>
      <c r="G236" s="8">
        <f t="shared" si="151"/>
        <v>32.549999999999997</v>
      </c>
      <c r="H236" s="8">
        <f t="shared" si="151"/>
        <v>5.6</v>
      </c>
      <c r="I236" s="8">
        <f t="shared" si="151"/>
        <v>12.760000000000002</v>
      </c>
      <c r="J236" s="8">
        <f t="shared" si="151"/>
        <v>90.449999999999989</v>
      </c>
      <c r="K236" s="8">
        <f t="shared" si="151"/>
        <v>16.558999999999997</v>
      </c>
      <c r="L236" s="8">
        <f t="shared" si="151"/>
        <v>18.545499999999997</v>
      </c>
      <c r="M236" s="8">
        <f t="shared" si="151"/>
        <v>9.9629999999999992</v>
      </c>
      <c r="N236" s="8">
        <f t="shared" si="151"/>
        <v>6.1624999999999996</v>
      </c>
      <c r="O236" s="8">
        <f t="shared" si="151"/>
        <v>7.5249999999999995</v>
      </c>
      <c r="P236" s="8">
        <f t="shared" si="151"/>
        <v>14.052499999999998</v>
      </c>
      <c r="Q236" s="8">
        <f t="shared" si="151"/>
        <v>7.4025000000000007</v>
      </c>
      <c r="R236" s="8">
        <f t="shared" si="151"/>
        <v>17.774999999999999</v>
      </c>
      <c r="S236" s="8">
        <f t="shared" si="151"/>
        <v>3.625</v>
      </c>
      <c r="T236" s="8">
        <f t="shared" si="151"/>
        <v>7.4025000000000007</v>
      </c>
      <c r="U236" s="8">
        <f t="shared" si="151"/>
        <v>20.824999999999999</v>
      </c>
      <c r="V236" s="8">
        <f t="shared" si="151"/>
        <v>6.1335000000000006</v>
      </c>
      <c r="W236" s="8">
        <f t="shared" si="151"/>
        <v>6.9930000000000003</v>
      </c>
      <c r="X236" s="8">
        <f t="shared" si="151"/>
        <v>35.6175</v>
      </c>
      <c r="Y236" s="8">
        <f t="shared" si="151"/>
        <v>7.5249999999999995</v>
      </c>
      <c r="Z236" s="8">
        <f t="shared" si="151"/>
        <v>3.1900000000000004</v>
      </c>
      <c r="AA236" s="8">
        <f t="shared" si="151"/>
        <v>8.01</v>
      </c>
      <c r="AB236" s="8">
        <f t="shared" si="151"/>
        <v>7.4025000000000007</v>
      </c>
      <c r="AC236" s="8">
        <f t="shared" si="151"/>
        <v>30.077000000000002</v>
      </c>
      <c r="AD236" s="8">
        <f t="shared" si="151"/>
        <v>1.3774999999999999</v>
      </c>
      <c r="AE236" s="8">
        <f t="shared" si="151"/>
        <v>7.4448000000000008</v>
      </c>
      <c r="AF236" s="8">
        <f t="shared" si="151"/>
        <v>1.9322999999999999</v>
      </c>
      <c r="AG236" s="8">
        <f t="shared" si="151"/>
        <v>21.944600000000001</v>
      </c>
      <c r="AH236" s="8">
        <f t="shared" si="151"/>
        <v>2.2713000000000001</v>
      </c>
      <c r="AI236" s="8">
        <f t="shared" si="151"/>
        <v>26.229999999999997</v>
      </c>
      <c r="AJ236" s="8">
        <f t="shared" si="151"/>
        <v>3.5549999999999997</v>
      </c>
      <c r="AK236" s="8">
        <f t="shared" si="151"/>
        <v>20.561499999999999</v>
      </c>
      <c r="AL236" s="8">
        <f t="shared" si="151"/>
        <v>28.445999999999998</v>
      </c>
      <c r="AM236" s="8">
        <f t="shared" si="151"/>
        <v>7.9049999999999985</v>
      </c>
      <c r="AN236" s="8">
        <f t="shared" si="151"/>
        <v>20.130000000000003</v>
      </c>
      <c r="AO236" s="8">
        <f t="shared" si="151"/>
        <v>38.15</v>
      </c>
      <c r="AP236" s="8">
        <f t="shared" si="151"/>
        <v>35.6175</v>
      </c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/>
      <c r="BT236"/>
      <c r="BU236"/>
    </row>
    <row r="237" spans="1:73" s="1" customFormat="1" ht="15.75" thickBot="1"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 s="4"/>
      <c r="BR237"/>
      <c r="BS237"/>
      <c r="BT237"/>
      <c r="BU237"/>
    </row>
    <row r="238" spans="1:73" s="1" customFormat="1" ht="19.5" thickBot="1">
      <c r="B238" s="203" t="s">
        <v>322</v>
      </c>
      <c r="C238" s="203"/>
      <c r="D238" s="203"/>
      <c r="E238" s="203"/>
      <c r="F238" s="50">
        <f>ROUNDUP(SUM(B244:BP244),0)</f>
        <v>17640</v>
      </c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 s="4"/>
      <c r="BR238"/>
      <c r="BS238"/>
      <c r="BT238"/>
      <c r="BU238"/>
    </row>
    <row r="239" spans="1:73" s="1" customFormat="1">
      <c r="C239" s="1" t="s">
        <v>105</v>
      </c>
      <c r="D239" s="1">
        <f>G239*F224</f>
        <v>9360</v>
      </c>
      <c r="G239" s="1">
        <v>78</v>
      </c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 s="4"/>
      <c r="BR239"/>
      <c r="BS239"/>
      <c r="BT239"/>
      <c r="BU239"/>
    </row>
    <row r="240" spans="1:73" s="1" customFormat="1">
      <c r="C240" s="1" t="s">
        <v>70</v>
      </c>
      <c r="D240" s="1">
        <f>F224*G240</f>
        <v>2040</v>
      </c>
      <c r="G240" s="1">
        <v>17</v>
      </c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 s="4"/>
      <c r="BR240"/>
      <c r="BS240"/>
      <c r="BT240"/>
      <c r="BU240"/>
    </row>
    <row r="241" spans="1:73" s="1" customFormat="1">
      <c r="C241" s="1" t="s">
        <v>71</v>
      </c>
      <c r="D241" s="1">
        <f>G241*F224</f>
        <v>3600</v>
      </c>
      <c r="G241" s="1">
        <v>30</v>
      </c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 s="4"/>
      <c r="BR241"/>
      <c r="BS241"/>
      <c r="BT241"/>
      <c r="BU241"/>
    </row>
    <row r="242" spans="1:73" s="1" customFormat="1">
      <c r="C242" s="1" t="s">
        <v>68</v>
      </c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 s="4"/>
      <c r="BR242"/>
      <c r="BS242"/>
      <c r="BT242"/>
      <c r="BU242"/>
    </row>
    <row r="243" spans="1:73" s="1" customFormat="1">
      <c r="C243" s="1" t="s">
        <v>108</v>
      </c>
      <c r="D243" s="1">
        <f>G243*F224</f>
        <v>2640</v>
      </c>
      <c r="G243" s="1">
        <v>22</v>
      </c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 s="4"/>
      <c r="BR243"/>
      <c r="BS243"/>
      <c r="BT243"/>
      <c r="BU243"/>
    </row>
    <row r="244" spans="1:73" s="1" customFormat="1">
      <c r="D244" s="100">
        <f>SUM(D239:D243)</f>
        <v>17640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 s="4"/>
      <c r="BR244"/>
      <c r="BS244"/>
      <c r="BT244"/>
      <c r="BU244"/>
    </row>
    <row r="245" spans="1:73" s="1" customFormat="1">
      <c r="F245" s="104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 s="4"/>
      <c r="BR245"/>
      <c r="BS245"/>
      <c r="BT245"/>
      <c r="BU245"/>
    </row>
    <row r="246" spans="1:73" s="1" customFormat="1" ht="15.75" thickBot="1">
      <c r="F246" s="104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 s="4"/>
      <c r="BR246"/>
      <c r="BS246"/>
      <c r="BT246"/>
      <c r="BU246"/>
    </row>
    <row r="247" spans="1:73" s="1" customFormat="1" ht="19.5" thickBot="1">
      <c r="A247" s="44"/>
      <c r="B247" s="203" t="s">
        <v>326</v>
      </c>
      <c r="C247" s="203"/>
      <c r="D247" s="203"/>
      <c r="E247" s="203"/>
      <c r="F247" s="50">
        <f>ROUNDUP(SUM(B252:BP252),0)</f>
        <v>242</v>
      </c>
      <c r="I247" s="4"/>
      <c r="BQ247"/>
      <c r="BR247"/>
      <c r="BS247"/>
      <c r="BT247"/>
      <c r="BU247"/>
    </row>
    <row r="248" spans="1:73" s="1" customFormat="1" ht="12.75">
      <c r="A248" s="44"/>
      <c r="B248" s="1" t="s">
        <v>127</v>
      </c>
      <c r="C248" s="1" t="s">
        <v>128</v>
      </c>
      <c r="D248" s="1" t="s">
        <v>129</v>
      </c>
      <c r="E248" s="1" t="s">
        <v>130</v>
      </c>
      <c r="F248" s="1" t="s">
        <v>131</v>
      </c>
      <c r="G248" s="1" t="s">
        <v>132</v>
      </c>
      <c r="H248" s="1" t="s">
        <v>133</v>
      </c>
      <c r="I248" s="1" t="s">
        <v>134</v>
      </c>
      <c r="J248" s="1" t="s">
        <v>135</v>
      </c>
      <c r="K248" s="1" t="s">
        <v>136</v>
      </c>
      <c r="L248" s="1" t="s">
        <v>137</v>
      </c>
      <c r="M248" s="1" t="s">
        <v>138</v>
      </c>
      <c r="N248" s="1" t="s">
        <v>139</v>
      </c>
      <c r="O248" s="1" t="s">
        <v>140</v>
      </c>
      <c r="P248" s="1" t="s">
        <v>141</v>
      </c>
    </row>
    <row r="249" spans="1:73" s="44" customFormat="1" ht="12.75">
      <c r="A249" s="44" t="s">
        <v>37</v>
      </c>
      <c r="B249" s="51">
        <v>47.05</v>
      </c>
      <c r="C249" s="51">
        <v>22.61</v>
      </c>
      <c r="D249" s="52">
        <v>29.7</v>
      </c>
      <c r="E249" s="52">
        <v>17.649999999999999</v>
      </c>
      <c r="F249" s="52">
        <v>3.93</v>
      </c>
      <c r="G249" s="52">
        <v>46.75</v>
      </c>
      <c r="H249" s="52">
        <v>11.9</v>
      </c>
      <c r="I249" s="52">
        <v>3.93</v>
      </c>
      <c r="J249" s="52">
        <v>11.9</v>
      </c>
      <c r="K249" s="52">
        <v>3.93</v>
      </c>
      <c r="L249" s="52">
        <v>15.83</v>
      </c>
      <c r="M249" s="52">
        <v>15.83</v>
      </c>
      <c r="N249" s="52">
        <v>11.9</v>
      </c>
      <c r="O249" s="52">
        <v>15.83</v>
      </c>
      <c r="P249" s="52">
        <v>15.83</v>
      </c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</row>
    <row r="250" spans="1:73" s="1" customFormat="1" ht="12.75">
      <c r="A250" s="44" t="s">
        <v>37</v>
      </c>
      <c r="B250" s="1">
        <v>2.2000000000000002</v>
      </c>
      <c r="C250" s="1">
        <f>B250</f>
        <v>2.2000000000000002</v>
      </c>
      <c r="D250" s="1">
        <f t="shared" ref="D250:P250" si="152">C250</f>
        <v>2.2000000000000002</v>
      </c>
      <c r="E250" s="1">
        <f t="shared" si="152"/>
        <v>2.2000000000000002</v>
      </c>
      <c r="F250" s="1">
        <f t="shared" si="152"/>
        <v>2.2000000000000002</v>
      </c>
      <c r="G250" s="1">
        <f t="shared" si="152"/>
        <v>2.2000000000000002</v>
      </c>
      <c r="H250" s="1">
        <f t="shared" si="152"/>
        <v>2.2000000000000002</v>
      </c>
      <c r="I250" s="1">
        <f t="shared" si="152"/>
        <v>2.2000000000000002</v>
      </c>
      <c r="J250" s="1">
        <f t="shared" si="152"/>
        <v>2.2000000000000002</v>
      </c>
      <c r="K250" s="1">
        <f t="shared" si="152"/>
        <v>2.2000000000000002</v>
      </c>
      <c r="L250" s="1">
        <f t="shared" si="152"/>
        <v>2.2000000000000002</v>
      </c>
      <c r="M250" s="1">
        <f t="shared" si="152"/>
        <v>2.2000000000000002</v>
      </c>
      <c r="N250" s="1">
        <f t="shared" si="152"/>
        <v>2.2000000000000002</v>
      </c>
      <c r="O250" s="1">
        <f t="shared" si="152"/>
        <v>2.2000000000000002</v>
      </c>
      <c r="P250" s="1">
        <f t="shared" si="152"/>
        <v>2.2000000000000002</v>
      </c>
    </row>
    <row r="251" spans="1:73" s="1" customFormat="1" ht="12.75">
      <c r="A251" s="44" t="s">
        <v>166</v>
      </c>
      <c r="B251" s="1">
        <v>0.4</v>
      </c>
      <c r="C251" s="1">
        <f>B251</f>
        <v>0.4</v>
      </c>
      <c r="D251" s="1">
        <f t="shared" ref="D251:P251" si="153">C251</f>
        <v>0.4</v>
      </c>
      <c r="E251" s="1">
        <f t="shared" si="153"/>
        <v>0.4</v>
      </c>
      <c r="F251" s="1">
        <f t="shared" si="153"/>
        <v>0.4</v>
      </c>
      <c r="G251" s="1">
        <f t="shared" si="153"/>
        <v>0.4</v>
      </c>
      <c r="H251" s="1">
        <f t="shared" si="153"/>
        <v>0.4</v>
      </c>
      <c r="I251" s="1">
        <f t="shared" si="153"/>
        <v>0.4</v>
      </c>
      <c r="J251" s="1">
        <f t="shared" si="153"/>
        <v>0.4</v>
      </c>
      <c r="K251" s="1">
        <f t="shared" si="153"/>
        <v>0.4</v>
      </c>
      <c r="L251" s="1">
        <f t="shared" si="153"/>
        <v>0.4</v>
      </c>
      <c r="M251" s="1">
        <f t="shared" si="153"/>
        <v>0.4</v>
      </c>
      <c r="N251" s="1">
        <f t="shared" si="153"/>
        <v>0.4</v>
      </c>
      <c r="O251" s="1">
        <f t="shared" si="153"/>
        <v>0.4</v>
      </c>
      <c r="P251" s="1">
        <f t="shared" si="153"/>
        <v>0.4</v>
      </c>
    </row>
    <row r="252" spans="1:73" s="1" customFormat="1" ht="12.75">
      <c r="A252" s="44"/>
      <c r="B252" s="8">
        <f t="shared" ref="B252:P252" si="154">B249*B250*B251</f>
        <v>41.404000000000003</v>
      </c>
      <c r="C252" s="8">
        <f t="shared" si="154"/>
        <v>19.896800000000002</v>
      </c>
      <c r="D252" s="8">
        <f t="shared" si="154"/>
        <v>26.136000000000003</v>
      </c>
      <c r="E252" s="8">
        <f t="shared" si="154"/>
        <v>15.532</v>
      </c>
      <c r="F252" s="8">
        <f t="shared" si="154"/>
        <v>3.4584000000000006</v>
      </c>
      <c r="G252" s="8">
        <f t="shared" si="154"/>
        <v>41.140000000000008</v>
      </c>
      <c r="H252" s="8">
        <f t="shared" si="154"/>
        <v>10.472000000000001</v>
      </c>
      <c r="I252" s="8">
        <f t="shared" si="154"/>
        <v>3.4584000000000006</v>
      </c>
      <c r="J252" s="8">
        <f t="shared" si="154"/>
        <v>10.472000000000001</v>
      </c>
      <c r="K252" s="8">
        <f t="shared" si="154"/>
        <v>3.4584000000000006</v>
      </c>
      <c r="L252" s="8">
        <f t="shared" si="154"/>
        <v>13.930400000000001</v>
      </c>
      <c r="M252" s="8">
        <f t="shared" si="154"/>
        <v>13.930400000000001</v>
      </c>
      <c r="N252" s="8">
        <f t="shared" si="154"/>
        <v>10.472000000000001</v>
      </c>
      <c r="O252" s="8">
        <f t="shared" si="154"/>
        <v>13.930400000000001</v>
      </c>
      <c r="P252" s="8">
        <f t="shared" si="154"/>
        <v>13.930400000000001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</row>
    <row r="253" spans="1:73" s="1" customFormat="1" ht="15.75" thickBot="1"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</row>
    <row r="254" spans="1:73" s="1" customFormat="1" ht="19.5" thickBot="1">
      <c r="B254" s="203" t="s">
        <v>327</v>
      </c>
      <c r="C254" s="203"/>
      <c r="D254" s="203"/>
      <c r="E254" s="203"/>
      <c r="F254" s="50">
        <f>ROUNDUP(SUM(B259:BP259),0)</f>
        <v>1318</v>
      </c>
      <c r="G254" s="55"/>
      <c r="I254" s="4"/>
      <c r="BQ254"/>
      <c r="BR254"/>
      <c r="BS254"/>
      <c r="BT254"/>
      <c r="BU254"/>
    </row>
    <row r="255" spans="1:73" s="1" customFormat="1">
      <c r="B255" s="1" t="str">
        <f t="shared" ref="B255:P255" si="155">B248</f>
        <v>BM 1</v>
      </c>
      <c r="C255" s="1" t="str">
        <f t="shared" si="155"/>
        <v>BM 2</v>
      </c>
      <c r="D255" s="1" t="str">
        <f t="shared" si="155"/>
        <v>BM 3</v>
      </c>
      <c r="E255" s="1" t="str">
        <f t="shared" si="155"/>
        <v>BM 4</v>
      </c>
      <c r="F255" s="1" t="str">
        <f t="shared" si="155"/>
        <v>BM 5</v>
      </c>
      <c r="G255" s="1" t="str">
        <f t="shared" si="155"/>
        <v>BM 6</v>
      </c>
      <c r="H255" s="1" t="str">
        <f t="shared" si="155"/>
        <v>BM 7</v>
      </c>
      <c r="I255" s="1" t="str">
        <f t="shared" si="155"/>
        <v>BM 8</v>
      </c>
      <c r="J255" s="1" t="str">
        <f t="shared" si="155"/>
        <v>BM 9</v>
      </c>
      <c r="K255" s="1" t="str">
        <f t="shared" si="155"/>
        <v>BM 10</v>
      </c>
      <c r="L255" s="1" t="str">
        <f t="shared" si="155"/>
        <v>BM 11</v>
      </c>
      <c r="M255" s="1" t="str">
        <f t="shared" si="155"/>
        <v>BM 12</v>
      </c>
      <c r="N255" s="1" t="str">
        <f t="shared" si="155"/>
        <v>BM 13</v>
      </c>
      <c r="O255" s="1" t="str">
        <f t="shared" si="155"/>
        <v>BM 14</v>
      </c>
      <c r="P255" s="1" t="str">
        <f t="shared" si="155"/>
        <v>BM 15</v>
      </c>
      <c r="BS255"/>
      <c r="BT255"/>
      <c r="BU255"/>
    </row>
    <row r="256" spans="1:73" s="44" customFormat="1" ht="12.75">
      <c r="A256" s="44" t="str">
        <f>A249</f>
        <v>length</v>
      </c>
      <c r="B256" s="1">
        <f t="shared" ref="B256:P256" si="156">B249</f>
        <v>47.05</v>
      </c>
      <c r="C256" s="1">
        <f t="shared" si="156"/>
        <v>22.61</v>
      </c>
      <c r="D256" s="1">
        <f t="shared" si="156"/>
        <v>29.7</v>
      </c>
      <c r="E256" s="1">
        <f t="shared" si="156"/>
        <v>17.649999999999999</v>
      </c>
      <c r="F256" s="1">
        <f t="shared" si="156"/>
        <v>3.93</v>
      </c>
      <c r="G256" s="1">
        <f t="shared" si="156"/>
        <v>46.75</v>
      </c>
      <c r="H256" s="1">
        <f t="shared" si="156"/>
        <v>11.9</v>
      </c>
      <c r="I256" s="1">
        <f t="shared" si="156"/>
        <v>3.93</v>
      </c>
      <c r="J256" s="1">
        <f t="shared" si="156"/>
        <v>11.9</v>
      </c>
      <c r="K256" s="1">
        <f t="shared" si="156"/>
        <v>3.93</v>
      </c>
      <c r="L256" s="1">
        <f t="shared" si="156"/>
        <v>15.83</v>
      </c>
      <c r="M256" s="1">
        <f t="shared" si="156"/>
        <v>15.83</v>
      </c>
      <c r="N256" s="1">
        <f t="shared" si="156"/>
        <v>11.9</v>
      </c>
      <c r="O256" s="1">
        <f t="shared" si="156"/>
        <v>15.83</v>
      </c>
      <c r="P256" s="1">
        <f t="shared" si="156"/>
        <v>15.83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3" s="1" customFormat="1">
      <c r="A257" s="44" t="str">
        <f>A250</f>
        <v>length</v>
      </c>
      <c r="B257" s="1">
        <f t="shared" ref="B257:P257" si="157">B250</f>
        <v>2.2000000000000002</v>
      </c>
      <c r="C257" s="1">
        <f t="shared" si="157"/>
        <v>2.2000000000000002</v>
      </c>
      <c r="D257" s="1">
        <f t="shared" si="157"/>
        <v>2.2000000000000002</v>
      </c>
      <c r="E257" s="1">
        <f t="shared" si="157"/>
        <v>2.2000000000000002</v>
      </c>
      <c r="F257" s="1">
        <f t="shared" si="157"/>
        <v>2.2000000000000002</v>
      </c>
      <c r="G257" s="1">
        <f t="shared" si="157"/>
        <v>2.2000000000000002</v>
      </c>
      <c r="H257" s="1">
        <f t="shared" si="157"/>
        <v>2.2000000000000002</v>
      </c>
      <c r="I257" s="1">
        <f t="shared" si="157"/>
        <v>2.2000000000000002</v>
      </c>
      <c r="J257" s="1">
        <f t="shared" si="157"/>
        <v>2.2000000000000002</v>
      </c>
      <c r="K257" s="1">
        <f t="shared" si="157"/>
        <v>2.2000000000000002</v>
      </c>
      <c r="L257" s="1">
        <f t="shared" si="157"/>
        <v>2.2000000000000002</v>
      </c>
      <c r="M257" s="1">
        <f t="shared" si="157"/>
        <v>2.2000000000000002</v>
      </c>
      <c r="N257" s="1">
        <f t="shared" si="157"/>
        <v>2.2000000000000002</v>
      </c>
      <c r="O257" s="1">
        <f t="shared" si="157"/>
        <v>2.2000000000000002</v>
      </c>
      <c r="P257" s="1">
        <f t="shared" si="157"/>
        <v>2.2000000000000002</v>
      </c>
      <c r="BS257"/>
      <c r="BT257"/>
      <c r="BU257"/>
    </row>
    <row r="258" spans="1:73" s="1" customFormat="1">
      <c r="A258" s="44" t="str">
        <f>A251</f>
        <v>width</v>
      </c>
      <c r="B258" s="1">
        <f t="shared" ref="B258:P258" si="158">B251</f>
        <v>0.4</v>
      </c>
      <c r="C258" s="1">
        <f t="shared" si="158"/>
        <v>0.4</v>
      </c>
      <c r="D258" s="1">
        <f t="shared" si="158"/>
        <v>0.4</v>
      </c>
      <c r="E258" s="1">
        <f t="shared" si="158"/>
        <v>0.4</v>
      </c>
      <c r="F258" s="1">
        <f t="shared" si="158"/>
        <v>0.4</v>
      </c>
      <c r="G258" s="1">
        <f t="shared" si="158"/>
        <v>0.4</v>
      </c>
      <c r="H258" s="1">
        <f t="shared" si="158"/>
        <v>0.4</v>
      </c>
      <c r="I258" s="1">
        <f t="shared" si="158"/>
        <v>0.4</v>
      </c>
      <c r="J258" s="1">
        <f t="shared" si="158"/>
        <v>0.4</v>
      </c>
      <c r="K258" s="1">
        <f t="shared" si="158"/>
        <v>0.4</v>
      </c>
      <c r="L258" s="1">
        <f t="shared" si="158"/>
        <v>0.4</v>
      </c>
      <c r="M258" s="1">
        <f t="shared" si="158"/>
        <v>0.4</v>
      </c>
      <c r="N258" s="1">
        <f t="shared" si="158"/>
        <v>0.4</v>
      </c>
      <c r="O258" s="1">
        <f t="shared" si="158"/>
        <v>0.4</v>
      </c>
      <c r="P258" s="1">
        <f t="shared" si="158"/>
        <v>0.4</v>
      </c>
      <c r="BS258"/>
      <c r="BT258"/>
      <c r="BU258"/>
    </row>
    <row r="259" spans="1:73" s="1" customFormat="1">
      <c r="B259" s="8">
        <f t="shared" ref="B259:P259" si="159">(B256*B257*2)+(B256*B258)</f>
        <v>225.84</v>
      </c>
      <c r="C259" s="8">
        <f t="shared" si="159"/>
        <v>108.52800000000001</v>
      </c>
      <c r="D259" s="8">
        <f t="shared" si="159"/>
        <v>142.56</v>
      </c>
      <c r="E259" s="8">
        <f t="shared" si="159"/>
        <v>84.72</v>
      </c>
      <c r="F259" s="8">
        <f t="shared" si="159"/>
        <v>18.864000000000001</v>
      </c>
      <c r="G259" s="8">
        <f t="shared" si="159"/>
        <v>224.4</v>
      </c>
      <c r="H259" s="8">
        <f t="shared" si="159"/>
        <v>57.120000000000005</v>
      </c>
      <c r="I259" s="8">
        <f t="shared" si="159"/>
        <v>18.864000000000001</v>
      </c>
      <c r="J259" s="8">
        <f t="shared" si="159"/>
        <v>57.120000000000005</v>
      </c>
      <c r="K259" s="8">
        <f t="shared" si="159"/>
        <v>18.864000000000001</v>
      </c>
      <c r="L259" s="8">
        <f t="shared" si="159"/>
        <v>75.984000000000009</v>
      </c>
      <c r="M259" s="8">
        <f t="shared" si="159"/>
        <v>75.984000000000009</v>
      </c>
      <c r="N259" s="8">
        <f t="shared" si="159"/>
        <v>57.120000000000005</v>
      </c>
      <c r="O259" s="8">
        <f t="shared" si="159"/>
        <v>75.984000000000009</v>
      </c>
      <c r="P259" s="8">
        <f t="shared" si="159"/>
        <v>75.984000000000009</v>
      </c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/>
      <c r="BT259"/>
      <c r="BU259"/>
    </row>
    <row r="260" spans="1:73" s="1" customFormat="1" ht="15.75" thickBot="1"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 s="4"/>
      <c r="BR260"/>
      <c r="BS260"/>
      <c r="BT260"/>
      <c r="BU260"/>
    </row>
    <row r="261" spans="1:73" s="1" customFormat="1" ht="19.5" thickBot="1">
      <c r="B261" s="203" t="s">
        <v>328</v>
      </c>
      <c r="C261" s="203"/>
      <c r="D261" s="203"/>
      <c r="E261" s="203"/>
      <c r="F261" s="50">
        <f>ROUNDUP(SUM(B267:BP267),0)</f>
        <v>46464</v>
      </c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 s="4"/>
      <c r="BR261"/>
      <c r="BS261"/>
      <c r="BT261"/>
      <c r="BU261"/>
    </row>
    <row r="262" spans="1:73" s="1" customFormat="1">
      <c r="C262" s="1" t="s">
        <v>105</v>
      </c>
      <c r="D262" s="1">
        <f>G262*F247</f>
        <v>21296</v>
      </c>
      <c r="G262" s="1">
        <v>88</v>
      </c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 s="4"/>
      <c r="BR262"/>
      <c r="BS262"/>
      <c r="BT262"/>
      <c r="BU262"/>
    </row>
    <row r="263" spans="1:73" s="1" customFormat="1">
      <c r="C263" s="1" t="s">
        <v>70</v>
      </c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 s="4"/>
      <c r="BR263"/>
      <c r="BS263"/>
      <c r="BT263"/>
      <c r="BU263"/>
    </row>
    <row r="264" spans="1:73" s="1" customFormat="1">
      <c r="C264" s="1" t="s">
        <v>71</v>
      </c>
      <c r="D264" s="1">
        <f>G264*F247</f>
        <v>18634</v>
      </c>
      <c r="G264" s="1">
        <v>77</v>
      </c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 s="4"/>
      <c r="BR264"/>
      <c r="BS264"/>
      <c r="BT264"/>
      <c r="BU264"/>
    </row>
    <row r="265" spans="1:73" s="1" customFormat="1">
      <c r="C265" s="1" t="s">
        <v>68</v>
      </c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 s="4"/>
      <c r="BR265"/>
      <c r="BS265"/>
      <c r="BT265"/>
      <c r="BU265"/>
    </row>
    <row r="266" spans="1:73" s="1" customFormat="1">
      <c r="C266" s="1" t="s">
        <v>108</v>
      </c>
      <c r="D266" s="1">
        <f>G266*F247</f>
        <v>6534</v>
      </c>
      <c r="G266" s="1">
        <v>27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 s="4"/>
      <c r="BR266"/>
      <c r="BS266"/>
      <c r="BT266"/>
      <c r="BU266"/>
    </row>
    <row r="267" spans="1:73" s="1" customFormat="1">
      <c r="D267" s="100">
        <f>SUM(D262:D266)</f>
        <v>46464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 s="4"/>
      <c r="BR267"/>
      <c r="BS267"/>
      <c r="BT267"/>
      <c r="BU267"/>
    </row>
    <row r="268" spans="1:73" s="1" customFormat="1">
      <c r="D268" s="100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 s="4"/>
      <c r="BR268"/>
      <c r="BS268"/>
      <c r="BT268"/>
      <c r="BU268"/>
    </row>
    <row r="269" spans="1:73" s="1" customFormat="1">
      <c r="A269" s="1" t="s">
        <v>87</v>
      </c>
      <c r="C269" s="1" t="s">
        <v>105</v>
      </c>
      <c r="D269" s="100"/>
      <c r="E269" s="1" t="s">
        <v>70</v>
      </c>
      <c r="G269" s="1" t="s">
        <v>71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 s="4"/>
      <c r="BR269"/>
      <c r="BS269"/>
      <c r="BT269"/>
      <c r="BU269"/>
    </row>
    <row r="270" spans="1:73" s="1" customFormat="1">
      <c r="A270" s="1" t="s">
        <v>410</v>
      </c>
      <c r="C270" s="1">
        <f>(132*3.7)+(100*4.08)+(32*5.55)</f>
        <v>1074</v>
      </c>
      <c r="D270" s="100"/>
      <c r="E270" s="1">
        <f>(42*3.4)+(34*4.65)+(8*5.25)</f>
        <v>342.9</v>
      </c>
      <c r="G270" s="1">
        <f>(1446*3.2)+(256*4.55)+(1190*5.05)</f>
        <v>11801.5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 s="4"/>
      <c r="BR270"/>
      <c r="BS270"/>
      <c r="BT270"/>
      <c r="BU270"/>
    </row>
    <row r="271" spans="1:73" s="1" customFormat="1">
      <c r="D271" s="100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 s="4"/>
      <c r="BR271"/>
      <c r="BS271"/>
      <c r="BT271"/>
      <c r="BU271"/>
    </row>
    <row r="272" spans="1:73" s="1" customFormat="1">
      <c r="A272" s="1" t="s">
        <v>411</v>
      </c>
      <c r="C272" s="1">
        <f>(86*4.8)+(128*5.55)</f>
        <v>1123.2</v>
      </c>
      <c r="D272" s="100"/>
      <c r="E272" s="1">
        <f>(6*4.65)+(12*5.25)</f>
        <v>90.9</v>
      </c>
      <c r="G272" s="1">
        <f>(272*5.05)+(1060*4.55)</f>
        <v>6196.6</v>
      </c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 s="4"/>
      <c r="BR272"/>
      <c r="BS272"/>
      <c r="BT272"/>
      <c r="BU272"/>
    </row>
    <row r="273" spans="1:73" s="1" customFormat="1">
      <c r="D273" s="100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 s="4"/>
      <c r="BR273"/>
      <c r="BS273"/>
      <c r="BT273"/>
      <c r="BU273"/>
    </row>
    <row r="274" spans="1:73" s="1" customFormat="1">
      <c r="A274" s="1" t="s">
        <v>412</v>
      </c>
      <c r="C274" s="1">
        <f>(130*4.95)+(182*4.2)</f>
        <v>1407.9</v>
      </c>
      <c r="D274" s="100"/>
      <c r="E274" s="1">
        <f>(14*4.65)+(8*4.05)</f>
        <v>97.5</v>
      </c>
      <c r="G274" s="1">
        <f>(164*4.45)+(144*3.95)</f>
        <v>1298.6000000000001</v>
      </c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 s="4"/>
      <c r="BR274"/>
      <c r="BS274"/>
      <c r="BT274"/>
      <c r="BU274"/>
    </row>
    <row r="275" spans="1:73" s="1" customFormat="1">
      <c r="D275" s="100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 s="4"/>
      <c r="BR275"/>
      <c r="BS275"/>
      <c r="BT275"/>
      <c r="BU275"/>
    </row>
    <row r="276" spans="1:73" s="1" customFormat="1">
      <c r="A276" s="1" t="s">
        <v>413</v>
      </c>
      <c r="C276" s="1">
        <f>260*5.2*2</f>
        <v>2704</v>
      </c>
      <c r="D276" s="100"/>
      <c r="E276" s="1">
        <f>58*4.9*2</f>
        <v>568.40000000000009</v>
      </c>
      <c r="G276" s="1">
        <f>258*4.7*2</f>
        <v>2425.2000000000003</v>
      </c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 s="4"/>
      <c r="BR276"/>
      <c r="BS276"/>
      <c r="BT276"/>
      <c r="BU276"/>
    </row>
    <row r="277" spans="1:73" s="1" customFormat="1">
      <c r="D277" s="100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 s="4"/>
      <c r="BR277"/>
      <c r="BS277"/>
      <c r="BT277"/>
      <c r="BU277"/>
    </row>
    <row r="278" spans="1:73" s="1" customFormat="1">
      <c r="D278" s="100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 s="4"/>
      <c r="BR278"/>
      <c r="BS278"/>
      <c r="BT278"/>
      <c r="BU278"/>
    </row>
    <row r="279" spans="1:73" s="1" customFormat="1">
      <c r="D279" s="100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 s="4"/>
      <c r="BR279"/>
      <c r="BS279"/>
      <c r="BT279"/>
      <c r="BU279"/>
    </row>
    <row r="280" spans="1:73" s="1" customFormat="1">
      <c r="D280" s="10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 s="4"/>
      <c r="BR280"/>
      <c r="BS280"/>
      <c r="BT280"/>
      <c r="BU280"/>
    </row>
    <row r="281" spans="1:73" s="1" customFormat="1">
      <c r="D281" s="100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 s="4"/>
      <c r="BR281"/>
      <c r="BS281"/>
      <c r="BT281"/>
      <c r="BU281"/>
    </row>
    <row r="282" spans="1:73" s="1" customFormat="1">
      <c r="D282" s="100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 s="4"/>
      <c r="BR282"/>
      <c r="BS282"/>
      <c r="BT282"/>
      <c r="BU282"/>
    </row>
    <row r="283" spans="1:73" s="1" customFormat="1">
      <c r="D283" s="100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 s="4"/>
      <c r="BR283"/>
      <c r="BS283"/>
      <c r="BT283"/>
      <c r="BU283"/>
    </row>
    <row r="284" spans="1:73" s="1" customFormat="1">
      <c r="D284" s="100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 s="4"/>
      <c r="BR284"/>
      <c r="BS284"/>
      <c r="BT284"/>
      <c r="BU284"/>
    </row>
    <row r="285" spans="1:73" s="1" customFormat="1">
      <c r="D285" s="100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 s="4"/>
      <c r="BR285"/>
      <c r="BS285"/>
      <c r="BT285"/>
      <c r="BU285"/>
    </row>
    <row r="286" spans="1:73" s="1" customFormat="1">
      <c r="D286" s="100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 s="4"/>
      <c r="BR286"/>
      <c r="BS286"/>
      <c r="BT286"/>
      <c r="BU286"/>
    </row>
    <row r="287" spans="1:73" s="1" customFormat="1">
      <c r="D287" s="100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 s="4"/>
      <c r="BR287"/>
      <c r="BS287"/>
      <c r="BT287"/>
      <c r="BU287"/>
    </row>
    <row r="288" spans="1:73" s="1" customFormat="1">
      <c r="D288" s="100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 s="4"/>
      <c r="BR288"/>
      <c r="BS288"/>
      <c r="BT288"/>
      <c r="BU288"/>
    </row>
    <row r="289" spans="1:73" s="1" customFormat="1" ht="45.75" customHeight="1">
      <c r="D289" s="100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 s="4"/>
      <c r="BR289"/>
      <c r="BS289"/>
      <c r="BT289"/>
      <c r="BU289"/>
    </row>
    <row r="290" spans="1:73" s="1" customFormat="1">
      <c r="D290" s="10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 s="4"/>
      <c r="BR290"/>
      <c r="BS290"/>
      <c r="BT290"/>
      <c r="BU290"/>
    </row>
    <row r="291" spans="1:73" s="1" customFormat="1"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 s="4"/>
      <c r="BR291"/>
      <c r="BS291"/>
      <c r="BT291"/>
      <c r="BU291"/>
    </row>
    <row r="292" spans="1:73" s="101" customFormat="1"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3"/>
      <c r="BR292" s="102"/>
      <c r="BS292" s="102"/>
      <c r="BT292" s="102"/>
      <c r="BU292" s="102"/>
    </row>
    <row r="293" spans="1:73" s="1" customFormat="1"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 s="4"/>
      <c r="BR293"/>
      <c r="BS293"/>
      <c r="BT293"/>
      <c r="BU293"/>
    </row>
    <row r="294" spans="1:73" s="1" customFormat="1"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 s="4"/>
      <c r="BR294"/>
      <c r="BS294"/>
      <c r="BT294"/>
      <c r="BU294"/>
    </row>
    <row r="295" spans="1:73" s="1" customFormat="1" ht="15.75" thickBot="1"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 s="4"/>
      <c r="BR295"/>
      <c r="BS295"/>
      <c r="BT295"/>
      <c r="BU295"/>
    </row>
    <row r="296" spans="1:73" s="2" customFormat="1" ht="19.5" thickBot="1">
      <c r="B296" s="203" t="s">
        <v>244</v>
      </c>
      <c r="C296" s="203"/>
      <c r="D296" s="203"/>
      <c r="E296" s="206"/>
      <c r="F296" s="3">
        <f>ROUNDUP(SUM(B303:R303),2)</f>
        <v>85.22</v>
      </c>
      <c r="BQ296"/>
    </row>
    <row r="297" spans="1:73" s="1" customFormat="1">
      <c r="B297" s="1" t="s">
        <v>43</v>
      </c>
      <c r="D297" s="1" t="s">
        <v>44</v>
      </c>
      <c r="F297" s="1" t="s">
        <v>45</v>
      </c>
      <c r="H297" s="1" t="s">
        <v>46</v>
      </c>
      <c r="J297" s="1" t="s">
        <v>47</v>
      </c>
      <c r="L297" s="1" t="s">
        <v>48</v>
      </c>
      <c r="N297" s="1" t="s">
        <v>47</v>
      </c>
      <c r="P297" s="1" t="s">
        <v>47</v>
      </c>
      <c r="R297" s="1" t="s">
        <v>47</v>
      </c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</row>
    <row r="298" spans="1:73">
      <c r="BQ298" s="5"/>
    </row>
    <row r="299" spans="1:73" s="4" customFormat="1" ht="12.75">
      <c r="A299" s="4" t="s">
        <v>49</v>
      </c>
      <c r="B299" s="4">
        <v>1</v>
      </c>
      <c r="D299" s="4">
        <v>1.8</v>
      </c>
      <c r="F299" s="4">
        <v>2</v>
      </c>
      <c r="H299" s="4">
        <v>2</v>
      </c>
      <c r="J299" s="4">
        <v>2</v>
      </c>
      <c r="L299" s="4">
        <v>1.4</v>
      </c>
      <c r="N299" s="4">
        <v>1.2</v>
      </c>
      <c r="P299" s="4">
        <v>1</v>
      </c>
      <c r="R299" s="4">
        <v>2.84</v>
      </c>
      <c r="BQ299" s="5"/>
    </row>
    <row r="300" spans="1:73" s="4" customFormat="1" ht="12.75">
      <c r="A300" s="4" t="s">
        <v>50</v>
      </c>
      <c r="B300" s="4">
        <v>1</v>
      </c>
      <c r="D300" s="4">
        <v>1.8</v>
      </c>
      <c r="F300" s="4">
        <f>F299</f>
        <v>2</v>
      </c>
      <c r="H300" s="4">
        <f>0.765+0.76+1.125</f>
        <v>2.65</v>
      </c>
      <c r="J300" s="4">
        <f>1.125+1.112+1.113</f>
        <v>3.35</v>
      </c>
      <c r="L300" s="4">
        <f>L299</f>
        <v>1.4</v>
      </c>
      <c r="N300" s="4">
        <f>N299</f>
        <v>1.2</v>
      </c>
      <c r="P300" s="4">
        <f>P299</f>
        <v>1</v>
      </c>
      <c r="R300" s="4">
        <v>2.1850000000000001</v>
      </c>
      <c r="BQ300" s="5"/>
    </row>
    <row r="301" spans="1:73" s="1" customFormat="1">
      <c r="A301" s="1" t="s">
        <v>51</v>
      </c>
      <c r="B301" s="4">
        <v>1.6</v>
      </c>
      <c r="D301" s="4">
        <f>B301</f>
        <v>1.6</v>
      </c>
      <c r="F301" s="4">
        <v>1.65</v>
      </c>
      <c r="H301" s="4">
        <f>F301</f>
        <v>1.65</v>
      </c>
      <c r="J301" s="4">
        <f>H301</f>
        <v>1.65</v>
      </c>
      <c r="L301" s="4">
        <v>1.6</v>
      </c>
      <c r="N301" s="4">
        <v>1.6</v>
      </c>
      <c r="P301" s="4">
        <f>N301</f>
        <v>1.6</v>
      </c>
      <c r="R301" s="4">
        <f>J301</f>
        <v>1.65</v>
      </c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 s="5"/>
      <c r="BR301"/>
      <c r="BS301"/>
      <c r="BT301"/>
      <c r="BU301"/>
    </row>
    <row r="302" spans="1:73" s="1" customFormat="1">
      <c r="A302" s="1" t="s">
        <v>52</v>
      </c>
      <c r="B302" s="1">
        <v>4</v>
      </c>
      <c r="D302" s="1">
        <v>3</v>
      </c>
      <c r="F302" s="1">
        <v>1</v>
      </c>
      <c r="H302" s="1">
        <v>1</v>
      </c>
      <c r="J302" s="1">
        <v>1</v>
      </c>
      <c r="L302" s="1">
        <v>10</v>
      </c>
      <c r="N302" s="1">
        <v>1</v>
      </c>
      <c r="P302" s="1">
        <v>2</v>
      </c>
      <c r="R302" s="1">
        <v>0</v>
      </c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 s="5"/>
      <c r="BR302"/>
      <c r="BS302"/>
      <c r="BT302"/>
      <c r="BU302"/>
    </row>
    <row r="303" spans="1:73" s="5" customFormat="1" ht="12.75">
      <c r="B303" s="6">
        <f>B299*B300*B301*B302</f>
        <v>6.4</v>
      </c>
      <c r="D303" s="6">
        <f>D299*D300*D301*D302</f>
        <v>15.552000000000003</v>
      </c>
      <c r="F303" s="6">
        <f>F299*F300*F301*F302</f>
        <v>6.6</v>
      </c>
      <c r="H303" s="6">
        <f>H299*H300*H301*H302</f>
        <v>8.7449999999999992</v>
      </c>
      <c r="J303" s="6">
        <f>J299*J300*J301*J302</f>
        <v>11.055</v>
      </c>
      <c r="L303" s="6">
        <f>L299*L300*L301*L302</f>
        <v>31.359999999999996</v>
      </c>
      <c r="N303" s="6">
        <f>N299*N300*N301*N302</f>
        <v>2.3039999999999998</v>
      </c>
      <c r="P303" s="6">
        <f>P299*P300*P301*P302</f>
        <v>3.2</v>
      </c>
      <c r="R303" s="6">
        <f>R299*R300*R301*R302</f>
        <v>0</v>
      </c>
    </row>
    <row r="304" spans="1:73" s="5" customFormat="1" ht="13.5" thickBot="1">
      <c r="B304" s="7"/>
      <c r="D304" s="7"/>
      <c r="F304" s="7"/>
      <c r="H304" s="7"/>
      <c r="J304" s="7"/>
      <c r="L304" s="7"/>
      <c r="N304" s="7"/>
      <c r="P304" s="7"/>
      <c r="R304" s="7"/>
    </row>
    <row r="305" spans="1:73" s="5" customFormat="1" ht="19.5" thickBot="1">
      <c r="B305" s="203" t="s">
        <v>53</v>
      </c>
      <c r="C305" s="203"/>
      <c r="D305" s="206"/>
      <c r="E305" s="3">
        <f>ROUNDUP(B309,2)</f>
        <v>94.25</v>
      </c>
    </row>
    <row r="306" spans="1:73" s="5" customFormat="1" ht="12.75">
      <c r="A306" s="5" t="s">
        <v>54</v>
      </c>
      <c r="B306" s="8">
        <v>102.7</v>
      </c>
      <c r="G306" s="5" t="s">
        <v>54</v>
      </c>
      <c r="H306" s="8">
        <v>0</v>
      </c>
    </row>
    <row r="307" spans="1:73" s="5" customFormat="1" ht="12.75">
      <c r="A307" s="5" t="s">
        <v>50</v>
      </c>
      <c r="B307" s="5">
        <v>0.69</v>
      </c>
      <c r="G307" s="5" t="s">
        <v>50</v>
      </c>
      <c r="H307" s="5">
        <v>2.25</v>
      </c>
    </row>
    <row r="308" spans="1:73" s="5" customFormat="1" ht="12.75">
      <c r="A308" s="5" t="s">
        <v>51</v>
      </c>
      <c r="B308" s="5">
        <v>1.33</v>
      </c>
      <c r="F308" s="4"/>
      <c r="G308" s="5" t="s">
        <v>51</v>
      </c>
      <c r="H308" s="5">
        <v>0.95</v>
      </c>
      <c r="N308" s="5">
        <f>17.5*20.56</f>
        <v>359.79999999999995</v>
      </c>
    </row>
    <row r="309" spans="1:73" s="5" customFormat="1" ht="12.75">
      <c r="B309" s="6">
        <f>B306*B307*B308</f>
        <v>94.247790000000009</v>
      </c>
      <c r="F309" s="4"/>
      <c r="H309" s="6">
        <f>H306*H307*H308</f>
        <v>0</v>
      </c>
      <c r="J309" s="5">
        <f>B309+H309</f>
        <v>94.247790000000009</v>
      </c>
    </row>
    <row r="310" spans="1:73" s="5" customFormat="1" ht="13.5" thickBot="1">
      <c r="B310" s="7"/>
      <c r="D310" s="7"/>
      <c r="F310" s="7"/>
      <c r="H310" s="7"/>
      <c r="J310" s="7"/>
      <c r="L310" s="7"/>
      <c r="N310" s="7"/>
      <c r="P310" s="7"/>
      <c r="R310" s="7"/>
    </row>
    <row r="311" spans="1:73" s="5" customFormat="1" ht="19.5" thickBot="1">
      <c r="B311" s="203" t="s">
        <v>55</v>
      </c>
      <c r="C311" s="203"/>
      <c r="D311" s="206"/>
      <c r="E311" s="3">
        <f>S312+T312+U312+V312</f>
        <v>489.62200000000001</v>
      </c>
    </row>
    <row r="312" spans="1:73" s="5" customFormat="1" ht="12.75">
      <c r="B312" s="1">
        <f>((B299*B301*2)+(B300*B301*2))*B302</f>
        <v>25.6</v>
      </c>
      <c r="C312" s="1">
        <f t="shared" ref="C312:R312" si="160">((C299*C301*2)+(C300*C301*2))*C302</f>
        <v>0</v>
      </c>
      <c r="D312" s="1">
        <f t="shared" si="160"/>
        <v>34.56</v>
      </c>
      <c r="E312" s="1">
        <f t="shared" si="160"/>
        <v>0</v>
      </c>
      <c r="F312" s="1">
        <f t="shared" si="160"/>
        <v>13.2</v>
      </c>
      <c r="G312" s="1">
        <f t="shared" si="160"/>
        <v>0</v>
      </c>
      <c r="H312" s="1">
        <f>((H299*H301*2)+(H300*H301*2))*H302</f>
        <v>15.344999999999999</v>
      </c>
      <c r="I312" s="1">
        <f t="shared" si="160"/>
        <v>0</v>
      </c>
      <c r="J312" s="1">
        <f t="shared" si="160"/>
        <v>17.655000000000001</v>
      </c>
      <c r="K312" s="1">
        <f t="shared" si="160"/>
        <v>0</v>
      </c>
      <c r="L312" s="1">
        <f t="shared" si="160"/>
        <v>89.6</v>
      </c>
      <c r="M312" s="1">
        <f t="shared" si="160"/>
        <v>0</v>
      </c>
      <c r="N312" s="1">
        <f t="shared" si="160"/>
        <v>7.68</v>
      </c>
      <c r="O312" s="1">
        <f t="shared" si="160"/>
        <v>0</v>
      </c>
      <c r="P312" s="1">
        <f t="shared" si="160"/>
        <v>12.8</v>
      </c>
      <c r="Q312" s="1">
        <f t="shared" si="160"/>
        <v>0</v>
      </c>
      <c r="R312" s="1">
        <f t="shared" si="160"/>
        <v>0</v>
      </c>
      <c r="S312" s="9">
        <f>SUM(B312:R312)</f>
        <v>216.44</v>
      </c>
      <c r="T312" s="5">
        <f>B313</f>
        <v>273.18200000000002</v>
      </c>
      <c r="U312" s="5">
        <f>H313</f>
        <v>0</v>
      </c>
      <c r="V312" s="5">
        <f>K303</f>
        <v>0</v>
      </c>
    </row>
    <row r="313" spans="1:73" s="5" customFormat="1" ht="18.75">
      <c r="B313" s="5">
        <f>B306*B308*2</f>
        <v>273.18200000000002</v>
      </c>
      <c r="D313" s="7"/>
      <c r="F313" s="7"/>
      <c r="H313" s="5">
        <f>H306*H308*2</f>
        <v>0</v>
      </c>
      <c r="J313" s="7"/>
      <c r="L313" s="7"/>
      <c r="N313" s="7"/>
      <c r="P313" s="7"/>
      <c r="R313" s="7"/>
      <c r="BQ313" s="2"/>
    </row>
    <row r="314" spans="1:73" s="5" customFormat="1" ht="15.75" thickBot="1">
      <c r="B314" s="7"/>
      <c r="D314" s="7"/>
      <c r="F314" s="7"/>
      <c r="H314" s="7"/>
      <c r="J314" s="7"/>
      <c r="L314" s="7"/>
      <c r="N314" s="7"/>
      <c r="P314" s="7"/>
      <c r="R314" s="7"/>
      <c r="BQ314"/>
    </row>
    <row r="315" spans="1:73" s="5" customFormat="1" ht="19.5" thickBot="1">
      <c r="B315" s="203" t="s">
        <v>56</v>
      </c>
      <c r="C315" s="203"/>
      <c r="D315" s="203"/>
      <c r="E315" s="3">
        <f>S316+T316+V316+U316</f>
        <v>613.25200000000007</v>
      </c>
      <c r="BQ315"/>
    </row>
    <row r="316" spans="1:73" s="5" customFormat="1" ht="12.75">
      <c r="B316" s="1">
        <f t="shared" ref="B316:R316" si="161">((B299*B301*2)+(B300*B301*2))*B302</f>
        <v>25.6</v>
      </c>
      <c r="C316" s="1">
        <f t="shared" si="161"/>
        <v>0</v>
      </c>
      <c r="D316" s="1">
        <f t="shared" si="161"/>
        <v>34.56</v>
      </c>
      <c r="E316" s="1">
        <f t="shared" si="161"/>
        <v>0</v>
      </c>
      <c r="F316" s="1">
        <f t="shared" si="161"/>
        <v>13.2</v>
      </c>
      <c r="G316" s="1">
        <f t="shared" si="161"/>
        <v>0</v>
      </c>
      <c r="H316" s="1">
        <f t="shared" si="161"/>
        <v>15.344999999999999</v>
      </c>
      <c r="I316" s="1">
        <f t="shared" si="161"/>
        <v>0</v>
      </c>
      <c r="J316" s="1">
        <f t="shared" si="161"/>
        <v>17.655000000000001</v>
      </c>
      <c r="K316" s="1">
        <f t="shared" si="161"/>
        <v>0</v>
      </c>
      <c r="L316" s="1">
        <f t="shared" si="161"/>
        <v>89.6</v>
      </c>
      <c r="M316" s="1">
        <f t="shared" si="161"/>
        <v>0</v>
      </c>
      <c r="N316" s="1">
        <f t="shared" si="161"/>
        <v>7.68</v>
      </c>
      <c r="O316" s="1">
        <f t="shared" si="161"/>
        <v>0</v>
      </c>
      <c r="P316" s="1">
        <f t="shared" si="161"/>
        <v>12.8</v>
      </c>
      <c r="Q316" s="1">
        <f t="shared" si="161"/>
        <v>0</v>
      </c>
      <c r="R316" s="1">
        <f t="shared" si="161"/>
        <v>0</v>
      </c>
      <c r="S316" s="9">
        <f>SUM(B316:R316)</f>
        <v>216.44</v>
      </c>
      <c r="T316" s="5">
        <f>B313</f>
        <v>273.18200000000002</v>
      </c>
      <c r="U316" s="5">
        <f>H313</f>
        <v>0</v>
      </c>
      <c r="V316" s="5">
        <f>E318</f>
        <v>123.63000000000001</v>
      </c>
      <c r="BQ316" s="4"/>
    </row>
    <row r="317" spans="1:73" s="5" customFormat="1" ht="13.5" thickBot="1">
      <c r="BQ317" s="4"/>
    </row>
    <row r="318" spans="1:73" s="2" customFormat="1" ht="19.5" thickBot="1">
      <c r="B318" s="203" t="s">
        <v>57</v>
      </c>
      <c r="C318" s="203"/>
      <c r="D318" s="203"/>
      <c r="E318" s="3">
        <f>ROUNDUP(SUM(B324:T324),2)</f>
        <v>123.63000000000001</v>
      </c>
      <c r="BQ318"/>
    </row>
    <row r="319" spans="1:73" s="1" customFormat="1">
      <c r="B319" s="1" t="s">
        <v>43</v>
      </c>
      <c r="D319" s="1" t="s">
        <v>44</v>
      </c>
      <c r="F319" s="1" t="s">
        <v>45</v>
      </c>
      <c r="H319" s="1" t="s">
        <v>46</v>
      </c>
      <c r="J319" s="1" t="s">
        <v>47</v>
      </c>
      <c r="L319" s="1" t="s">
        <v>48</v>
      </c>
      <c r="N319" s="1" t="s">
        <v>48</v>
      </c>
      <c r="P319" s="1" t="s">
        <v>48</v>
      </c>
      <c r="R319" s="1" t="s">
        <v>48</v>
      </c>
      <c r="T319" s="1" t="s">
        <v>58</v>
      </c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 s="5"/>
      <c r="BR319"/>
      <c r="BS319"/>
      <c r="BT319"/>
      <c r="BU319"/>
    </row>
    <row r="320" spans="1:73" s="1" customFormat="1">
      <c r="B320" s="1">
        <f>B298</f>
        <v>0</v>
      </c>
      <c r="D320" s="1">
        <f>D298</f>
        <v>0</v>
      </c>
      <c r="F320" s="1">
        <f>F298</f>
        <v>0</v>
      </c>
      <c r="H320" s="1">
        <f>H298</f>
        <v>0</v>
      </c>
      <c r="J320" s="1">
        <f>J298</f>
        <v>0</v>
      </c>
      <c r="L320" s="1">
        <f>L298</f>
        <v>0</v>
      </c>
      <c r="N320" s="1">
        <f>N298</f>
        <v>0</v>
      </c>
      <c r="P320" s="1">
        <f>P298</f>
        <v>0</v>
      </c>
      <c r="R320" s="1">
        <f>R298</f>
        <v>0</v>
      </c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</row>
    <row r="321" spans="1:73" s="4" customFormat="1">
      <c r="A321" s="4" t="s">
        <v>49</v>
      </c>
      <c r="B321" s="4">
        <f>B299</f>
        <v>1</v>
      </c>
      <c r="D321" s="4">
        <f>D299</f>
        <v>1.8</v>
      </c>
      <c r="F321" s="4">
        <f>F299</f>
        <v>2</v>
      </c>
      <c r="H321" s="4">
        <f>H299</f>
        <v>2</v>
      </c>
      <c r="J321" s="4">
        <f>J299</f>
        <v>2</v>
      </c>
      <c r="L321" s="4">
        <f>L299</f>
        <v>1.4</v>
      </c>
      <c r="N321" s="4">
        <f>N299</f>
        <v>1.2</v>
      </c>
      <c r="P321" s="4">
        <f>P299</f>
        <v>1</v>
      </c>
      <c r="R321" s="4">
        <f>R299</f>
        <v>2.84</v>
      </c>
      <c r="S321" s="8">
        <f>H457</f>
        <v>0</v>
      </c>
      <c r="T321" s="8">
        <f>B306</f>
        <v>102.7</v>
      </c>
      <c r="BQ321"/>
    </row>
    <row r="322" spans="1:73" s="4" customFormat="1">
      <c r="A322" s="4" t="s">
        <v>50</v>
      </c>
      <c r="B322" s="4">
        <f>B300</f>
        <v>1</v>
      </c>
      <c r="D322" s="4">
        <f>D300</f>
        <v>1.8</v>
      </c>
      <c r="F322" s="4">
        <f>F300</f>
        <v>2</v>
      </c>
      <c r="H322" s="4">
        <f>H300</f>
        <v>2.65</v>
      </c>
      <c r="J322" s="4">
        <f>J300</f>
        <v>3.35</v>
      </c>
      <c r="L322" s="4">
        <f>L300</f>
        <v>1.4</v>
      </c>
      <c r="N322" s="4">
        <f>N300</f>
        <v>1.2</v>
      </c>
      <c r="P322" s="4">
        <f>P300</f>
        <v>1</v>
      </c>
      <c r="R322" s="4">
        <f>R300</f>
        <v>2.1850000000000001</v>
      </c>
      <c r="S322" s="5">
        <f>H307</f>
        <v>2.25</v>
      </c>
      <c r="T322" s="5">
        <v>0.69</v>
      </c>
      <c r="BQ322"/>
    </row>
    <row r="323" spans="1:73" s="1" customFormat="1">
      <c r="A323" s="1" t="s">
        <v>52</v>
      </c>
      <c r="B323" s="1">
        <f>B302</f>
        <v>4</v>
      </c>
      <c r="D323" s="1">
        <f>D302</f>
        <v>3</v>
      </c>
      <c r="F323" s="1">
        <f>F302</f>
        <v>1</v>
      </c>
      <c r="H323" s="1">
        <f>H302</f>
        <v>1</v>
      </c>
      <c r="J323" s="1">
        <f>J302</f>
        <v>1</v>
      </c>
      <c r="L323" s="1">
        <f>L302</f>
        <v>10</v>
      </c>
      <c r="N323" s="1">
        <f>N302</f>
        <v>1</v>
      </c>
      <c r="P323" s="1">
        <f>P302</f>
        <v>2</v>
      </c>
      <c r="R323" s="1">
        <f>R302</f>
        <v>0</v>
      </c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 s="5"/>
      <c r="BR323"/>
      <c r="BS323"/>
      <c r="BT323"/>
      <c r="BU323"/>
    </row>
    <row r="324" spans="1:73" s="5" customFormat="1">
      <c r="B324" s="6">
        <f>B321*B322*B323</f>
        <v>4</v>
      </c>
      <c r="D324" s="6">
        <f>D321*D322*D323</f>
        <v>9.7200000000000006</v>
      </c>
      <c r="F324" s="6">
        <f>F321*F322*F323</f>
        <v>4</v>
      </c>
      <c r="H324" s="6">
        <f>H321*H322*H323</f>
        <v>5.3</v>
      </c>
      <c r="J324" s="6">
        <f>J321*J322*J323</f>
        <v>6.7</v>
      </c>
      <c r="L324" s="6">
        <f>L321*L322*L323</f>
        <v>19.599999999999998</v>
      </c>
      <c r="N324" s="6">
        <f>N321*N322*N323</f>
        <v>1.44</v>
      </c>
      <c r="P324" s="6">
        <f>P321*P322*P323</f>
        <v>2</v>
      </c>
      <c r="R324" s="6">
        <f>R321*R322*R323</f>
        <v>0</v>
      </c>
      <c r="S324" s="6">
        <f>S321*S322</f>
        <v>0</v>
      </c>
      <c r="T324" s="6">
        <f>T321*T322</f>
        <v>70.863</v>
      </c>
      <c r="BQ324"/>
    </row>
    <row r="326" spans="1:73" s="1" customFormat="1" ht="15.75" thickBot="1"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 s="4"/>
      <c r="BR326"/>
      <c r="BS326"/>
      <c r="BT326"/>
      <c r="BU326"/>
    </row>
    <row r="327" spans="1:73" s="1" customFormat="1" ht="19.5" thickBot="1">
      <c r="B327" s="203" t="s">
        <v>59</v>
      </c>
      <c r="C327" s="203"/>
      <c r="D327" s="203"/>
      <c r="E327" s="3">
        <f>ROUNDUP(SUM(B334:T334),2)</f>
        <v>123.63000000000001</v>
      </c>
      <c r="F327" s="10" t="s">
        <v>60</v>
      </c>
      <c r="G327" s="11">
        <f>E327*0.05</f>
        <v>6.1815000000000007</v>
      </c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 s="4"/>
      <c r="BR327"/>
      <c r="BS327"/>
      <c r="BT327"/>
      <c r="BU327"/>
    </row>
    <row r="328" spans="1:73" s="5" customFormat="1">
      <c r="B328" s="5" t="s">
        <v>42</v>
      </c>
      <c r="D328" s="5" t="s">
        <v>59</v>
      </c>
      <c r="BQ328"/>
    </row>
    <row r="329" spans="1:73" s="1" customFormat="1">
      <c r="B329" s="1" t="s">
        <v>43</v>
      </c>
      <c r="D329" s="1" t="s">
        <v>44</v>
      </c>
      <c r="F329" s="1" t="s">
        <v>45</v>
      </c>
      <c r="H329" s="1" t="s">
        <v>46</v>
      </c>
      <c r="J329" s="1" t="s">
        <v>47</v>
      </c>
      <c r="L329" s="1" t="s">
        <v>48</v>
      </c>
      <c r="N329" s="1" t="s">
        <v>44</v>
      </c>
      <c r="P329" s="1" t="s">
        <v>44</v>
      </c>
      <c r="R329" s="1" t="s">
        <v>44</v>
      </c>
      <c r="T329" s="1" t="s">
        <v>58</v>
      </c>
      <c r="U329" s="5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 s="5"/>
      <c r="BR329"/>
      <c r="BS329"/>
      <c r="BT329"/>
      <c r="BU329"/>
    </row>
    <row r="330" spans="1:73" s="1" customFormat="1">
      <c r="B330" s="1">
        <f>B298</f>
        <v>0</v>
      </c>
      <c r="D330" s="1">
        <f>D298</f>
        <v>0</v>
      </c>
      <c r="F330" s="1">
        <f>F298</f>
        <v>0</v>
      </c>
      <c r="H330" s="1">
        <f>H298</f>
        <v>0</v>
      </c>
      <c r="J330" s="1">
        <f>J298</f>
        <v>0</v>
      </c>
      <c r="L330" s="1">
        <f>L298</f>
        <v>0</v>
      </c>
      <c r="N330" s="1">
        <f>N298</f>
        <v>0</v>
      </c>
      <c r="P330" s="1">
        <f>P298</f>
        <v>0</v>
      </c>
      <c r="R330" s="1">
        <f>R298</f>
        <v>0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</row>
    <row r="331" spans="1:73" s="4" customFormat="1" ht="12.75">
      <c r="A331" s="4" t="s">
        <v>49</v>
      </c>
      <c r="B331" s="4">
        <f>B299</f>
        <v>1</v>
      </c>
      <c r="D331" s="4">
        <f>D299</f>
        <v>1.8</v>
      </c>
      <c r="F331" s="4">
        <f>F299</f>
        <v>2</v>
      </c>
      <c r="H331" s="4">
        <f>H299</f>
        <v>2</v>
      </c>
      <c r="J331" s="4">
        <f>J299</f>
        <v>2</v>
      </c>
      <c r="L331" s="4">
        <f>L299</f>
        <v>1.4</v>
      </c>
      <c r="N331" s="4">
        <f>N299</f>
        <v>1.2</v>
      </c>
      <c r="P331" s="4">
        <f>P299</f>
        <v>1</v>
      </c>
      <c r="R331" s="4">
        <f>R299</f>
        <v>2.84</v>
      </c>
      <c r="T331" s="8">
        <f>T321</f>
        <v>102.7</v>
      </c>
      <c r="BQ331" s="5"/>
    </row>
    <row r="332" spans="1:73" s="4" customFormat="1" ht="12.75">
      <c r="A332" s="4" t="s">
        <v>50</v>
      </c>
      <c r="B332" s="4">
        <f>B300</f>
        <v>1</v>
      </c>
      <c r="D332" s="4">
        <f>D300</f>
        <v>1.8</v>
      </c>
      <c r="F332" s="4">
        <f>F300</f>
        <v>2</v>
      </c>
      <c r="H332" s="4">
        <f>H300</f>
        <v>2.65</v>
      </c>
      <c r="J332" s="4">
        <f>J300</f>
        <v>3.35</v>
      </c>
      <c r="L332" s="4">
        <f>L300</f>
        <v>1.4</v>
      </c>
      <c r="N332" s="4">
        <f>N300</f>
        <v>1.2</v>
      </c>
      <c r="P332" s="4">
        <f>P300</f>
        <v>1</v>
      </c>
      <c r="R332" s="4">
        <f>R300</f>
        <v>2.1850000000000001</v>
      </c>
      <c r="T332" s="5">
        <v>0.69</v>
      </c>
      <c r="BQ332" s="5"/>
    </row>
    <row r="333" spans="1:73" s="1" customFormat="1">
      <c r="A333" s="1" t="s">
        <v>52</v>
      </c>
      <c r="B333" s="1">
        <f>B302</f>
        <v>4</v>
      </c>
      <c r="D333" s="1">
        <f>D302</f>
        <v>3</v>
      </c>
      <c r="F333" s="1">
        <f>F302</f>
        <v>1</v>
      </c>
      <c r="H333" s="1">
        <f>H302</f>
        <v>1</v>
      </c>
      <c r="J333" s="1">
        <f>J302</f>
        <v>1</v>
      </c>
      <c r="L333" s="1">
        <f>L302</f>
        <v>10</v>
      </c>
      <c r="N333" s="1">
        <f>N302</f>
        <v>1</v>
      </c>
      <c r="P333" s="1">
        <f>P302</f>
        <v>2</v>
      </c>
      <c r="R333" s="1">
        <f>R302</f>
        <v>0</v>
      </c>
      <c r="T333" s="1">
        <v>1</v>
      </c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 s="5"/>
      <c r="BR333"/>
      <c r="BS333"/>
      <c r="BT333"/>
      <c r="BU333"/>
    </row>
    <row r="334" spans="1:73" s="5" customFormat="1" ht="12.75">
      <c r="B334" s="6">
        <f>B331*B332*B333</f>
        <v>4</v>
      </c>
      <c r="D334" s="6">
        <f>D331*D332*D333</f>
        <v>9.7200000000000006</v>
      </c>
      <c r="F334" s="6">
        <f>F331*F332*F333</f>
        <v>4</v>
      </c>
      <c r="H334" s="6">
        <f>H331*H332*H333</f>
        <v>5.3</v>
      </c>
      <c r="J334" s="6">
        <f>J331*J332*J333</f>
        <v>6.7</v>
      </c>
      <c r="L334" s="6">
        <f>L331*L332*L333</f>
        <v>19.599999999999998</v>
      </c>
      <c r="N334" s="6">
        <f>N331*N332*N333</f>
        <v>1.44</v>
      </c>
      <c r="P334" s="6">
        <f>P331*P332*P333</f>
        <v>2</v>
      </c>
      <c r="R334" s="6">
        <f>R331*R332*R333</f>
        <v>0</v>
      </c>
      <c r="T334" s="6">
        <f>T331*T332*T333</f>
        <v>70.863</v>
      </c>
    </row>
    <row r="335" spans="1:73" s="1" customFormat="1" ht="15.75" thickBot="1"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 s="5"/>
      <c r="BR335"/>
      <c r="BS335"/>
      <c r="BT335"/>
      <c r="BU335"/>
    </row>
    <row r="336" spans="1:73" s="5" customFormat="1" ht="19.5" thickBot="1">
      <c r="B336" s="203" t="s">
        <v>61</v>
      </c>
      <c r="C336" s="203"/>
      <c r="D336" s="203"/>
      <c r="E336" s="206"/>
      <c r="F336" s="3">
        <f>ROUNDUP(B340,2)</f>
        <v>16.3</v>
      </c>
    </row>
    <row r="337" spans="1:73" s="5" customFormat="1" ht="12.75">
      <c r="A337" s="5" t="s">
        <v>54</v>
      </c>
      <c r="B337" s="8">
        <f>B306</f>
        <v>102.7</v>
      </c>
    </row>
    <row r="338" spans="1:73" s="5" customFormat="1">
      <c r="A338" s="5" t="s">
        <v>50</v>
      </c>
      <c r="B338" s="5">
        <f>B307</f>
        <v>0.69</v>
      </c>
      <c r="BQ338"/>
    </row>
    <row r="339" spans="1:73" s="5" customFormat="1">
      <c r="A339" s="5" t="s">
        <v>51</v>
      </c>
      <c r="B339" s="5">
        <v>0.23</v>
      </c>
      <c r="BQ339"/>
    </row>
    <row r="340" spans="1:73" s="5" customFormat="1">
      <c r="B340" s="6">
        <f>B337*B338*B339</f>
        <v>16.298490000000001</v>
      </c>
      <c r="BQ340"/>
    </row>
    <row r="341" spans="1:73" s="5" customFormat="1" ht="12.75"/>
    <row r="342" spans="1:73" s="5" customFormat="1" ht="13.5" thickBot="1"/>
    <row r="343" spans="1:73" s="1" customFormat="1" ht="19.5" thickBot="1">
      <c r="B343" s="203" t="s">
        <v>62</v>
      </c>
      <c r="C343" s="203"/>
      <c r="D343" s="206"/>
      <c r="E343" s="3">
        <f>D344*D345</f>
        <v>32.159999999999997</v>
      </c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 s="5"/>
      <c r="BR343"/>
      <c r="BS343"/>
      <c r="BT343"/>
      <c r="BU343"/>
    </row>
    <row r="344" spans="1:73" s="1" customFormat="1">
      <c r="C344" s="1" t="s">
        <v>63</v>
      </c>
      <c r="D344" s="1">
        <v>214.4</v>
      </c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</row>
    <row r="345" spans="1:73" s="1" customFormat="1">
      <c r="C345" s="1" t="s">
        <v>64</v>
      </c>
      <c r="D345" s="1">
        <v>0.15</v>
      </c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</row>
    <row r="346" spans="1:73" s="5" customFormat="1" ht="12.75">
      <c r="C346" s="5" t="s">
        <v>65</v>
      </c>
      <c r="D346" s="5">
        <v>64.400000000000006</v>
      </c>
      <c r="BQ346" s="4"/>
    </row>
    <row r="347" spans="1:73" s="5" customFormat="1" ht="13.5" thickBot="1">
      <c r="BQ347" s="4"/>
    </row>
    <row r="348" spans="1:73" s="5" customFormat="1" ht="19.5" thickBot="1">
      <c r="B348" s="203" t="s">
        <v>66</v>
      </c>
      <c r="C348" s="203"/>
      <c r="D348" s="203"/>
      <c r="E348" s="203"/>
      <c r="F348" s="3">
        <f>B355+D355+F355+H355+J355+L355+N355+P355+R355</f>
        <v>19.952000000000002</v>
      </c>
      <c r="BQ348"/>
    </row>
    <row r="349" spans="1:73" s="1" customFormat="1">
      <c r="B349" s="1" t="s">
        <v>43</v>
      </c>
      <c r="D349" s="1" t="s">
        <v>44</v>
      </c>
      <c r="F349" s="1" t="s">
        <v>45</v>
      </c>
      <c r="H349" s="1" t="s">
        <v>46</v>
      </c>
      <c r="J349" s="1" t="s">
        <v>47</v>
      </c>
      <c r="L349" s="1" t="s">
        <v>48</v>
      </c>
      <c r="N349" s="1" t="s">
        <v>48</v>
      </c>
      <c r="P349" s="1" t="s">
        <v>48</v>
      </c>
      <c r="R349" s="1" t="s">
        <v>48</v>
      </c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</row>
    <row r="350" spans="1:73" s="1" customFormat="1">
      <c r="B350" s="1">
        <f>B298</f>
        <v>0</v>
      </c>
      <c r="D350" s="1">
        <f>D298</f>
        <v>0</v>
      </c>
      <c r="F350" s="1">
        <f>F298</f>
        <v>0</v>
      </c>
      <c r="H350" s="1">
        <f>H298</f>
        <v>0</v>
      </c>
      <c r="J350" s="1">
        <f>J298</f>
        <v>0</v>
      </c>
      <c r="L350" s="1">
        <f>L298</f>
        <v>0</v>
      </c>
      <c r="N350" s="1">
        <f>N298</f>
        <v>0</v>
      </c>
      <c r="P350" s="1">
        <f>P298</f>
        <v>0</v>
      </c>
      <c r="R350" s="1">
        <f>R298</f>
        <v>0</v>
      </c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 s="5"/>
      <c r="BR350"/>
      <c r="BS350"/>
      <c r="BT350"/>
      <c r="BU350"/>
    </row>
    <row r="351" spans="1:73" s="4" customFormat="1" ht="12.75">
      <c r="A351" s="4" t="s">
        <v>49</v>
      </c>
      <c r="B351" s="4">
        <f>B299</f>
        <v>1</v>
      </c>
      <c r="D351" s="4">
        <f>D299</f>
        <v>1.8</v>
      </c>
      <c r="F351" s="4">
        <f>F299</f>
        <v>2</v>
      </c>
      <c r="H351" s="4">
        <f>H299</f>
        <v>2</v>
      </c>
      <c r="J351" s="4">
        <f>J299</f>
        <v>2</v>
      </c>
      <c r="L351" s="4">
        <f>L299</f>
        <v>1.4</v>
      </c>
      <c r="N351" s="4">
        <f>N299</f>
        <v>1.2</v>
      </c>
      <c r="P351" s="4">
        <f>P299</f>
        <v>1</v>
      </c>
      <c r="R351" s="4">
        <f>R299</f>
        <v>2.84</v>
      </c>
      <c r="BQ351" s="5"/>
    </row>
    <row r="352" spans="1:73" s="4" customFormat="1" ht="12.75">
      <c r="A352" s="4" t="s">
        <v>50</v>
      </c>
      <c r="B352" s="4">
        <f>B300</f>
        <v>1</v>
      </c>
      <c r="D352" s="4">
        <f>D300</f>
        <v>1.8</v>
      </c>
      <c r="F352" s="4">
        <f>F300</f>
        <v>2</v>
      </c>
      <c r="H352" s="4">
        <f>H300</f>
        <v>2.65</v>
      </c>
      <c r="J352" s="4">
        <f>J300</f>
        <v>3.35</v>
      </c>
      <c r="L352" s="4">
        <f>L300</f>
        <v>1.4</v>
      </c>
      <c r="N352" s="4">
        <f>N300</f>
        <v>1.2</v>
      </c>
      <c r="P352" s="4">
        <f>P300</f>
        <v>1</v>
      </c>
      <c r="R352" s="4">
        <f>R300</f>
        <v>2.1850000000000001</v>
      </c>
      <c r="BQ352" s="5"/>
    </row>
    <row r="353" spans="1:73" s="1" customFormat="1">
      <c r="A353" s="1" t="s">
        <v>51</v>
      </c>
      <c r="B353" s="4">
        <v>0.4</v>
      </c>
      <c r="D353" s="4">
        <v>0.4</v>
      </c>
      <c r="F353" s="4">
        <v>0.4</v>
      </c>
      <c r="H353" s="4">
        <v>0.4</v>
      </c>
      <c r="J353" s="4">
        <v>0.4</v>
      </c>
      <c r="L353" s="4">
        <v>0.35</v>
      </c>
      <c r="N353" s="4">
        <f>L353</f>
        <v>0.35</v>
      </c>
      <c r="P353" s="4">
        <f>N353</f>
        <v>0.35</v>
      </c>
      <c r="R353" s="4">
        <v>0.4</v>
      </c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</row>
    <row r="354" spans="1:73" s="1" customFormat="1">
      <c r="A354" s="1" t="s">
        <v>52</v>
      </c>
      <c r="B354" s="1">
        <f>B302</f>
        <v>4</v>
      </c>
      <c r="D354" s="1">
        <f>D302</f>
        <v>3</v>
      </c>
      <c r="F354" s="1">
        <f>F302</f>
        <v>1</v>
      </c>
      <c r="H354" s="1">
        <f>H302</f>
        <v>1</v>
      </c>
      <c r="J354" s="1">
        <f>J302</f>
        <v>1</v>
      </c>
      <c r="L354" s="1">
        <f>L302</f>
        <v>10</v>
      </c>
      <c r="N354" s="1">
        <f>N302</f>
        <v>1</v>
      </c>
      <c r="P354" s="1">
        <f>P302</f>
        <v>2</v>
      </c>
      <c r="R354" s="1">
        <f>R302</f>
        <v>0</v>
      </c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 s="4"/>
      <c r="BR354"/>
      <c r="BS354"/>
      <c r="BT354"/>
      <c r="BU354"/>
    </row>
    <row r="355" spans="1:73" s="5" customFormat="1">
      <c r="B355" s="6">
        <f>B351*B352*B353*B354</f>
        <v>1.6</v>
      </c>
      <c r="D355" s="6">
        <f>D351*D352*D353*D354</f>
        <v>3.8880000000000008</v>
      </c>
      <c r="F355" s="6">
        <f>F351*F352*F353*F354</f>
        <v>1.6</v>
      </c>
      <c r="H355" s="6">
        <f>H351*H352*H353*H354</f>
        <v>2.12</v>
      </c>
      <c r="J355" s="6">
        <f>J351*J352*J353*J354</f>
        <v>2.68</v>
      </c>
      <c r="L355" s="6">
        <f>L351*L352*L353*L354</f>
        <v>6.8599999999999985</v>
      </c>
      <c r="N355" s="6">
        <f>N351*N352*N353*N354</f>
        <v>0.504</v>
      </c>
      <c r="P355" s="6">
        <f>P351*P352*P353*P354</f>
        <v>0.7</v>
      </c>
      <c r="R355" s="6">
        <f>R351*R352*R353*R354</f>
        <v>0</v>
      </c>
      <c r="BQ355"/>
    </row>
    <row r="356" spans="1:73" s="5" customFormat="1" ht="12.75">
      <c r="BQ356" s="4"/>
    </row>
    <row r="357" spans="1:73" s="5" customFormat="1" ht="18.75">
      <c r="B357" s="203" t="s">
        <v>67</v>
      </c>
      <c r="C357" s="203"/>
      <c r="D357" s="203"/>
      <c r="E357" s="203"/>
      <c r="BQ357"/>
    </row>
    <row r="358" spans="1:73" s="1" customFormat="1">
      <c r="B358" s="1" t="s">
        <v>43</v>
      </c>
      <c r="D358" s="1" t="s">
        <v>44</v>
      </c>
      <c r="F358" s="1" t="s">
        <v>45</v>
      </c>
      <c r="H358" s="1" t="s">
        <v>46</v>
      </c>
      <c r="J358" s="1" t="s">
        <v>47</v>
      </c>
      <c r="L358" s="1" t="s">
        <v>48</v>
      </c>
      <c r="N358" s="1" t="s">
        <v>48</v>
      </c>
      <c r="P358" s="1" t="s">
        <v>48</v>
      </c>
      <c r="R358" s="1" t="s">
        <v>48</v>
      </c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 s="5"/>
      <c r="BR358"/>
      <c r="BS358"/>
      <c r="BT358"/>
      <c r="BU358"/>
    </row>
    <row r="359" spans="1:73" s="4" customFormat="1">
      <c r="A359" s="4" t="s">
        <v>49</v>
      </c>
      <c r="B359" s="4">
        <v>2.0499999999999998</v>
      </c>
      <c r="D359" s="4">
        <v>2.15</v>
      </c>
      <c r="F359" s="4">
        <v>2.37</v>
      </c>
      <c r="H359" s="4">
        <v>2.4</v>
      </c>
      <c r="J359" s="4">
        <v>2.41</v>
      </c>
      <c r="K359" s="1"/>
      <c r="L359" s="1">
        <v>1.8</v>
      </c>
      <c r="N359" s="1">
        <v>1.6</v>
      </c>
      <c r="P359" s="1">
        <v>1.4</v>
      </c>
      <c r="R359" s="1">
        <v>3.09</v>
      </c>
      <c r="BQ359"/>
    </row>
    <row r="360" spans="1:73" s="1" customFormat="1">
      <c r="A360" s="1" t="s">
        <v>52</v>
      </c>
      <c r="B360" s="1">
        <v>8</v>
      </c>
      <c r="D360" s="1">
        <v>10</v>
      </c>
      <c r="F360" s="1">
        <v>12</v>
      </c>
      <c r="H360" s="1">
        <v>13</v>
      </c>
      <c r="J360" s="1">
        <v>16</v>
      </c>
      <c r="L360" s="1">
        <v>7</v>
      </c>
      <c r="N360" s="1">
        <v>6</v>
      </c>
      <c r="P360" s="1">
        <v>5</v>
      </c>
      <c r="R360" s="1">
        <v>22</v>
      </c>
      <c r="T360" s="10"/>
      <c r="U360" s="1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</row>
    <row r="361" spans="1:73" s="4" customFormat="1" ht="12.75">
      <c r="A361" s="4" t="s">
        <v>50</v>
      </c>
      <c r="B361" s="4">
        <f>B359</f>
        <v>2.0499999999999998</v>
      </c>
      <c r="D361" s="4">
        <f>D359</f>
        <v>2.15</v>
      </c>
      <c r="F361" s="4">
        <f>F359</f>
        <v>2.37</v>
      </c>
      <c r="H361" s="4">
        <v>3.1</v>
      </c>
      <c r="J361" s="4">
        <v>3.8</v>
      </c>
      <c r="L361" s="4">
        <f>L359</f>
        <v>1.8</v>
      </c>
      <c r="N361" s="4">
        <f>N359</f>
        <v>1.6</v>
      </c>
      <c r="P361" s="4">
        <f>P359</f>
        <v>1.4</v>
      </c>
      <c r="R361" s="4">
        <v>2.44</v>
      </c>
      <c r="T361" s="5"/>
      <c r="U361" s="5"/>
      <c r="BQ361" s="5"/>
    </row>
    <row r="362" spans="1:73" s="1" customFormat="1">
      <c r="A362" s="1" t="s">
        <v>52</v>
      </c>
      <c r="B362" s="1">
        <f>B360</f>
        <v>8</v>
      </c>
      <c r="D362" s="1">
        <v>8</v>
      </c>
      <c r="F362" s="1">
        <f>F360</f>
        <v>12</v>
      </c>
      <c r="H362" s="12">
        <v>10</v>
      </c>
      <c r="J362" s="12">
        <v>10</v>
      </c>
      <c r="L362" s="1">
        <v>7</v>
      </c>
      <c r="N362" s="12">
        <f>N360</f>
        <v>6</v>
      </c>
      <c r="P362" s="12">
        <f>P360</f>
        <v>5</v>
      </c>
      <c r="R362" s="12">
        <v>28</v>
      </c>
      <c r="T362" s="5"/>
      <c r="U362" s="5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 s="5"/>
      <c r="BR362"/>
      <c r="BS362"/>
      <c r="BT362"/>
      <c r="BU362"/>
    </row>
    <row r="363" spans="1:73" s="5" customFormat="1" ht="12.75">
      <c r="B363" s="5">
        <f>(B359*B360)+(B361*B362)</f>
        <v>32.799999999999997</v>
      </c>
      <c r="D363" s="5">
        <f>(D359*D360)+(D361*D362)</f>
        <v>38.700000000000003</v>
      </c>
      <c r="F363" s="5">
        <f>(F359*F360)+(F361*F362)</f>
        <v>56.88</v>
      </c>
      <c r="H363" s="5">
        <f>(H359*H360)+(H361*H362)</f>
        <v>62.2</v>
      </c>
      <c r="J363" s="5">
        <f>(J359*J360)+(J361*J362)</f>
        <v>76.56</v>
      </c>
      <c r="L363" s="5">
        <f>(L359*L360)+(L361*L362)</f>
        <v>25.2</v>
      </c>
      <c r="N363" s="5">
        <f>(N359*N360)+(N361*N362)</f>
        <v>19.200000000000003</v>
      </c>
      <c r="P363" s="5">
        <f>(P359*P360)+(P361*P362)</f>
        <v>14</v>
      </c>
      <c r="R363" s="5">
        <f>(R359*R360)+(R361*R362)</f>
        <v>136.29999999999998</v>
      </c>
    </row>
    <row r="364" spans="1:73" s="1" customFormat="1">
      <c r="A364" s="1" t="s">
        <v>52</v>
      </c>
      <c r="B364" s="1">
        <f>B354</f>
        <v>4</v>
      </c>
      <c r="D364" s="1">
        <f>D354</f>
        <v>3</v>
      </c>
      <c r="F364" s="1">
        <f>F354</f>
        <v>1</v>
      </c>
      <c r="H364" s="1">
        <f>H354</f>
        <v>1</v>
      </c>
      <c r="J364" s="1">
        <f>J354</f>
        <v>1</v>
      </c>
      <c r="L364" s="1">
        <v>10</v>
      </c>
      <c r="N364" s="1">
        <v>1</v>
      </c>
      <c r="P364" s="1">
        <f>P354</f>
        <v>2</v>
      </c>
      <c r="R364" s="1">
        <f>R354</f>
        <v>0</v>
      </c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 s="5"/>
      <c r="BR364"/>
      <c r="BS364"/>
      <c r="BT364"/>
      <c r="BU364"/>
    </row>
    <row r="365" spans="1:73" s="1" customFormat="1">
      <c r="B365" s="1" t="s">
        <v>68</v>
      </c>
      <c r="C365" s="1" t="s">
        <v>69</v>
      </c>
      <c r="D365" s="1" t="s">
        <v>68</v>
      </c>
      <c r="E365" s="1" t="s">
        <v>68</v>
      </c>
      <c r="F365" s="1" t="s">
        <v>68</v>
      </c>
      <c r="G365" s="1" t="s">
        <v>68</v>
      </c>
      <c r="H365" s="1" t="s">
        <v>68</v>
      </c>
      <c r="I365" s="1" t="s">
        <v>68</v>
      </c>
      <c r="J365" s="1" t="s">
        <v>68</v>
      </c>
      <c r="K365" s="1" t="s">
        <v>68</v>
      </c>
      <c r="L365" s="1" t="s">
        <v>68</v>
      </c>
      <c r="M365" s="1" t="s">
        <v>68</v>
      </c>
      <c r="N365" s="1" t="s">
        <v>68</v>
      </c>
      <c r="O365" s="1" t="s">
        <v>68</v>
      </c>
      <c r="P365" s="1" t="s">
        <v>68</v>
      </c>
      <c r="Q365" s="1" t="s">
        <v>68</v>
      </c>
      <c r="R365" s="1" t="s">
        <v>68</v>
      </c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 s="5"/>
      <c r="BR365"/>
      <c r="BS365"/>
      <c r="BT365"/>
      <c r="BU365"/>
    </row>
    <row r="366" spans="1:73" s="5" customFormat="1" ht="12.75">
      <c r="B366" s="5">
        <f>B363*B364</f>
        <v>131.19999999999999</v>
      </c>
      <c r="D366" s="5">
        <f>D363*D364</f>
        <v>116.10000000000001</v>
      </c>
      <c r="F366" s="5">
        <f>F363*F364</f>
        <v>56.88</v>
      </c>
      <c r="H366" s="5">
        <f>H363*H364</f>
        <v>62.2</v>
      </c>
      <c r="J366" s="5">
        <f>J363*J364</f>
        <v>76.56</v>
      </c>
      <c r="L366" s="5">
        <f>L363*L364</f>
        <v>252</v>
      </c>
      <c r="N366" s="5">
        <f>N363*N364</f>
        <v>19.200000000000003</v>
      </c>
      <c r="P366" s="5">
        <f>P363*P364</f>
        <v>28</v>
      </c>
      <c r="R366" s="5">
        <f>R363*R364</f>
        <v>0</v>
      </c>
    </row>
    <row r="367" spans="1:73" s="5" customFormat="1" ht="13.5" thickBot="1"/>
    <row r="368" spans="1:73" s="5" customFormat="1" ht="16.5" thickBot="1">
      <c r="C368" s="13" t="s">
        <v>70</v>
      </c>
      <c r="D368" s="14"/>
      <c r="E368" s="15">
        <f>D368*2.467</f>
        <v>0</v>
      </c>
    </row>
    <row r="369" spans="1:73" s="5" customFormat="1" ht="16.5" thickBot="1">
      <c r="C369" s="13" t="s">
        <v>71</v>
      </c>
      <c r="D369" s="14"/>
      <c r="E369" s="16">
        <f>D369*1.579</f>
        <v>0</v>
      </c>
      <c r="BQ369"/>
    </row>
    <row r="370" spans="1:73" s="5" customFormat="1" ht="16.5" thickBot="1">
      <c r="C370" s="13" t="s">
        <v>68</v>
      </c>
      <c r="D370" s="14">
        <f>SUM(B366:P366)</f>
        <v>742.1400000000001</v>
      </c>
      <c r="E370" s="17">
        <f>D370*0.888</f>
        <v>659.02032000000008</v>
      </c>
      <c r="BQ370"/>
    </row>
    <row r="371" spans="1:73" s="5" customFormat="1" ht="13.5" thickBot="1">
      <c r="BQ371" s="4"/>
    </row>
    <row r="372" spans="1:73" s="5" customFormat="1" ht="19.5" thickBot="1">
      <c r="B372" s="203" t="s">
        <v>72</v>
      </c>
      <c r="C372" s="203"/>
      <c r="D372" s="203"/>
      <c r="E372" s="203"/>
      <c r="F372" s="3">
        <f>ROUNDUP(SUM(B380:R380),2)</f>
        <v>50.32</v>
      </c>
      <c r="BQ372" s="4"/>
    </row>
    <row r="373" spans="1:73" s="5" customFormat="1">
      <c r="F373" s="18"/>
      <c r="BQ373"/>
    </row>
    <row r="374" spans="1:73" s="1" customFormat="1">
      <c r="B374" s="1" t="s">
        <v>43</v>
      </c>
      <c r="D374" s="1" t="s">
        <v>44</v>
      </c>
      <c r="F374" s="1" t="s">
        <v>45</v>
      </c>
      <c r="H374" s="1" t="s">
        <v>46</v>
      </c>
      <c r="J374" s="1" t="str">
        <f>J358</f>
        <v>TYPE 5</v>
      </c>
      <c r="L374" s="1" t="str">
        <f>L358</f>
        <v>TYPE 6</v>
      </c>
      <c r="N374" s="1" t="str">
        <f>N358</f>
        <v>TYPE 6</v>
      </c>
      <c r="O374" s="5"/>
      <c r="P374" s="1" t="str">
        <f>P358</f>
        <v>TYPE 6</v>
      </c>
      <c r="Q374" s="5"/>
      <c r="R374" s="1" t="str">
        <f>R358</f>
        <v>TYPE 6</v>
      </c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</row>
    <row r="375" spans="1:73" s="1" customFormat="1">
      <c r="B375" s="1">
        <f>B298</f>
        <v>0</v>
      </c>
      <c r="D375" s="1">
        <f>D298</f>
        <v>0</v>
      </c>
      <c r="F375" s="1">
        <f>F298</f>
        <v>0</v>
      </c>
      <c r="H375" s="1">
        <f>H298</f>
        <v>0</v>
      </c>
      <c r="J375" s="1">
        <f>J298</f>
        <v>0</v>
      </c>
      <c r="L375" s="1">
        <f>L298</f>
        <v>0</v>
      </c>
      <c r="N375" s="1">
        <f>N298</f>
        <v>0</v>
      </c>
      <c r="O375" s="5"/>
      <c r="P375" s="1">
        <f>P298</f>
        <v>0</v>
      </c>
      <c r="R375" s="1">
        <f>R298</f>
        <v>0</v>
      </c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 s="5"/>
      <c r="BR375"/>
      <c r="BS375"/>
      <c r="BT375"/>
      <c r="BU375"/>
    </row>
    <row r="376" spans="1:73" s="4" customFormat="1" ht="12.75">
      <c r="A376" s="4" t="s">
        <v>49</v>
      </c>
      <c r="B376" s="4">
        <f>B299</f>
        <v>1</v>
      </c>
      <c r="D376" s="4">
        <f>D299</f>
        <v>1.8</v>
      </c>
      <c r="F376" s="4">
        <f>F299</f>
        <v>2</v>
      </c>
      <c r="H376" s="4">
        <f>H299</f>
        <v>2</v>
      </c>
      <c r="J376" s="4">
        <f>J299</f>
        <v>2</v>
      </c>
      <c r="L376" s="4">
        <f>L299</f>
        <v>1.4</v>
      </c>
      <c r="N376" s="4">
        <f>N299</f>
        <v>1.2</v>
      </c>
      <c r="P376" s="4">
        <f>P299</f>
        <v>1</v>
      </c>
      <c r="R376" s="4">
        <f>R299</f>
        <v>2.84</v>
      </c>
      <c r="BQ376" s="5"/>
    </row>
    <row r="377" spans="1:73" s="4" customFormat="1">
      <c r="A377" s="4" t="s">
        <v>50</v>
      </c>
      <c r="B377" s="4">
        <f>B300</f>
        <v>1</v>
      </c>
      <c r="D377" s="4">
        <f>D300</f>
        <v>1.8</v>
      </c>
      <c r="F377" s="4">
        <f>F300</f>
        <v>2</v>
      </c>
      <c r="H377" s="4">
        <f>H300</f>
        <v>2.65</v>
      </c>
      <c r="J377" s="4">
        <f>J300</f>
        <v>3.35</v>
      </c>
      <c r="L377" s="4">
        <f>L300</f>
        <v>1.4</v>
      </c>
      <c r="N377" s="4">
        <f>N300</f>
        <v>1.2</v>
      </c>
      <c r="P377" s="4">
        <f>P300</f>
        <v>1</v>
      </c>
      <c r="R377" s="4">
        <f>R300</f>
        <v>2.1850000000000001</v>
      </c>
      <c r="BQ377"/>
    </row>
    <row r="378" spans="1:73" s="1" customFormat="1">
      <c r="A378" s="1" t="s">
        <v>51</v>
      </c>
      <c r="B378" s="4">
        <f>B353</f>
        <v>0.4</v>
      </c>
      <c r="D378" s="4">
        <f>D353</f>
        <v>0.4</v>
      </c>
      <c r="F378" s="4">
        <f>F353</f>
        <v>0.4</v>
      </c>
      <c r="H378" s="4">
        <f>H353</f>
        <v>0.4</v>
      </c>
      <c r="J378" s="4">
        <f>J353</f>
        <v>0.4</v>
      </c>
      <c r="L378" s="4">
        <f>L353</f>
        <v>0.35</v>
      </c>
      <c r="N378" s="4">
        <f>N353</f>
        <v>0.35</v>
      </c>
      <c r="P378" s="4">
        <f>P353</f>
        <v>0.35</v>
      </c>
      <c r="R378" s="4">
        <f>R353</f>
        <v>0.4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</row>
    <row r="379" spans="1:73" s="1" customFormat="1">
      <c r="A379" s="1" t="s">
        <v>52</v>
      </c>
      <c r="B379" s="1">
        <f>B302</f>
        <v>4</v>
      </c>
      <c r="D379" s="1">
        <f>D302</f>
        <v>3</v>
      </c>
      <c r="F379" s="1">
        <f>F302</f>
        <v>1</v>
      </c>
      <c r="H379" s="1">
        <f>H302</f>
        <v>1</v>
      </c>
      <c r="J379" s="1">
        <f>J302</f>
        <v>1</v>
      </c>
      <c r="L379" s="1">
        <f>L302</f>
        <v>10</v>
      </c>
      <c r="N379" s="1">
        <f>N302</f>
        <v>1</v>
      </c>
      <c r="P379" s="1">
        <f>P302</f>
        <v>2</v>
      </c>
      <c r="R379" s="1">
        <f>R302</f>
        <v>0</v>
      </c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</row>
    <row r="380" spans="1:73" s="5" customFormat="1">
      <c r="B380" s="6">
        <f>((B376*B378*2)+(B377*B378*2))*B379</f>
        <v>6.4</v>
      </c>
      <c r="D380" s="6">
        <f>((D376*D378*2)+(D377*D378*2))*D379</f>
        <v>8.64</v>
      </c>
      <c r="F380" s="6">
        <f>((F376*F378*2)+(F377*F378*2))*F379</f>
        <v>3.2</v>
      </c>
      <c r="H380" s="6">
        <f>((H376*H378*2)+(H377*H378*2))*H379</f>
        <v>3.72</v>
      </c>
      <c r="J380" s="6">
        <f>((J376*J378*2)+(J377*J378*2))*J379</f>
        <v>4.28</v>
      </c>
      <c r="L380" s="6">
        <f>((L376*L378*2)+(L377*L378*2))*L379</f>
        <v>19.599999999999998</v>
      </c>
      <c r="N380" s="6">
        <f>((N376*N378*2)+(N377*N378*2))*N379</f>
        <v>1.68</v>
      </c>
      <c r="P380" s="6">
        <f>((P376*P378*2)+(P377*P378*2))*P379</f>
        <v>2.8</v>
      </c>
      <c r="R380" s="6">
        <f>((R376*R378*2)+(R377*R378*2))*R379</f>
        <v>0</v>
      </c>
      <c r="BQ380"/>
    </row>
    <row r="381" spans="1:73" s="5" customFormat="1">
      <c r="BQ381"/>
    </row>
    <row r="382" spans="1:73" s="1" customFormat="1" ht="15.75" thickBot="1"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</row>
    <row r="383" spans="1:73" s="1" customFormat="1" ht="19.5" thickBot="1">
      <c r="B383" s="203" t="s">
        <v>73</v>
      </c>
      <c r="C383" s="203"/>
      <c r="D383" s="203"/>
      <c r="E383" s="3">
        <f>ROUNDUP(SUM(B389:R389),2)</f>
        <v>2.19</v>
      </c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</row>
    <row r="384" spans="1:73" s="1" customFormat="1">
      <c r="B384" s="10" t="s">
        <v>74</v>
      </c>
      <c r="C384" s="10" t="s">
        <v>75</v>
      </c>
      <c r="D384" s="10" t="s">
        <v>76</v>
      </c>
      <c r="E384" s="10" t="s">
        <v>77</v>
      </c>
      <c r="F384" s="10" t="s">
        <v>78</v>
      </c>
      <c r="G384" s="10" t="s">
        <v>79</v>
      </c>
      <c r="H384" s="10" t="s">
        <v>80</v>
      </c>
      <c r="I384" s="10" t="s">
        <v>81</v>
      </c>
      <c r="J384" s="10" t="s">
        <v>82</v>
      </c>
      <c r="K384" s="10" t="s">
        <v>83</v>
      </c>
      <c r="L384" s="10" t="s">
        <v>84</v>
      </c>
      <c r="M384" s="10" t="s">
        <v>85</v>
      </c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</row>
    <row r="385" spans="1:73" s="1" customFormat="1">
      <c r="A385" s="4" t="s">
        <v>49</v>
      </c>
      <c r="B385" s="1">
        <v>0.23</v>
      </c>
      <c r="C385" s="1">
        <v>0.23</v>
      </c>
      <c r="D385" s="1">
        <v>0.23</v>
      </c>
      <c r="E385" s="1">
        <v>0.23</v>
      </c>
      <c r="F385" s="1">
        <v>0.23</v>
      </c>
      <c r="G385" s="1">
        <v>0.23</v>
      </c>
      <c r="H385" s="1">
        <f>G386</f>
        <v>0.23</v>
      </c>
      <c r="I385" s="1">
        <v>0.23</v>
      </c>
      <c r="J385" s="1">
        <v>0.23</v>
      </c>
      <c r="K385" s="1">
        <v>0.23</v>
      </c>
      <c r="L385" s="1">
        <f>K385</f>
        <v>0.23</v>
      </c>
      <c r="M385" s="1">
        <v>0.45</v>
      </c>
      <c r="N385" s="1">
        <v>0.23</v>
      </c>
      <c r="O385" s="1">
        <v>0.23</v>
      </c>
      <c r="P385" s="1">
        <f>O386</f>
        <v>0.45</v>
      </c>
      <c r="Q385" s="1">
        <v>0.23</v>
      </c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</row>
    <row r="386" spans="1:73" s="1" customFormat="1">
      <c r="A386" s="4" t="s">
        <v>50</v>
      </c>
      <c r="B386" s="1">
        <v>0.23</v>
      </c>
      <c r="C386" s="1">
        <v>0.23</v>
      </c>
      <c r="D386" s="1">
        <f>B386</f>
        <v>0.23</v>
      </c>
      <c r="E386" s="1">
        <v>0.23</v>
      </c>
      <c r="F386" s="1">
        <f>E385</f>
        <v>0.23</v>
      </c>
      <c r="G386" s="1">
        <v>0.23</v>
      </c>
      <c r="H386" s="1">
        <f>G385</f>
        <v>0.23</v>
      </c>
      <c r="I386" s="1">
        <f>H386</f>
        <v>0.23</v>
      </c>
      <c r="J386" s="1">
        <v>0.23</v>
      </c>
      <c r="K386" s="1">
        <v>0.23</v>
      </c>
      <c r="L386" s="1">
        <v>0.23</v>
      </c>
      <c r="M386" s="1">
        <v>0.23</v>
      </c>
      <c r="N386" s="1">
        <f>M385</f>
        <v>0.45</v>
      </c>
      <c r="O386" s="1">
        <f>N386</f>
        <v>0.45</v>
      </c>
      <c r="P386" s="1">
        <f>O385</f>
        <v>0.23</v>
      </c>
      <c r="Q386" s="1">
        <f>P386</f>
        <v>0.23</v>
      </c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</row>
    <row r="387" spans="1:73" s="1" customFormat="1">
      <c r="A387" s="1" t="s">
        <v>51</v>
      </c>
      <c r="B387" s="4">
        <v>1.65</v>
      </c>
      <c r="C387" s="4">
        <f>B387</f>
        <v>1.65</v>
      </c>
      <c r="D387" s="4">
        <f t="shared" ref="D387:I387" si="162">C387</f>
        <v>1.65</v>
      </c>
      <c r="E387" s="4">
        <f t="shared" si="162"/>
        <v>1.65</v>
      </c>
      <c r="F387" s="4">
        <f t="shared" si="162"/>
        <v>1.65</v>
      </c>
      <c r="G387" s="4">
        <f t="shared" si="162"/>
        <v>1.65</v>
      </c>
      <c r="H387" s="4">
        <f t="shared" si="162"/>
        <v>1.65</v>
      </c>
      <c r="I387" s="4">
        <f t="shared" si="162"/>
        <v>1.65</v>
      </c>
      <c r="J387" s="4">
        <v>3</v>
      </c>
      <c r="K387" s="4">
        <f>J387</f>
        <v>3</v>
      </c>
      <c r="L387" s="4">
        <f t="shared" ref="L387:Q387" si="163">K387</f>
        <v>3</v>
      </c>
      <c r="M387" s="4">
        <f t="shared" si="163"/>
        <v>3</v>
      </c>
      <c r="N387" s="4">
        <f t="shared" si="163"/>
        <v>3</v>
      </c>
      <c r="O387" s="4">
        <f t="shared" si="163"/>
        <v>3</v>
      </c>
      <c r="P387" s="4">
        <f t="shared" si="163"/>
        <v>3</v>
      </c>
      <c r="Q387" s="4">
        <f t="shared" si="163"/>
        <v>3</v>
      </c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</row>
    <row r="388" spans="1:73" s="1" customFormat="1">
      <c r="A388" s="1" t="s">
        <v>52</v>
      </c>
      <c r="B388" s="10">
        <v>4</v>
      </c>
      <c r="C388" s="10">
        <v>3</v>
      </c>
      <c r="D388" s="10">
        <v>1</v>
      </c>
      <c r="E388" s="10">
        <v>2</v>
      </c>
      <c r="F388" s="10">
        <v>2</v>
      </c>
      <c r="G388" s="10">
        <v>10</v>
      </c>
      <c r="H388" s="10">
        <v>1</v>
      </c>
      <c r="I388" s="10">
        <v>2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</row>
    <row r="389" spans="1:73" s="1" customFormat="1">
      <c r="B389" s="6">
        <f>B385*B386*B387*B388</f>
        <v>0.34914000000000001</v>
      </c>
      <c r="C389" s="6">
        <f t="shared" ref="C389:Q389" si="164">C385*C386*C387*C388</f>
        <v>0.261855</v>
      </c>
      <c r="D389" s="6">
        <f t="shared" si="164"/>
        <v>8.7285000000000001E-2</v>
      </c>
      <c r="E389" s="6">
        <f t="shared" si="164"/>
        <v>0.17457</v>
      </c>
      <c r="F389" s="6">
        <f t="shared" si="164"/>
        <v>0.17457</v>
      </c>
      <c r="G389" s="6">
        <f t="shared" si="164"/>
        <v>0.87285000000000001</v>
      </c>
      <c r="H389" s="6">
        <f t="shared" si="164"/>
        <v>8.7285000000000001E-2</v>
      </c>
      <c r="I389" s="6">
        <f t="shared" si="164"/>
        <v>0.17457</v>
      </c>
      <c r="J389" s="6">
        <f t="shared" si="164"/>
        <v>0</v>
      </c>
      <c r="K389" s="6">
        <f t="shared" si="164"/>
        <v>0</v>
      </c>
      <c r="L389" s="6">
        <f t="shared" si="164"/>
        <v>0</v>
      </c>
      <c r="M389" s="6">
        <f t="shared" si="164"/>
        <v>0</v>
      </c>
      <c r="N389" s="6">
        <f t="shared" si="164"/>
        <v>0</v>
      </c>
      <c r="O389" s="6">
        <f t="shared" si="164"/>
        <v>0</v>
      </c>
      <c r="P389" s="6">
        <f t="shared" si="164"/>
        <v>0</v>
      </c>
      <c r="Q389" s="6">
        <f t="shared" si="164"/>
        <v>0</v>
      </c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</row>
    <row r="390" spans="1:73" s="1" customFormat="1">
      <c r="A390" s="5"/>
      <c r="B390" s="5"/>
      <c r="C390" s="6"/>
      <c r="D390" s="5"/>
      <c r="E390" s="6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</row>
    <row r="392" spans="1:73" s="1" customFormat="1" ht="15.75" thickBot="1"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</row>
    <row r="393" spans="1:73" s="1" customFormat="1" ht="19.5" thickBot="1">
      <c r="B393" s="203" t="s">
        <v>86</v>
      </c>
      <c r="C393" s="203"/>
      <c r="D393" s="206"/>
      <c r="E393" s="3">
        <f>ROUNDUP(SUM(B399:R399),2)</f>
        <v>37.950000000000003</v>
      </c>
      <c r="F393" s="5"/>
      <c r="G393" s="5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</row>
    <row r="394" spans="1:73" s="1" customFormat="1">
      <c r="B394" s="10" t="s">
        <v>74</v>
      </c>
      <c r="C394" s="10" t="s">
        <v>75</v>
      </c>
      <c r="D394" s="10" t="s">
        <v>76</v>
      </c>
      <c r="E394" s="10" t="s">
        <v>77</v>
      </c>
      <c r="F394" s="10" t="s">
        <v>78</v>
      </c>
      <c r="G394" s="10" t="s">
        <v>79</v>
      </c>
      <c r="H394" s="10" t="s">
        <v>80</v>
      </c>
      <c r="I394" s="10" t="s">
        <v>81</v>
      </c>
      <c r="J394" s="10" t="s">
        <v>82</v>
      </c>
      <c r="K394" s="10" t="s">
        <v>83</v>
      </c>
      <c r="L394" s="10" t="s">
        <v>84</v>
      </c>
      <c r="M394" s="10" t="s">
        <v>85</v>
      </c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</row>
    <row r="395" spans="1:73" s="1" customFormat="1">
      <c r="A395" s="4" t="s">
        <v>49</v>
      </c>
      <c r="B395" s="1">
        <f>B385</f>
        <v>0.23</v>
      </c>
      <c r="C395" s="1">
        <f t="shared" ref="C395:Q398" si="165">C385</f>
        <v>0.23</v>
      </c>
      <c r="D395" s="1">
        <f t="shared" si="165"/>
        <v>0.23</v>
      </c>
      <c r="E395" s="1">
        <f t="shared" si="165"/>
        <v>0.23</v>
      </c>
      <c r="F395" s="1">
        <f t="shared" si="165"/>
        <v>0.23</v>
      </c>
      <c r="G395" s="1">
        <f t="shared" si="165"/>
        <v>0.23</v>
      </c>
      <c r="H395" s="1">
        <f t="shared" si="165"/>
        <v>0.23</v>
      </c>
      <c r="I395" s="1">
        <f t="shared" si="165"/>
        <v>0.23</v>
      </c>
      <c r="J395" s="1">
        <f t="shared" si="165"/>
        <v>0.23</v>
      </c>
      <c r="K395" s="1">
        <f t="shared" si="165"/>
        <v>0.23</v>
      </c>
      <c r="L395" s="1">
        <f t="shared" si="165"/>
        <v>0.23</v>
      </c>
      <c r="M395" s="1">
        <f t="shared" si="165"/>
        <v>0.45</v>
      </c>
      <c r="N395" s="1">
        <f t="shared" si="165"/>
        <v>0.23</v>
      </c>
      <c r="O395" s="1">
        <f t="shared" si="165"/>
        <v>0.23</v>
      </c>
      <c r="P395" s="1">
        <f t="shared" si="165"/>
        <v>0.45</v>
      </c>
      <c r="Q395" s="1">
        <f t="shared" si="165"/>
        <v>0.23</v>
      </c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</row>
    <row r="396" spans="1:73" s="1" customFormat="1">
      <c r="A396" s="4" t="s">
        <v>50</v>
      </c>
      <c r="B396" s="1">
        <f t="shared" ref="B396:I398" si="166">B386</f>
        <v>0.23</v>
      </c>
      <c r="C396" s="1">
        <f t="shared" si="166"/>
        <v>0.23</v>
      </c>
      <c r="D396" s="1">
        <f t="shared" si="166"/>
        <v>0.23</v>
      </c>
      <c r="E396" s="1">
        <f t="shared" si="166"/>
        <v>0.23</v>
      </c>
      <c r="F396" s="1">
        <f t="shared" si="166"/>
        <v>0.23</v>
      </c>
      <c r="G396" s="1">
        <f t="shared" si="166"/>
        <v>0.23</v>
      </c>
      <c r="H396" s="1">
        <f t="shared" si="166"/>
        <v>0.23</v>
      </c>
      <c r="I396" s="1">
        <f t="shared" si="166"/>
        <v>0.23</v>
      </c>
      <c r="J396" s="1">
        <f t="shared" si="165"/>
        <v>0.23</v>
      </c>
      <c r="K396" s="1">
        <f t="shared" si="165"/>
        <v>0.23</v>
      </c>
      <c r="L396" s="1">
        <f t="shared" si="165"/>
        <v>0.23</v>
      </c>
      <c r="M396" s="1">
        <f t="shared" si="165"/>
        <v>0.23</v>
      </c>
      <c r="N396" s="1">
        <f t="shared" si="165"/>
        <v>0.45</v>
      </c>
      <c r="O396" s="1">
        <f t="shared" si="165"/>
        <v>0.45</v>
      </c>
      <c r="P396" s="1">
        <f t="shared" si="165"/>
        <v>0.23</v>
      </c>
      <c r="Q396" s="1">
        <f t="shared" si="165"/>
        <v>0.23</v>
      </c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</row>
    <row r="397" spans="1:73" s="1" customFormat="1">
      <c r="A397" s="1" t="s">
        <v>51</v>
      </c>
      <c r="B397" s="1">
        <f t="shared" si="166"/>
        <v>1.65</v>
      </c>
      <c r="C397" s="1">
        <f t="shared" si="166"/>
        <v>1.65</v>
      </c>
      <c r="D397" s="1">
        <f t="shared" si="166"/>
        <v>1.65</v>
      </c>
      <c r="E397" s="1">
        <f t="shared" si="166"/>
        <v>1.65</v>
      </c>
      <c r="F397" s="1">
        <f t="shared" si="166"/>
        <v>1.65</v>
      </c>
      <c r="G397" s="1">
        <f t="shared" si="166"/>
        <v>1.65</v>
      </c>
      <c r="H397" s="1">
        <f t="shared" si="166"/>
        <v>1.65</v>
      </c>
      <c r="I397" s="1">
        <f t="shared" si="166"/>
        <v>1.65</v>
      </c>
      <c r="J397" s="1">
        <f t="shared" si="165"/>
        <v>3</v>
      </c>
      <c r="K397" s="1">
        <f t="shared" si="165"/>
        <v>3</v>
      </c>
      <c r="L397" s="1">
        <f t="shared" si="165"/>
        <v>3</v>
      </c>
      <c r="M397" s="1">
        <f t="shared" si="165"/>
        <v>3</v>
      </c>
      <c r="N397" s="1">
        <f t="shared" si="165"/>
        <v>3</v>
      </c>
      <c r="O397" s="1">
        <f t="shared" si="165"/>
        <v>3</v>
      </c>
      <c r="P397" s="1">
        <f t="shared" si="165"/>
        <v>3</v>
      </c>
      <c r="Q397" s="1">
        <f t="shared" si="165"/>
        <v>3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</row>
    <row r="398" spans="1:73" s="1" customFormat="1">
      <c r="A398" s="1" t="s">
        <v>52</v>
      </c>
      <c r="B398" s="1">
        <f t="shared" si="166"/>
        <v>4</v>
      </c>
      <c r="C398" s="1">
        <f t="shared" si="166"/>
        <v>3</v>
      </c>
      <c r="D398" s="1">
        <f t="shared" si="166"/>
        <v>1</v>
      </c>
      <c r="E398" s="1">
        <f t="shared" si="166"/>
        <v>2</v>
      </c>
      <c r="F398" s="1">
        <f t="shared" si="166"/>
        <v>2</v>
      </c>
      <c r="G398" s="1">
        <f t="shared" si="166"/>
        <v>10</v>
      </c>
      <c r="H398" s="1">
        <f t="shared" si="166"/>
        <v>1</v>
      </c>
      <c r="I398" s="1">
        <f t="shared" si="166"/>
        <v>2</v>
      </c>
      <c r="J398" s="1">
        <f t="shared" si="165"/>
        <v>0</v>
      </c>
      <c r="K398" s="1">
        <f t="shared" si="165"/>
        <v>0</v>
      </c>
      <c r="L398" s="1">
        <f t="shared" si="165"/>
        <v>0</v>
      </c>
      <c r="M398" s="1">
        <f t="shared" si="165"/>
        <v>0</v>
      </c>
      <c r="N398" s="1">
        <f t="shared" si="165"/>
        <v>0</v>
      </c>
      <c r="O398" s="1">
        <f t="shared" si="165"/>
        <v>0</v>
      </c>
      <c r="P398" s="1">
        <f t="shared" si="165"/>
        <v>0</v>
      </c>
      <c r="Q398" s="1">
        <f t="shared" si="165"/>
        <v>0</v>
      </c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</row>
    <row r="399" spans="1:73" s="1" customFormat="1">
      <c r="B399" s="6">
        <f>((B397*B395*2)+(B397*B396*2))*B398</f>
        <v>6.0720000000000001</v>
      </c>
      <c r="C399" s="6">
        <f>((C397*C395*2)+(C397*C396*2))*C398</f>
        <v>4.5540000000000003</v>
      </c>
      <c r="D399" s="6">
        <f>((D397*D395*2)+(D397*D396*2))*D398</f>
        <v>1.518</v>
      </c>
      <c r="E399" s="6">
        <f t="shared" ref="E399:G399" si="167">((E397*E395*2)+(E397*E396*2))*E398</f>
        <v>3.036</v>
      </c>
      <c r="F399" s="6">
        <f t="shared" si="167"/>
        <v>3.036</v>
      </c>
      <c r="G399" s="6">
        <f t="shared" si="167"/>
        <v>15.18</v>
      </c>
      <c r="H399" s="6">
        <f>((H397*H395*2)+(H397*H396*2))*H398</f>
        <v>1.518</v>
      </c>
      <c r="I399" s="6">
        <f t="shared" ref="I399:Q399" si="168">((I397*I395*2)+(I397*I396*2))*I398</f>
        <v>3.036</v>
      </c>
      <c r="J399" s="6">
        <f t="shared" si="168"/>
        <v>0</v>
      </c>
      <c r="K399" s="6">
        <f t="shared" si="168"/>
        <v>0</v>
      </c>
      <c r="L399" s="6">
        <f t="shared" si="168"/>
        <v>0</v>
      </c>
      <c r="M399" s="6">
        <f t="shared" si="168"/>
        <v>0</v>
      </c>
      <c r="N399" s="6">
        <f t="shared" si="168"/>
        <v>0</v>
      </c>
      <c r="O399" s="6">
        <f t="shared" si="168"/>
        <v>0</v>
      </c>
      <c r="P399" s="6">
        <f t="shared" si="168"/>
        <v>0</v>
      </c>
      <c r="Q399" s="6">
        <f t="shared" si="168"/>
        <v>0</v>
      </c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</row>
    <row r="401" spans="1:73" s="1" customFormat="1" ht="18.75">
      <c r="A401" s="203" t="s">
        <v>87</v>
      </c>
      <c r="B401" s="203"/>
      <c r="C401" s="203"/>
      <c r="D401" s="5"/>
      <c r="E401" s="5"/>
      <c r="F401" s="5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</row>
    <row r="402" spans="1:73" s="1" customFormat="1">
      <c r="A402" s="5"/>
      <c r="B402" s="5" t="s">
        <v>88</v>
      </c>
      <c r="C402" s="5" t="s">
        <v>89</v>
      </c>
      <c r="D402" s="5" t="s">
        <v>90</v>
      </c>
      <c r="E402" s="5" t="s">
        <v>91</v>
      </c>
      <c r="F402" s="5" t="s">
        <v>92</v>
      </c>
      <c r="G402" s="5" t="s">
        <v>93</v>
      </c>
      <c r="H402" s="5" t="s">
        <v>94</v>
      </c>
      <c r="I402" s="5" t="s">
        <v>95</v>
      </c>
      <c r="J402" s="5" t="s">
        <v>96</v>
      </c>
      <c r="K402" s="5" t="s">
        <v>97</v>
      </c>
      <c r="L402" s="5" t="s">
        <v>98</v>
      </c>
      <c r="M402" s="5" t="s">
        <v>99</v>
      </c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</row>
    <row r="403" spans="1:73" s="1" customFormat="1">
      <c r="A403" s="4" t="s">
        <v>100</v>
      </c>
      <c r="B403" s="4">
        <v>3</v>
      </c>
      <c r="C403" s="4">
        <v>3</v>
      </c>
      <c r="D403" s="4">
        <v>3</v>
      </c>
      <c r="E403" s="4">
        <v>3</v>
      </c>
      <c r="F403" s="4">
        <v>3</v>
      </c>
      <c r="G403" s="4">
        <v>3</v>
      </c>
      <c r="H403" s="4">
        <v>3</v>
      </c>
      <c r="I403" s="4">
        <v>3</v>
      </c>
      <c r="J403" s="4">
        <v>3</v>
      </c>
      <c r="K403" s="4">
        <v>0</v>
      </c>
      <c r="L403" s="4">
        <v>0</v>
      </c>
      <c r="M403" s="4">
        <v>0</v>
      </c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</row>
    <row r="404" spans="1:73" s="1" customFormat="1">
      <c r="A404" s="12" t="s">
        <v>101</v>
      </c>
      <c r="B404" s="12">
        <v>4</v>
      </c>
      <c r="C404" s="12">
        <v>4</v>
      </c>
      <c r="D404" s="12">
        <v>4</v>
      </c>
      <c r="E404" s="12">
        <v>4</v>
      </c>
      <c r="F404" s="12">
        <v>4</v>
      </c>
      <c r="G404" s="12">
        <v>4</v>
      </c>
      <c r="H404" s="12">
        <v>4</v>
      </c>
      <c r="I404" s="12">
        <v>4</v>
      </c>
      <c r="J404" s="12">
        <v>0</v>
      </c>
      <c r="K404" s="12">
        <v>0</v>
      </c>
      <c r="L404" s="12">
        <v>0</v>
      </c>
      <c r="M404" s="12">
        <v>0</v>
      </c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</row>
    <row r="405" spans="1:73" s="1" customFormat="1">
      <c r="A405" s="4"/>
      <c r="B405" s="4" t="s">
        <v>71</v>
      </c>
      <c r="C405" s="4" t="s">
        <v>102</v>
      </c>
      <c r="D405" s="4" t="s">
        <v>102</v>
      </c>
      <c r="E405" s="4" t="s">
        <v>103</v>
      </c>
      <c r="F405" s="4" t="s">
        <v>71</v>
      </c>
      <c r="G405" s="4" t="s">
        <v>104</v>
      </c>
      <c r="H405" s="4" t="s">
        <v>69</v>
      </c>
      <c r="I405" s="4" t="s">
        <v>70</v>
      </c>
      <c r="J405" s="4" t="s">
        <v>105</v>
      </c>
      <c r="K405" s="4" t="s">
        <v>105</v>
      </c>
      <c r="L405" s="4" t="s">
        <v>105</v>
      </c>
      <c r="M405" s="4" t="s">
        <v>71</v>
      </c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</row>
    <row r="406" spans="1:73" s="1" customFormat="1">
      <c r="A406" s="1" t="s">
        <v>52</v>
      </c>
      <c r="B406" s="10">
        <f>B398</f>
        <v>4</v>
      </c>
      <c r="C406" s="10">
        <f t="shared" ref="C406:M406" si="169">C398</f>
        <v>3</v>
      </c>
      <c r="D406" s="10">
        <f t="shared" si="169"/>
        <v>1</v>
      </c>
      <c r="E406" s="10">
        <f t="shared" si="169"/>
        <v>2</v>
      </c>
      <c r="F406" s="10">
        <f t="shared" si="169"/>
        <v>2</v>
      </c>
      <c r="G406" s="10">
        <f t="shared" si="169"/>
        <v>10</v>
      </c>
      <c r="H406" s="10">
        <f t="shared" si="169"/>
        <v>1</v>
      </c>
      <c r="I406" s="10">
        <f t="shared" si="169"/>
        <v>2</v>
      </c>
      <c r="J406" s="10">
        <f t="shared" si="169"/>
        <v>0</v>
      </c>
      <c r="K406" s="10">
        <f t="shared" si="169"/>
        <v>0</v>
      </c>
      <c r="L406" s="10">
        <f t="shared" si="169"/>
        <v>0</v>
      </c>
      <c r="M406" s="10">
        <f t="shared" si="169"/>
        <v>0</v>
      </c>
      <c r="R406" s="1">
        <f>1.5/0.2</f>
        <v>7.5</v>
      </c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</row>
    <row r="407" spans="1:73" s="1" customFormat="1">
      <c r="A407" s="5"/>
      <c r="B407" s="5">
        <f>B403*B404*B406</f>
        <v>48</v>
      </c>
      <c r="C407" s="5">
        <f>C403*C404*C406</f>
        <v>36</v>
      </c>
      <c r="D407" s="5">
        <f>D403*D404*D406</f>
        <v>12</v>
      </c>
      <c r="E407" s="5">
        <f>E403*E404*E406</f>
        <v>24</v>
      </c>
      <c r="F407" s="5">
        <f t="shared" ref="F407:M407" si="170">F403*F404*F406</f>
        <v>24</v>
      </c>
      <c r="G407" s="5">
        <f t="shared" si="170"/>
        <v>120</v>
      </c>
      <c r="H407" s="5">
        <f t="shared" si="170"/>
        <v>12</v>
      </c>
      <c r="I407" s="5">
        <f t="shared" si="170"/>
        <v>24</v>
      </c>
      <c r="J407" s="5">
        <f t="shared" si="170"/>
        <v>0</v>
      </c>
      <c r="K407" s="5">
        <f t="shared" si="170"/>
        <v>0</v>
      </c>
      <c r="L407" s="5">
        <f t="shared" si="170"/>
        <v>0</v>
      </c>
      <c r="M407" s="5">
        <f t="shared" si="170"/>
        <v>0</v>
      </c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</row>
    <row r="408" spans="1:73" s="1" customFormat="1" ht="15.75" thickBo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 s="25"/>
      <c r="BR408"/>
      <c r="BS408"/>
      <c r="BT408"/>
      <c r="BU408"/>
    </row>
    <row r="409" spans="1:73" s="1" customFormat="1" ht="19.5" thickBot="1">
      <c r="A409" s="5"/>
      <c r="B409" s="5"/>
      <c r="C409" s="19" t="s">
        <v>105</v>
      </c>
      <c r="D409" s="20">
        <f>J407+K407+L407</f>
        <v>0</v>
      </c>
      <c r="E409" s="21">
        <f>D409*3.854</f>
        <v>0</v>
      </c>
      <c r="F409" s="5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 s="25"/>
      <c r="BR409"/>
      <c r="BS409"/>
      <c r="BT409"/>
      <c r="BU409"/>
    </row>
    <row r="410" spans="1:73" s="1" customFormat="1" ht="19.5" thickBot="1">
      <c r="A410" s="5"/>
      <c r="B410" s="5"/>
      <c r="C410" s="13" t="s">
        <v>70</v>
      </c>
      <c r="D410" s="20"/>
      <c r="E410" s="3">
        <f>D410*2.467</f>
        <v>0</v>
      </c>
      <c r="F410" s="5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 s="25"/>
      <c r="BR410"/>
      <c r="BS410"/>
      <c r="BT410"/>
      <c r="BU410"/>
    </row>
    <row r="411" spans="1:73" s="1" customFormat="1" ht="19.5" thickBot="1">
      <c r="A411" s="5"/>
      <c r="B411" s="5"/>
      <c r="C411" s="13" t="s">
        <v>71</v>
      </c>
      <c r="D411" s="22">
        <f>B407+C407+D407+E407+F407+G407+H407+I407</f>
        <v>300</v>
      </c>
      <c r="E411" s="3">
        <f>D411*1.579</f>
        <v>473.7</v>
      </c>
      <c r="F411" s="5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 s="25"/>
      <c r="BR411"/>
      <c r="BS411"/>
      <c r="BT411"/>
      <c r="BU411"/>
    </row>
    <row r="412" spans="1:73" s="1" customFormat="1" ht="19.5" thickBot="1">
      <c r="A412" s="5"/>
      <c r="B412" s="5"/>
      <c r="C412" s="13" t="s">
        <v>68</v>
      </c>
      <c r="D412" s="23"/>
      <c r="E412" s="24">
        <f>D412*0.888</f>
        <v>0</v>
      </c>
      <c r="F412" s="5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 s="25"/>
      <c r="BR412"/>
      <c r="BS412"/>
      <c r="BT412"/>
      <c r="BU412"/>
    </row>
    <row r="413" spans="1:73" s="25" customFormat="1" ht="12.75">
      <c r="A413" s="9" t="s">
        <v>87</v>
      </c>
      <c r="B413" s="9"/>
      <c r="C413" s="9"/>
      <c r="D413" s="9"/>
      <c r="E413" s="9"/>
      <c r="F413" s="9"/>
    </row>
    <row r="414" spans="1:73" s="25" customFormat="1" ht="12.75">
      <c r="A414" s="9"/>
      <c r="B414" s="9" t="s">
        <v>88</v>
      </c>
      <c r="C414" s="9" t="s">
        <v>89</v>
      </c>
      <c r="D414" s="9" t="s">
        <v>90</v>
      </c>
      <c r="E414" s="9" t="s">
        <v>91</v>
      </c>
      <c r="F414" s="9" t="s">
        <v>92</v>
      </c>
      <c r="G414" s="9" t="s">
        <v>93</v>
      </c>
      <c r="H414" s="9" t="s">
        <v>94</v>
      </c>
      <c r="I414" s="9" t="s">
        <v>95</v>
      </c>
      <c r="J414" s="9" t="s">
        <v>96</v>
      </c>
      <c r="K414" s="9" t="s">
        <v>97</v>
      </c>
      <c r="L414" s="9" t="s">
        <v>98</v>
      </c>
      <c r="M414" s="9" t="s">
        <v>99</v>
      </c>
    </row>
    <row r="415" spans="1:73" s="25" customFormat="1" ht="12.75">
      <c r="A415" s="26" t="s">
        <v>100</v>
      </c>
      <c r="B415" s="26">
        <v>3.68</v>
      </c>
      <c r="C415" s="26">
        <v>3.68</v>
      </c>
      <c r="D415" s="26">
        <v>3.68</v>
      </c>
      <c r="E415" s="26">
        <v>3.68</v>
      </c>
      <c r="F415" s="26">
        <v>3.68</v>
      </c>
      <c r="G415" s="26">
        <v>3.68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</row>
    <row r="416" spans="1:73" s="25" customFormat="1" ht="12.75">
      <c r="A416" s="27" t="s">
        <v>101</v>
      </c>
      <c r="B416" s="27">
        <v>4</v>
      </c>
      <c r="C416" s="27">
        <v>6</v>
      </c>
      <c r="D416" s="27">
        <v>4</v>
      </c>
      <c r="E416" s="27">
        <v>4</v>
      </c>
      <c r="F416" s="27">
        <v>4</v>
      </c>
      <c r="G416" s="27">
        <v>4</v>
      </c>
      <c r="H416" s="27">
        <v>6</v>
      </c>
      <c r="I416" s="27">
        <v>6</v>
      </c>
      <c r="J416" s="27">
        <v>8</v>
      </c>
      <c r="K416" s="27">
        <v>6</v>
      </c>
      <c r="L416" s="27">
        <v>6</v>
      </c>
      <c r="M416" s="27">
        <v>4</v>
      </c>
    </row>
    <row r="417" spans="1:18" s="25" customFormat="1" ht="12.75">
      <c r="A417" s="26"/>
      <c r="B417" s="26" t="s">
        <v>106</v>
      </c>
      <c r="C417" s="26" t="s">
        <v>70</v>
      </c>
      <c r="D417" s="26" t="s">
        <v>106</v>
      </c>
      <c r="E417" s="26" t="s">
        <v>70</v>
      </c>
      <c r="F417" s="26" t="s">
        <v>70</v>
      </c>
      <c r="G417" s="26" t="s">
        <v>70</v>
      </c>
      <c r="H417" s="26" t="s">
        <v>70</v>
      </c>
      <c r="I417" s="26" t="s">
        <v>70</v>
      </c>
      <c r="J417" s="26" t="s">
        <v>105</v>
      </c>
      <c r="K417" s="26" t="s">
        <v>105</v>
      </c>
      <c r="L417" s="26" t="s">
        <v>105</v>
      </c>
      <c r="M417" s="26" t="s">
        <v>71</v>
      </c>
    </row>
    <row r="418" spans="1:18" s="25" customFormat="1" ht="12.75">
      <c r="A418" s="25" t="s">
        <v>52</v>
      </c>
      <c r="B418" s="28">
        <v>0</v>
      </c>
      <c r="C418" s="28">
        <v>0</v>
      </c>
      <c r="D418" s="28">
        <v>0</v>
      </c>
      <c r="E418" s="28">
        <v>0</v>
      </c>
      <c r="F418" s="28">
        <v>0</v>
      </c>
      <c r="G418" s="28">
        <v>0</v>
      </c>
      <c r="H418" s="28"/>
      <c r="I418" s="28">
        <f>I410</f>
        <v>0</v>
      </c>
      <c r="J418" s="28">
        <f>J410</f>
        <v>0</v>
      </c>
      <c r="K418" s="28">
        <f>K410</f>
        <v>0</v>
      </c>
      <c r="L418" s="28">
        <f>L410</f>
        <v>0</v>
      </c>
      <c r="M418" s="28">
        <f>M410</f>
        <v>0</v>
      </c>
      <c r="R418" s="25">
        <f>1.5/0.2</f>
        <v>7.5</v>
      </c>
    </row>
    <row r="419" spans="1:18" s="25" customFormat="1" ht="12.75">
      <c r="A419" s="9"/>
      <c r="B419" s="9">
        <f>B415*B416*B418</f>
        <v>0</v>
      </c>
      <c r="C419" s="9">
        <f>C415*C416*C418</f>
        <v>0</v>
      </c>
      <c r="D419" s="9">
        <f>D415*D416*D418</f>
        <v>0</v>
      </c>
      <c r="E419" s="9">
        <f>E415*E416*E418</f>
        <v>0</v>
      </c>
      <c r="F419" s="9">
        <f t="shared" ref="F419:M419" si="171">F415*F416*F418</f>
        <v>0</v>
      </c>
      <c r="G419" s="9">
        <f t="shared" si="171"/>
        <v>0</v>
      </c>
      <c r="H419" s="9">
        <f t="shared" si="171"/>
        <v>0</v>
      </c>
      <c r="I419" s="9">
        <f t="shared" si="171"/>
        <v>0</v>
      </c>
      <c r="J419" s="9">
        <f t="shared" si="171"/>
        <v>0</v>
      </c>
      <c r="K419" s="9">
        <f t="shared" si="171"/>
        <v>0</v>
      </c>
      <c r="L419" s="9">
        <f t="shared" si="171"/>
        <v>0</v>
      </c>
      <c r="M419" s="9">
        <f t="shared" si="171"/>
        <v>0</v>
      </c>
    </row>
    <row r="420" spans="1:18" s="25" customFormat="1" ht="12.75">
      <c r="A420" s="9"/>
      <c r="B420" s="9"/>
      <c r="C420" s="9" t="s">
        <v>105</v>
      </c>
      <c r="D420" s="29">
        <f>J419+K419+L419</f>
        <v>0</v>
      </c>
      <c r="E420" s="9">
        <f>D420*3.854</f>
        <v>0</v>
      </c>
      <c r="F420" s="9"/>
    </row>
    <row r="421" spans="1:18" s="25" customFormat="1" ht="12.75">
      <c r="A421" s="9"/>
      <c r="B421" s="9"/>
      <c r="C421" s="9" t="s">
        <v>70</v>
      </c>
      <c r="D421" s="30"/>
      <c r="E421" s="9">
        <f>D421*2.467</f>
        <v>0</v>
      </c>
      <c r="F421" s="9"/>
    </row>
    <row r="422" spans="1:18" s="25" customFormat="1" ht="12.75">
      <c r="A422" s="9"/>
      <c r="B422" s="9"/>
      <c r="C422" s="9" t="s">
        <v>70</v>
      </c>
      <c r="D422" s="30">
        <f>SUM(B419:G419)</f>
        <v>0</v>
      </c>
      <c r="E422" s="9">
        <f>D422*2.467</f>
        <v>0</v>
      </c>
      <c r="F422" s="9"/>
    </row>
    <row r="423" spans="1:18" s="25" customFormat="1" ht="12.75">
      <c r="A423" s="9"/>
      <c r="B423" s="9"/>
      <c r="C423" s="9"/>
      <c r="D423" s="30"/>
      <c r="E423" s="9"/>
      <c r="F423" s="9"/>
    </row>
    <row r="424" spans="1:18" s="25" customFormat="1" ht="12.75">
      <c r="A424" s="9" t="s">
        <v>87</v>
      </c>
      <c r="B424" s="9"/>
      <c r="C424" s="9"/>
      <c r="D424" s="9"/>
      <c r="E424" s="9"/>
      <c r="F424" s="9"/>
    </row>
    <row r="425" spans="1:18" s="25" customFormat="1" ht="12.75">
      <c r="A425" s="9"/>
      <c r="B425" s="9" t="s">
        <v>88</v>
      </c>
      <c r="C425" s="9" t="s">
        <v>89</v>
      </c>
      <c r="D425" s="9" t="s">
        <v>90</v>
      </c>
      <c r="E425" s="9" t="s">
        <v>91</v>
      </c>
      <c r="F425" s="9" t="s">
        <v>92</v>
      </c>
      <c r="G425" s="9" t="s">
        <v>93</v>
      </c>
      <c r="H425" s="9" t="s">
        <v>94</v>
      </c>
      <c r="I425" s="9" t="s">
        <v>95</v>
      </c>
      <c r="J425" s="9" t="s">
        <v>96</v>
      </c>
      <c r="K425" s="9" t="s">
        <v>97</v>
      </c>
      <c r="L425" s="9" t="s">
        <v>98</v>
      </c>
      <c r="M425" s="9" t="s">
        <v>99</v>
      </c>
    </row>
    <row r="426" spans="1:18" s="25" customFormat="1" ht="12.75">
      <c r="A426" s="26" t="s">
        <v>100</v>
      </c>
      <c r="B426" s="26">
        <v>3.68</v>
      </c>
      <c r="C426" s="26">
        <v>3.68</v>
      </c>
      <c r="D426" s="26">
        <v>3.68</v>
      </c>
      <c r="E426" s="26">
        <v>3.68</v>
      </c>
      <c r="F426" s="26">
        <v>3.68</v>
      </c>
      <c r="G426" s="26">
        <v>3.68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</row>
    <row r="427" spans="1:18" s="25" customFormat="1" ht="12.75">
      <c r="A427" s="27" t="s">
        <v>101</v>
      </c>
      <c r="B427" s="27">
        <v>4</v>
      </c>
      <c r="C427" s="27">
        <v>6</v>
      </c>
      <c r="D427" s="27">
        <v>4</v>
      </c>
      <c r="E427" s="27">
        <v>4</v>
      </c>
      <c r="F427" s="27">
        <v>4</v>
      </c>
      <c r="G427" s="27">
        <v>4</v>
      </c>
      <c r="H427" s="27">
        <v>6</v>
      </c>
      <c r="I427" s="27">
        <v>6</v>
      </c>
      <c r="J427" s="27">
        <v>8</v>
      </c>
      <c r="K427" s="27">
        <v>6</v>
      </c>
      <c r="L427" s="27">
        <v>6</v>
      </c>
      <c r="M427" s="27">
        <v>4</v>
      </c>
    </row>
    <row r="428" spans="1:18" s="25" customFormat="1" ht="12.75">
      <c r="A428" s="26"/>
      <c r="B428" s="26" t="s">
        <v>104</v>
      </c>
      <c r="C428" s="26" t="s">
        <v>104</v>
      </c>
      <c r="D428" s="26" t="s">
        <v>104</v>
      </c>
      <c r="E428" s="26" t="s">
        <v>104</v>
      </c>
      <c r="F428" s="26" t="s">
        <v>104</v>
      </c>
      <c r="G428" s="26" t="s">
        <v>104</v>
      </c>
      <c r="H428" s="26" t="s">
        <v>70</v>
      </c>
      <c r="I428" s="26" t="s">
        <v>70</v>
      </c>
      <c r="J428" s="26" t="s">
        <v>105</v>
      </c>
      <c r="K428" s="26" t="s">
        <v>105</v>
      </c>
      <c r="L428" s="26" t="s">
        <v>105</v>
      </c>
      <c r="M428" s="26" t="s">
        <v>71</v>
      </c>
    </row>
    <row r="429" spans="1:18" s="25" customFormat="1" ht="12.75">
      <c r="A429" s="25" t="s">
        <v>52</v>
      </c>
      <c r="B429" s="28">
        <v>0</v>
      </c>
      <c r="C429" s="28">
        <v>0</v>
      </c>
      <c r="D429" s="28">
        <v>0</v>
      </c>
      <c r="E429" s="28">
        <v>0</v>
      </c>
      <c r="F429" s="28">
        <v>0</v>
      </c>
      <c r="G429" s="28">
        <v>0</v>
      </c>
      <c r="H429" s="28">
        <v>0</v>
      </c>
      <c r="I429" s="28">
        <f>I421</f>
        <v>0</v>
      </c>
      <c r="J429" s="28">
        <f>J421</f>
        <v>0</v>
      </c>
      <c r="K429" s="28">
        <f>K421</f>
        <v>0</v>
      </c>
      <c r="L429" s="28">
        <f>L421</f>
        <v>0</v>
      </c>
      <c r="M429" s="28">
        <f>M421</f>
        <v>0</v>
      </c>
      <c r="R429" s="25">
        <f>1.5/0.2</f>
        <v>7.5</v>
      </c>
    </row>
    <row r="430" spans="1:18" s="25" customFormat="1" ht="12.75">
      <c r="A430" s="9"/>
      <c r="B430" s="9">
        <f>B426*B427*B429</f>
        <v>0</v>
      </c>
      <c r="C430" s="9">
        <f>C426*C427*C429</f>
        <v>0</v>
      </c>
      <c r="D430" s="9">
        <f>D426*D427*D429</f>
        <v>0</v>
      </c>
      <c r="E430" s="9">
        <f>E426*E427*E429</f>
        <v>0</v>
      </c>
      <c r="F430" s="9">
        <f t="shared" ref="F430:M430" si="172">F426*F427*F429</f>
        <v>0</v>
      </c>
      <c r="G430" s="9">
        <f t="shared" si="172"/>
        <v>0</v>
      </c>
      <c r="H430" s="9">
        <f t="shared" si="172"/>
        <v>0</v>
      </c>
      <c r="I430" s="9">
        <f t="shared" si="172"/>
        <v>0</v>
      </c>
      <c r="J430" s="9">
        <f t="shared" si="172"/>
        <v>0</v>
      </c>
      <c r="K430" s="9">
        <f t="shared" si="172"/>
        <v>0</v>
      </c>
      <c r="L430" s="9">
        <f t="shared" si="172"/>
        <v>0</v>
      </c>
      <c r="M430" s="9">
        <f t="shared" si="172"/>
        <v>0</v>
      </c>
    </row>
    <row r="431" spans="1:18" s="25" customFormat="1" ht="12.75">
      <c r="A431" s="9"/>
      <c r="B431" s="9"/>
      <c r="C431" s="9" t="s">
        <v>105</v>
      </c>
      <c r="D431" s="29">
        <f>J430+K430+L430</f>
        <v>0</v>
      </c>
      <c r="E431" s="9">
        <f>D431*3.854</f>
        <v>0</v>
      </c>
      <c r="F431" s="9"/>
    </row>
    <row r="432" spans="1:18" s="25" customFormat="1" ht="12.75">
      <c r="A432" s="9"/>
      <c r="B432" s="9"/>
      <c r="C432" s="9" t="s">
        <v>70</v>
      </c>
      <c r="D432" s="29"/>
      <c r="E432" s="9">
        <f>D432*2.467</f>
        <v>0</v>
      </c>
      <c r="F432" s="9"/>
    </row>
    <row r="433" spans="1:73" s="25" customFormat="1" ht="12.75">
      <c r="A433" s="9"/>
      <c r="B433" s="9"/>
      <c r="C433" s="9" t="s">
        <v>71</v>
      </c>
      <c r="D433" s="30">
        <f>SUM(B430:G430)</f>
        <v>0</v>
      </c>
      <c r="E433" s="9">
        <f>D433*1.579</f>
        <v>0</v>
      </c>
      <c r="F433" s="9"/>
    </row>
    <row r="434" spans="1:73" s="25" customFormat="1" ht="12.75">
      <c r="A434" s="9"/>
      <c r="B434" s="9"/>
      <c r="C434" s="9"/>
      <c r="D434" s="30"/>
      <c r="E434" s="9"/>
      <c r="F434" s="9"/>
    </row>
    <row r="435" spans="1:73" s="25" customFormat="1" ht="12.75">
      <c r="A435" s="9" t="s">
        <v>87</v>
      </c>
      <c r="B435" s="9"/>
      <c r="C435" s="9"/>
      <c r="D435" s="9"/>
      <c r="E435" s="9"/>
      <c r="F435" s="9"/>
    </row>
    <row r="436" spans="1:73" s="25" customFormat="1" ht="12.75">
      <c r="A436" s="9"/>
      <c r="B436" s="9" t="s">
        <v>88</v>
      </c>
      <c r="C436" s="9" t="s">
        <v>89</v>
      </c>
      <c r="D436" s="9" t="s">
        <v>90</v>
      </c>
      <c r="E436" s="9" t="s">
        <v>91</v>
      </c>
      <c r="F436" s="9" t="s">
        <v>92</v>
      </c>
      <c r="G436" s="9" t="s">
        <v>93</v>
      </c>
      <c r="H436" s="9" t="s">
        <v>94</v>
      </c>
      <c r="I436" s="9" t="s">
        <v>95</v>
      </c>
      <c r="J436" s="9" t="s">
        <v>96</v>
      </c>
      <c r="K436" s="9" t="s">
        <v>97</v>
      </c>
      <c r="L436" s="9" t="s">
        <v>98</v>
      </c>
      <c r="M436" s="9" t="s">
        <v>99</v>
      </c>
    </row>
    <row r="437" spans="1:73" s="25" customFormat="1" ht="12.75">
      <c r="A437" s="26" t="s">
        <v>100</v>
      </c>
      <c r="B437" s="26">
        <v>3.2</v>
      </c>
      <c r="C437" s="26">
        <v>3.2</v>
      </c>
      <c r="D437" s="26">
        <v>3.2</v>
      </c>
      <c r="E437" s="26">
        <v>3.2</v>
      </c>
      <c r="F437" s="26">
        <v>3.2</v>
      </c>
      <c r="G437" s="26">
        <v>3.2</v>
      </c>
      <c r="H437" s="26">
        <v>0</v>
      </c>
      <c r="I437" s="26">
        <v>0</v>
      </c>
      <c r="J437" s="26">
        <v>0</v>
      </c>
      <c r="K437" s="26">
        <v>0</v>
      </c>
      <c r="L437" s="26">
        <v>0</v>
      </c>
      <c r="M437" s="26">
        <v>0</v>
      </c>
    </row>
    <row r="438" spans="1:73" s="25" customFormat="1" ht="12.75">
      <c r="A438" s="27" t="s">
        <v>101</v>
      </c>
      <c r="B438" s="27">
        <v>4</v>
      </c>
      <c r="C438" s="27">
        <v>6</v>
      </c>
      <c r="D438" s="27">
        <v>4</v>
      </c>
      <c r="E438" s="27">
        <v>4</v>
      </c>
      <c r="F438" s="27">
        <v>4</v>
      </c>
      <c r="G438" s="27">
        <v>4</v>
      </c>
      <c r="H438" s="27">
        <v>6</v>
      </c>
      <c r="I438" s="27">
        <v>6</v>
      </c>
      <c r="J438" s="27">
        <v>8</v>
      </c>
      <c r="K438" s="27">
        <v>6</v>
      </c>
      <c r="L438" s="27">
        <v>6</v>
      </c>
      <c r="M438" s="27">
        <v>4</v>
      </c>
    </row>
    <row r="439" spans="1:73" s="25" customFormat="1" ht="12.75">
      <c r="A439" s="26"/>
      <c r="B439" s="26" t="s">
        <v>69</v>
      </c>
      <c r="C439" s="26" t="s">
        <v>69</v>
      </c>
      <c r="D439" s="26" t="s">
        <v>69</v>
      </c>
      <c r="E439" s="26" t="s">
        <v>69</v>
      </c>
      <c r="F439" s="26" t="s">
        <v>69</v>
      </c>
      <c r="G439" s="26" t="s">
        <v>69</v>
      </c>
      <c r="H439" s="26" t="s">
        <v>70</v>
      </c>
      <c r="I439" s="26" t="s">
        <v>70</v>
      </c>
      <c r="J439" s="26" t="s">
        <v>105</v>
      </c>
      <c r="K439" s="26" t="s">
        <v>105</v>
      </c>
      <c r="L439" s="26" t="s">
        <v>105</v>
      </c>
      <c r="M439" s="26" t="s">
        <v>71</v>
      </c>
    </row>
    <row r="440" spans="1:73" s="25" customFormat="1">
      <c r="A440" s="25" t="s">
        <v>52</v>
      </c>
      <c r="B440" s="28">
        <v>0</v>
      </c>
      <c r="C440" s="28">
        <v>0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I440" s="28">
        <v>0</v>
      </c>
      <c r="J440" s="28">
        <v>0</v>
      </c>
      <c r="K440" s="28">
        <f>K432</f>
        <v>0</v>
      </c>
      <c r="L440" s="28">
        <f>L432</f>
        <v>0</v>
      </c>
      <c r="M440" s="28">
        <f>M432</f>
        <v>0</v>
      </c>
      <c r="R440" s="25">
        <f>1.5/0.2</f>
        <v>7.5</v>
      </c>
      <c r="BQ440"/>
    </row>
    <row r="441" spans="1:73" s="25" customFormat="1">
      <c r="A441" s="9"/>
      <c r="B441" s="9">
        <f>B437*B438*B440</f>
        <v>0</v>
      </c>
      <c r="C441" s="9">
        <f>C437*C438*C440</f>
        <v>0</v>
      </c>
      <c r="D441" s="9">
        <f>D437*D438*D440</f>
        <v>0</v>
      </c>
      <c r="E441" s="9">
        <f>E437*E438*E440</f>
        <v>0</v>
      </c>
      <c r="F441" s="9">
        <f t="shared" ref="F441:M441" si="173">F437*F438*F440</f>
        <v>0</v>
      </c>
      <c r="G441" s="9">
        <f t="shared" si="173"/>
        <v>0</v>
      </c>
      <c r="H441" s="9">
        <f t="shared" si="173"/>
        <v>0</v>
      </c>
      <c r="I441" s="9">
        <f t="shared" si="173"/>
        <v>0</v>
      </c>
      <c r="J441" s="9">
        <f t="shared" si="173"/>
        <v>0</v>
      </c>
      <c r="K441" s="9">
        <f t="shared" si="173"/>
        <v>0</v>
      </c>
      <c r="L441" s="9">
        <f t="shared" si="173"/>
        <v>0</v>
      </c>
      <c r="M441" s="9">
        <f t="shared" si="173"/>
        <v>0</v>
      </c>
      <c r="BQ441"/>
    </row>
    <row r="442" spans="1:73" s="25" customFormat="1">
      <c r="A442" s="9"/>
      <c r="B442" s="9"/>
      <c r="C442" s="9" t="s">
        <v>105</v>
      </c>
      <c r="D442" s="29">
        <f>J441+K441+L441</f>
        <v>0</v>
      </c>
      <c r="E442" s="9">
        <f>D442*3.854</f>
        <v>0</v>
      </c>
      <c r="F442" s="9"/>
      <c r="BQ442"/>
    </row>
    <row r="443" spans="1:73" s="25" customFormat="1">
      <c r="A443" s="9"/>
      <c r="B443" s="9"/>
      <c r="C443" s="9" t="s">
        <v>70</v>
      </c>
      <c r="D443" s="29"/>
      <c r="E443" s="9">
        <f>D443*2.467</f>
        <v>0</v>
      </c>
      <c r="F443" s="9"/>
      <c r="BQ443"/>
    </row>
    <row r="444" spans="1:73" s="25" customFormat="1">
      <c r="A444" s="9"/>
      <c r="B444" s="9"/>
      <c r="C444" s="9" t="s">
        <v>69</v>
      </c>
      <c r="D444" s="30">
        <f>SUM(B441:G441)</f>
        <v>0</v>
      </c>
      <c r="E444" s="9">
        <f>D444*0.888</f>
        <v>0</v>
      </c>
      <c r="F444" s="9"/>
      <c r="BQ444"/>
    </row>
    <row r="445" spans="1:73" s="1" customFormat="1">
      <c r="A445" s="5"/>
      <c r="B445" s="5"/>
      <c r="C445" s="5"/>
      <c r="D445" s="22"/>
      <c r="E445" s="5"/>
      <c r="F445" s="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</row>
    <row r="446" spans="1:73" s="1" customFormat="1">
      <c r="A446" s="5"/>
      <c r="B446" s="5" t="s">
        <v>88</v>
      </c>
      <c r="C446" s="5" t="s">
        <v>89</v>
      </c>
      <c r="D446" s="5" t="s">
        <v>90</v>
      </c>
      <c r="E446" s="5" t="s">
        <v>91</v>
      </c>
      <c r="F446" s="5" t="s">
        <v>92</v>
      </c>
      <c r="G446" s="5" t="s">
        <v>93</v>
      </c>
      <c r="H446" s="5" t="s">
        <v>94</v>
      </c>
      <c r="I446" s="5" t="s">
        <v>95</v>
      </c>
      <c r="J446" s="5" t="s">
        <v>96</v>
      </c>
      <c r="K446" s="5" t="s">
        <v>97</v>
      </c>
      <c r="L446" s="5" t="s">
        <v>98</v>
      </c>
      <c r="M446" s="5" t="s">
        <v>99</v>
      </c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</row>
    <row r="447" spans="1:73" s="1" customFormat="1" ht="18.75">
      <c r="A447" s="31" t="s">
        <v>107</v>
      </c>
      <c r="B447" s="1">
        <v>0.92</v>
      </c>
      <c r="C447" s="1">
        <v>0.92</v>
      </c>
      <c r="D447" s="1">
        <v>0.92</v>
      </c>
      <c r="E447" s="1">
        <v>0.92</v>
      </c>
      <c r="F447" s="1">
        <v>0.92</v>
      </c>
      <c r="G447" s="1">
        <v>0.92</v>
      </c>
      <c r="H447" s="1">
        <v>0.92</v>
      </c>
      <c r="I447" s="1">
        <v>0.92</v>
      </c>
      <c r="J447" s="1">
        <v>0.92</v>
      </c>
      <c r="K447" s="1">
        <v>0.92</v>
      </c>
      <c r="L447" s="1">
        <v>1.08</v>
      </c>
      <c r="M447" s="1">
        <v>0.92</v>
      </c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</row>
    <row r="448" spans="1:73" s="1" customFormat="1">
      <c r="A448" s="5"/>
      <c r="B448" s="5">
        <v>8</v>
      </c>
      <c r="C448" s="5">
        <v>8</v>
      </c>
      <c r="D448" s="5">
        <v>8</v>
      </c>
      <c r="E448" s="5">
        <v>8</v>
      </c>
      <c r="F448" s="5">
        <v>8</v>
      </c>
      <c r="G448" s="5">
        <v>8</v>
      </c>
      <c r="H448" s="5">
        <v>8</v>
      </c>
      <c r="I448" s="5">
        <v>8</v>
      </c>
      <c r="J448" s="5">
        <v>8</v>
      </c>
      <c r="K448" s="5">
        <v>8</v>
      </c>
      <c r="L448" s="5">
        <v>8</v>
      </c>
      <c r="M448" s="5">
        <v>8</v>
      </c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</row>
    <row r="449" spans="1:73" s="1" customFormat="1">
      <c r="A449" s="1" t="s">
        <v>52</v>
      </c>
      <c r="B449" s="10">
        <f>B406</f>
        <v>4</v>
      </c>
      <c r="C449" s="10">
        <f t="shared" ref="C449:M449" si="174">C406</f>
        <v>3</v>
      </c>
      <c r="D449" s="10">
        <f t="shared" si="174"/>
        <v>1</v>
      </c>
      <c r="E449" s="10">
        <f t="shared" si="174"/>
        <v>2</v>
      </c>
      <c r="F449" s="10">
        <f t="shared" si="174"/>
        <v>2</v>
      </c>
      <c r="G449" s="10">
        <f t="shared" si="174"/>
        <v>10</v>
      </c>
      <c r="H449" s="10">
        <f t="shared" si="174"/>
        <v>1</v>
      </c>
      <c r="I449" s="10">
        <f t="shared" si="174"/>
        <v>2</v>
      </c>
      <c r="J449" s="10">
        <f t="shared" si="174"/>
        <v>0</v>
      </c>
      <c r="K449" s="10">
        <f t="shared" si="174"/>
        <v>0</v>
      </c>
      <c r="L449" s="10">
        <f t="shared" si="174"/>
        <v>0</v>
      </c>
      <c r="M449" s="10">
        <f t="shared" si="174"/>
        <v>0</v>
      </c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</row>
    <row r="450" spans="1:73" s="1" customFormat="1">
      <c r="A450" s="5"/>
      <c r="B450" s="5">
        <f>B447*B448*B449</f>
        <v>29.44</v>
      </c>
      <c r="C450" s="5">
        <f>C447*C448*C449</f>
        <v>22.080000000000002</v>
      </c>
      <c r="D450" s="5">
        <f>D447*D448*D449</f>
        <v>7.36</v>
      </c>
      <c r="E450" s="5">
        <f>E447*E448*E449</f>
        <v>14.72</v>
      </c>
      <c r="F450" s="5">
        <f>F447*F448*F449</f>
        <v>14.72</v>
      </c>
      <c r="G450" s="5">
        <f t="shared" ref="G450:M450" si="175">G447*G448*G449</f>
        <v>73.600000000000009</v>
      </c>
      <c r="H450" s="5">
        <f t="shared" si="175"/>
        <v>7.36</v>
      </c>
      <c r="I450" s="5">
        <f t="shared" si="175"/>
        <v>14.72</v>
      </c>
      <c r="J450" s="5">
        <f t="shared" si="175"/>
        <v>0</v>
      </c>
      <c r="K450" s="5">
        <f t="shared" si="175"/>
        <v>0</v>
      </c>
      <c r="L450" s="5">
        <f t="shared" si="175"/>
        <v>0</v>
      </c>
      <c r="M450" s="5">
        <f t="shared" si="175"/>
        <v>0</v>
      </c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</row>
    <row r="451" spans="1:73" s="1" customFormat="1" ht="15.75" thickBot="1">
      <c r="A451" s="5"/>
      <c r="B451" s="5"/>
      <c r="C451" s="5"/>
      <c r="D451" s="5"/>
      <c r="E451" s="5"/>
      <c r="F451" s="5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</row>
    <row r="452" spans="1:73" s="1" customFormat="1" ht="19.5" thickBot="1">
      <c r="A452" s="5"/>
      <c r="B452" s="5"/>
      <c r="C452" s="32" t="s">
        <v>108</v>
      </c>
      <c r="D452" s="5">
        <f>SUM(B450:M450)</f>
        <v>184.00000000000003</v>
      </c>
      <c r="E452" s="3">
        <f>D452*0.617</f>
        <v>113.52800000000002</v>
      </c>
      <c r="F452" s="5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</row>
    <row r="458" spans="1:73" s="1" customFormat="1" ht="15.75" thickBot="1"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</row>
    <row r="459" spans="1:73" s="1" customFormat="1" ht="19.5" thickBot="1">
      <c r="B459" s="19" t="s">
        <v>109</v>
      </c>
      <c r="C459" s="31"/>
      <c r="D459" s="31"/>
      <c r="E459" s="3">
        <f>B460*B461</f>
        <v>228.47000000000003</v>
      </c>
      <c r="H459" s="10"/>
      <c r="I459" s="10"/>
      <c r="J459" s="10"/>
      <c r="K459" s="10"/>
      <c r="L459" s="10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</row>
    <row r="460" spans="1:73" s="1" customFormat="1">
      <c r="A460" s="5" t="s">
        <v>54</v>
      </c>
      <c r="B460" s="4">
        <v>147.4</v>
      </c>
      <c r="H460" s="4"/>
      <c r="I460" s="4"/>
      <c r="J460" s="4"/>
      <c r="K460" s="4"/>
      <c r="L460" s="4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</row>
    <row r="461" spans="1:73" s="1" customFormat="1">
      <c r="A461" s="5" t="s">
        <v>51</v>
      </c>
      <c r="B461" s="1">
        <v>1.55</v>
      </c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</row>
    <row r="462" spans="1:73" s="1" customFormat="1">
      <c r="B462" s="5"/>
      <c r="H462" s="4"/>
      <c r="I462" s="4"/>
      <c r="J462" s="4"/>
      <c r="K462" s="4"/>
      <c r="L462" s="4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</row>
    <row r="463" spans="1:73" s="1" customFormat="1">
      <c r="H463" s="10"/>
      <c r="I463" s="10"/>
      <c r="J463" s="10"/>
      <c r="K463" s="10"/>
      <c r="L463" s="10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</row>
    <row r="466" spans="1:73" s="1" customFormat="1" ht="28.5">
      <c r="C466" s="207" t="s">
        <v>25</v>
      </c>
      <c r="D466" s="207"/>
      <c r="E466" s="207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</row>
    <row r="467" spans="1:73" s="1" customFormat="1" ht="29.25" thickBot="1">
      <c r="C467" s="33"/>
      <c r="D467" s="33"/>
      <c r="E467" s="33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</row>
    <row r="468" spans="1:73" s="1" customFormat="1" ht="19.5" thickBot="1">
      <c r="B468" s="203" t="s">
        <v>110</v>
      </c>
      <c r="C468" s="203"/>
      <c r="D468" s="206"/>
      <c r="E468" s="3">
        <f>ROUNDUP(F478+F470+F486,0)</f>
        <v>7</v>
      </c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</row>
    <row r="469" spans="1:73" s="1" customFormat="1">
      <c r="E469" s="7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</row>
    <row r="470" spans="1:73" s="1" customFormat="1">
      <c r="A470" s="5" t="s">
        <v>111</v>
      </c>
      <c r="D470" s="1" t="s">
        <v>112</v>
      </c>
      <c r="F470" s="6">
        <f>SUM(B476:G476)</f>
        <v>3.5284299999999997</v>
      </c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</row>
    <row r="471" spans="1:73" s="1" customFormat="1">
      <c r="B471" s="10" t="s">
        <v>113</v>
      </c>
      <c r="C471" s="10" t="s">
        <v>114</v>
      </c>
      <c r="D471" s="10" t="s">
        <v>115</v>
      </c>
      <c r="E471" s="10" t="s">
        <v>116</v>
      </c>
      <c r="F471" s="10" t="s">
        <v>117</v>
      </c>
      <c r="G471" s="10" t="s">
        <v>118</v>
      </c>
      <c r="H471" s="10"/>
      <c r="I471" s="10"/>
      <c r="J471" s="10"/>
      <c r="K471" s="10"/>
      <c r="L471" s="10"/>
      <c r="M471" s="10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</row>
    <row r="472" spans="1:73" s="1" customFormat="1">
      <c r="A472" s="4" t="s">
        <v>49</v>
      </c>
      <c r="B472" s="1">
        <v>0.23</v>
      </c>
      <c r="C472" s="1">
        <v>0.23</v>
      </c>
      <c r="D472" s="1">
        <v>0.23</v>
      </c>
      <c r="E472" s="1">
        <v>0.23</v>
      </c>
      <c r="F472" s="1">
        <v>0.23</v>
      </c>
      <c r="G472" s="1">
        <v>0.23</v>
      </c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</row>
    <row r="473" spans="1:73" s="1" customFormat="1">
      <c r="A473" s="4" t="s">
        <v>50</v>
      </c>
      <c r="B473" s="1">
        <v>0.23</v>
      </c>
      <c r="C473" s="1">
        <v>0.23</v>
      </c>
      <c r="D473" s="1">
        <v>0.23</v>
      </c>
      <c r="E473" s="1">
        <v>0.23</v>
      </c>
      <c r="F473" s="1">
        <v>0.23</v>
      </c>
      <c r="G473" s="1">
        <v>0.23</v>
      </c>
      <c r="J473" s="4"/>
      <c r="K473" s="4"/>
      <c r="L473" s="4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</row>
    <row r="474" spans="1:73" s="1" customFormat="1">
      <c r="A474" s="1" t="s">
        <v>51</v>
      </c>
      <c r="B474" s="4">
        <v>2.9</v>
      </c>
      <c r="C474" s="4">
        <v>2.9</v>
      </c>
      <c r="D474" s="4">
        <v>2.7</v>
      </c>
      <c r="E474" s="4">
        <v>2.73</v>
      </c>
      <c r="F474" s="4">
        <v>2.73</v>
      </c>
      <c r="G474" s="4">
        <v>2.7</v>
      </c>
      <c r="H474" s="4"/>
      <c r="I474" s="4"/>
      <c r="J474" s="4"/>
      <c r="K474" s="4"/>
      <c r="L474" s="4"/>
      <c r="M474" s="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</row>
    <row r="475" spans="1:73" s="1" customFormat="1">
      <c r="A475" s="1" t="s">
        <v>52</v>
      </c>
      <c r="B475" s="10">
        <v>17</v>
      </c>
      <c r="C475" s="10">
        <v>6</v>
      </c>
      <c r="D475" s="10">
        <v>0</v>
      </c>
      <c r="E475" s="10">
        <v>0</v>
      </c>
      <c r="F475" s="10">
        <v>0</v>
      </c>
      <c r="G475" s="10">
        <v>0</v>
      </c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</row>
    <row r="476" spans="1:73" s="1" customFormat="1">
      <c r="B476" s="6">
        <f t="shared" ref="B476:G476" si="176">B472*B473*B474*B475</f>
        <v>2.6079699999999999</v>
      </c>
      <c r="C476" s="6">
        <f t="shared" si="176"/>
        <v>0.92045999999999994</v>
      </c>
      <c r="D476" s="6">
        <f t="shared" si="176"/>
        <v>0</v>
      </c>
      <c r="E476" s="6">
        <f t="shared" si="176"/>
        <v>0</v>
      </c>
      <c r="F476" s="6">
        <f t="shared" si="176"/>
        <v>0</v>
      </c>
      <c r="G476" s="6">
        <f t="shared" si="176"/>
        <v>0</v>
      </c>
      <c r="H476" s="7"/>
      <c r="I476" s="7"/>
      <c r="J476" s="7"/>
      <c r="K476" s="7"/>
      <c r="L476" s="7"/>
      <c r="M476" s="7"/>
      <c r="N476" s="34"/>
      <c r="O476" s="34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</row>
    <row r="477" spans="1:73" s="1" customFormat="1">
      <c r="H477" s="34"/>
      <c r="I477" s="34"/>
      <c r="J477" s="34"/>
      <c r="K477" s="34"/>
      <c r="L477" s="34"/>
      <c r="M477" s="34"/>
      <c r="N477" s="34"/>
      <c r="O477" s="34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</row>
    <row r="478" spans="1:73" s="1" customFormat="1">
      <c r="A478" s="5" t="s">
        <v>119</v>
      </c>
      <c r="D478" s="1" t="s">
        <v>120</v>
      </c>
      <c r="F478" s="6">
        <f>SUM(B484:G484)</f>
        <v>2.7428649999999997</v>
      </c>
      <c r="H478" s="34"/>
      <c r="I478" s="34"/>
      <c r="J478" s="34"/>
      <c r="K478" s="34"/>
      <c r="L478" s="34"/>
      <c r="M478" s="34"/>
      <c r="N478" s="34"/>
      <c r="O478" s="34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</row>
    <row r="479" spans="1:73" s="1" customFormat="1">
      <c r="B479" s="10" t="str">
        <f t="shared" ref="B479:G479" si="177">B471</f>
        <v>COL 1</v>
      </c>
      <c r="C479" s="10" t="str">
        <f t="shared" si="177"/>
        <v>COL 2</v>
      </c>
      <c r="D479" s="10" t="str">
        <f t="shared" si="177"/>
        <v>COL 2'</v>
      </c>
      <c r="E479" s="10" t="str">
        <f t="shared" si="177"/>
        <v>COL 3</v>
      </c>
      <c r="F479" s="10" t="str">
        <f t="shared" si="177"/>
        <v>COL 3'</v>
      </c>
      <c r="G479" s="10" t="str">
        <f t="shared" si="177"/>
        <v>COL 4</v>
      </c>
      <c r="H479" s="35"/>
      <c r="I479" s="35"/>
      <c r="J479" s="35"/>
      <c r="K479" s="35"/>
      <c r="L479" s="35"/>
      <c r="M479" s="35"/>
      <c r="N479" s="34"/>
      <c r="O479" s="34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</row>
    <row r="480" spans="1:73" s="1" customFormat="1">
      <c r="A480" s="4" t="s">
        <v>49</v>
      </c>
      <c r="B480" s="1">
        <v>0.23</v>
      </c>
      <c r="C480" s="1">
        <v>0.23</v>
      </c>
      <c r="D480" s="1">
        <v>0.23</v>
      </c>
      <c r="E480" s="1">
        <v>0.23</v>
      </c>
      <c r="F480" s="1">
        <v>0.23</v>
      </c>
      <c r="G480" s="1">
        <v>0.23</v>
      </c>
      <c r="H480" s="34"/>
      <c r="I480" s="34"/>
      <c r="J480" s="34"/>
      <c r="K480" s="34"/>
      <c r="L480" s="34"/>
      <c r="M480" s="34"/>
      <c r="N480" s="34"/>
      <c r="O480" s="34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</row>
    <row r="481" spans="1:73" s="1" customFormat="1">
      <c r="A481" s="4" t="s">
        <v>50</v>
      </c>
      <c r="B481" s="1">
        <v>0.23</v>
      </c>
      <c r="C481" s="1">
        <v>0.23</v>
      </c>
      <c r="D481" s="1">
        <v>0.23</v>
      </c>
      <c r="E481" s="1">
        <v>0.23</v>
      </c>
      <c r="F481" s="1">
        <v>0.23</v>
      </c>
      <c r="G481" s="1">
        <v>0.23</v>
      </c>
      <c r="H481" s="34"/>
      <c r="I481" s="34"/>
      <c r="J481" s="34"/>
      <c r="K481" s="36"/>
      <c r="L481" s="36"/>
      <c r="M481" s="34"/>
      <c r="N481" s="34"/>
      <c r="O481" s="34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</row>
    <row r="482" spans="1:73" s="1" customFormat="1">
      <c r="A482" s="1" t="s">
        <v>51</v>
      </c>
      <c r="B482" s="4">
        <v>3.05</v>
      </c>
      <c r="C482" s="4">
        <v>2.7</v>
      </c>
      <c r="D482" s="4">
        <v>2.73</v>
      </c>
      <c r="E482" s="4">
        <f>2.7</f>
        <v>2.7</v>
      </c>
      <c r="F482" s="4">
        <v>2.73</v>
      </c>
      <c r="G482" s="4">
        <v>2.7</v>
      </c>
      <c r="H482" s="36"/>
      <c r="I482" s="36"/>
      <c r="J482" s="36"/>
      <c r="K482" s="36"/>
      <c r="L482" s="36"/>
      <c r="M482" s="36"/>
      <c r="N482" s="34"/>
      <c r="O482" s="34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</row>
    <row r="483" spans="1:73" s="1" customFormat="1">
      <c r="A483" s="1" t="s">
        <v>52</v>
      </c>
      <c r="B483" s="10">
        <v>17</v>
      </c>
      <c r="C483" s="10">
        <v>0</v>
      </c>
      <c r="D483" s="10">
        <v>0</v>
      </c>
      <c r="E483" s="10">
        <v>0</v>
      </c>
      <c r="F483" s="10">
        <v>0</v>
      </c>
      <c r="G483" s="10">
        <v>0</v>
      </c>
      <c r="H483" s="34"/>
      <c r="I483" s="34"/>
      <c r="J483" s="34"/>
      <c r="K483" s="34"/>
      <c r="L483" s="34"/>
      <c r="M483" s="34"/>
      <c r="N483" s="34"/>
      <c r="O483" s="34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</row>
    <row r="484" spans="1:73" s="1" customFormat="1">
      <c r="B484" s="6">
        <f t="shared" ref="B484:G484" si="178">B480*B481*B482*B483</f>
        <v>2.7428649999999997</v>
      </c>
      <c r="C484" s="6">
        <f t="shared" si="178"/>
        <v>0</v>
      </c>
      <c r="D484" s="6">
        <f t="shared" si="178"/>
        <v>0</v>
      </c>
      <c r="E484" s="6">
        <f t="shared" si="178"/>
        <v>0</v>
      </c>
      <c r="F484" s="6">
        <f t="shared" si="178"/>
        <v>0</v>
      </c>
      <c r="G484" s="6">
        <f t="shared" si="178"/>
        <v>0</v>
      </c>
      <c r="H484" s="7"/>
      <c r="I484" s="7"/>
      <c r="J484" s="7"/>
      <c r="K484" s="7"/>
      <c r="L484" s="7"/>
      <c r="M484" s="7"/>
      <c r="N484" s="34"/>
      <c r="O484" s="3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</row>
    <row r="485" spans="1:73" s="1" customFormat="1">
      <c r="H485" s="34"/>
      <c r="I485" s="34"/>
      <c r="J485" s="34"/>
      <c r="K485" s="34"/>
      <c r="L485" s="34"/>
      <c r="M485" s="34"/>
      <c r="N485" s="34"/>
      <c r="O485" s="34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</row>
    <row r="486" spans="1:73" s="1" customFormat="1">
      <c r="A486" s="5" t="s">
        <v>121</v>
      </c>
      <c r="D486" s="1" t="s">
        <v>120</v>
      </c>
      <c r="F486" s="6">
        <f>SUM(B492:G492)</f>
        <v>0</v>
      </c>
      <c r="H486" s="34"/>
      <c r="I486" s="34"/>
      <c r="J486" s="34"/>
      <c r="K486" s="34"/>
      <c r="L486" s="34"/>
      <c r="M486" s="34"/>
      <c r="N486" s="34"/>
      <c r="O486" s="34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</row>
    <row r="487" spans="1:73" s="1" customFormat="1">
      <c r="B487" s="10" t="str">
        <f t="shared" ref="B487:G490" si="179">B479</f>
        <v>COL 1</v>
      </c>
      <c r="C487" s="10" t="str">
        <f t="shared" si="179"/>
        <v>COL 2</v>
      </c>
      <c r="D487" s="10" t="str">
        <f t="shared" si="179"/>
        <v>COL 2'</v>
      </c>
      <c r="E487" s="10" t="str">
        <f t="shared" si="179"/>
        <v>COL 3</v>
      </c>
      <c r="F487" s="10" t="str">
        <f t="shared" si="179"/>
        <v>COL 3'</v>
      </c>
      <c r="G487" s="10" t="str">
        <f t="shared" si="179"/>
        <v>COL 4</v>
      </c>
      <c r="H487" s="35"/>
      <c r="I487" s="35"/>
      <c r="J487" s="35"/>
      <c r="K487" s="35"/>
      <c r="L487" s="35"/>
      <c r="M487" s="35"/>
      <c r="N487" s="34"/>
      <c r="O487" s="34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</row>
    <row r="488" spans="1:73" s="1" customFormat="1">
      <c r="A488" s="4" t="s">
        <v>49</v>
      </c>
      <c r="B488" s="10">
        <f t="shared" si="179"/>
        <v>0.23</v>
      </c>
      <c r="C488" s="10">
        <f t="shared" si="179"/>
        <v>0.23</v>
      </c>
      <c r="D488" s="1">
        <v>0.23</v>
      </c>
      <c r="E488" s="1">
        <v>0.23</v>
      </c>
      <c r="F488" s="1">
        <v>0.23</v>
      </c>
      <c r="G488" s="1">
        <v>0.23</v>
      </c>
      <c r="H488" s="34"/>
      <c r="I488" s="34"/>
      <c r="J488" s="34"/>
      <c r="K488" s="34"/>
      <c r="L488" s="34"/>
      <c r="M488" s="34"/>
      <c r="N488" s="34"/>
      <c r="O488" s="34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</row>
    <row r="489" spans="1:73" s="1" customFormat="1">
      <c r="A489" s="4" t="s">
        <v>50</v>
      </c>
      <c r="B489" s="10">
        <f t="shared" si="179"/>
        <v>0.23</v>
      </c>
      <c r="C489" s="10">
        <f t="shared" si="179"/>
        <v>0.23</v>
      </c>
      <c r="D489" s="1">
        <v>0.23</v>
      </c>
      <c r="E489" s="1">
        <v>0.3</v>
      </c>
      <c r="F489" s="1">
        <v>0.3</v>
      </c>
      <c r="G489" s="1">
        <v>0.3</v>
      </c>
      <c r="H489" s="34"/>
      <c r="I489" s="34"/>
      <c r="J489" s="36"/>
      <c r="K489" s="36"/>
      <c r="L489" s="36"/>
      <c r="M489" s="34"/>
      <c r="N489" s="34"/>
      <c r="O489" s="34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</row>
    <row r="490" spans="1:73" s="1" customFormat="1">
      <c r="A490" s="1" t="s">
        <v>51</v>
      </c>
      <c r="B490" s="10">
        <f t="shared" si="179"/>
        <v>3.05</v>
      </c>
      <c r="C490" s="10">
        <f t="shared" si="179"/>
        <v>2.7</v>
      </c>
      <c r="D490" s="4">
        <v>2.7</v>
      </c>
      <c r="E490" s="4">
        <v>2.85</v>
      </c>
      <c r="F490" s="4">
        <v>2.7</v>
      </c>
      <c r="G490" s="4">
        <v>2.85</v>
      </c>
      <c r="H490" s="36"/>
      <c r="I490" s="36"/>
      <c r="J490" s="36"/>
      <c r="K490" s="36"/>
      <c r="L490" s="36"/>
      <c r="M490" s="36"/>
      <c r="N490" s="34"/>
      <c r="O490" s="34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</row>
    <row r="491" spans="1:73" s="1" customFormat="1">
      <c r="A491" s="1" t="s">
        <v>52</v>
      </c>
      <c r="B491" s="10">
        <v>0</v>
      </c>
      <c r="C491" s="10">
        <v>0</v>
      </c>
      <c r="D491" s="10">
        <v>0</v>
      </c>
      <c r="E491" s="10">
        <v>0</v>
      </c>
      <c r="F491" s="10">
        <v>0</v>
      </c>
      <c r="G491" s="10">
        <v>0</v>
      </c>
      <c r="H491" s="34"/>
      <c r="I491" s="34"/>
      <c r="J491" s="34"/>
      <c r="K491" s="34"/>
      <c r="L491" s="34"/>
      <c r="M491" s="34"/>
      <c r="N491" s="34"/>
      <c r="O491" s="34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</row>
    <row r="492" spans="1:73" s="1" customFormat="1">
      <c r="B492" s="6">
        <f t="shared" ref="B492:G492" si="180">B488*B489*B490*B491</f>
        <v>0</v>
      </c>
      <c r="C492" s="6">
        <f t="shared" si="180"/>
        <v>0</v>
      </c>
      <c r="D492" s="6">
        <f t="shared" si="180"/>
        <v>0</v>
      </c>
      <c r="E492" s="6">
        <f t="shared" si="180"/>
        <v>0</v>
      </c>
      <c r="F492" s="6">
        <f t="shared" si="180"/>
        <v>0</v>
      </c>
      <c r="G492" s="6">
        <f t="shared" si="180"/>
        <v>0</v>
      </c>
      <c r="H492" s="7"/>
      <c r="I492" s="7"/>
      <c r="J492" s="7"/>
      <c r="K492" s="7"/>
      <c r="L492" s="7"/>
      <c r="M492" s="7"/>
      <c r="N492" s="34"/>
      <c r="O492" s="34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</row>
    <row r="494" spans="1:73" s="1" customFormat="1" ht="15.75" thickBot="1"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</row>
    <row r="495" spans="1:73" s="1" customFormat="1" ht="19.5" thickBot="1">
      <c r="B495" s="203" t="s">
        <v>86</v>
      </c>
      <c r="C495" s="203"/>
      <c r="D495" s="203"/>
      <c r="E495" s="206"/>
      <c r="F495" s="3">
        <f>ROUNDUP(F497+F505+F513,0)</f>
        <v>110</v>
      </c>
      <c r="G495" s="37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</row>
    <row r="496" spans="1:73" s="1" customFormat="1">
      <c r="D496" s="38"/>
      <c r="F496" s="7"/>
      <c r="G496" s="37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</row>
    <row r="497" spans="1:73" s="1" customFormat="1">
      <c r="A497" s="5" t="str">
        <f>A470</f>
        <v>GROUND</v>
      </c>
      <c r="D497" s="1" t="s">
        <v>112</v>
      </c>
      <c r="F497" s="18">
        <f>SUM(B503:M503)</f>
        <v>61.364000000000004</v>
      </c>
      <c r="H497" s="34"/>
      <c r="I497" s="7"/>
      <c r="J497" s="34"/>
      <c r="K497" s="34"/>
      <c r="L497" s="34"/>
      <c r="M497" s="34"/>
      <c r="N497" s="7"/>
      <c r="O497" s="34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</row>
    <row r="498" spans="1:73" s="1" customFormat="1">
      <c r="B498" s="10" t="str">
        <f t="shared" ref="B498:G502" si="181">B471</f>
        <v>COL 1</v>
      </c>
      <c r="C498" s="10" t="str">
        <f t="shared" si="181"/>
        <v>COL 2</v>
      </c>
      <c r="D498" s="10" t="str">
        <f t="shared" si="181"/>
        <v>COL 2'</v>
      </c>
      <c r="E498" s="10" t="str">
        <f t="shared" si="181"/>
        <v>COL 3</v>
      </c>
      <c r="F498" s="10" t="str">
        <f t="shared" si="181"/>
        <v>COL 3'</v>
      </c>
      <c r="G498" s="10" t="str">
        <f t="shared" si="181"/>
        <v>COL 4</v>
      </c>
      <c r="H498" s="35"/>
      <c r="I498" s="35"/>
      <c r="J498" s="35"/>
      <c r="K498" s="35"/>
      <c r="L498" s="35"/>
      <c r="M498" s="35"/>
      <c r="N498" s="34"/>
      <c r="O498" s="34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</row>
    <row r="499" spans="1:73" s="1" customFormat="1">
      <c r="A499" s="4" t="s">
        <v>49</v>
      </c>
      <c r="B499" s="10">
        <f t="shared" si="181"/>
        <v>0.23</v>
      </c>
      <c r="C499" s="10">
        <f t="shared" si="181"/>
        <v>0.23</v>
      </c>
      <c r="D499" s="10">
        <f t="shared" si="181"/>
        <v>0.23</v>
      </c>
      <c r="E499" s="10">
        <f t="shared" si="181"/>
        <v>0.23</v>
      </c>
      <c r="F499" s="10">
        <f t="shared" si="181"/>
        <v>0.23</v>
      </c>
      <c r="G499" s="10">
        <f t="shared" si="181"/>
        <v>0.23</v>
      </c>
      <c r="H499" s="35"/>
      <c r="I499" s="35"/>
      <c r="J499" s="35"/>
      <c r="K499" s="35"/>
      <c r="L499" s="34"/>
      <c r="M499" s="34"/>
      <c r="N499" s="34"/>
      <c r="O499" s="34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</row>
    <row r="500" spans="1:73" s="1" customFormat="1">
      <c r="A500" s="4" t="s">
        <v>50</v>
      </c>
      <c r="B500" s="10">
        <f t="shared" si="181"/>
        <v>0.23</v>
      </c>
      <c r="C500" s="10">
        <f t="shared" si="181"/>
        <v>0.23</v>
      </c>
      <c r="D500" s="10">
        <f t="shared" si="181"/>
        <v>0.23</v>
      </c>
      <c r="E500" s="10">
        <f t="shared" si="181"/>
        <v>0.23</v>
      </c>
      <c r="F500" s="10">
        <f t="shared" si="181"/>
        <v>0.23</v>
      </c>
      <c r="G500" s="10">
        <f t="shared" si="181"/>
        <v>0.23</v>
      </c>
      <c r="H500" s="35"/>
      <c r="I500" s="35"/>
      <c r="J500" s="35"/>
      <c r="K500" s="35"/>
      <c r="L500" s="36"/>
      <c r="M500" s="34"/>
      <c r="N500" s="34"/>
      <c r="O500" s="34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</row>
    <row r="501" spans="1:73" s="1" customFormat="1">
      <c r="A501" s="1" t="s">
        <v>51</v>
      </c>
      <c r="B501" s="10">
        <f t="shared" si="181"/>
        <v>2.9</v>
      </c>
      <c r="C501" s="10">
        <f t="shared" si="181"/>
        <v>2.9</v>
      </c>
      <c r="D501" s="10">
        <f t="shared" si="181"/>
        <v>2.7</v>
      </c>
      <c r="E501" s="10">
        <f t="shared" si="181"/>
        <v>2.73</v>
      </c>
      <c r="F501" s="10">
        <f t="shared" si="181"/>
        <v>2.73</v>
      </c>
      <c r="G501" s="10">
        <f t="shared" si="181"/>
        <v>2.7</v>
      </c>
      <c r="H501" s="35"/>
      <c r="I501" s="35"/>
      <c r="J501" s="35"/>
      <c r="K501" s="35"/>
      <c r="L501" s="36"/>
      <c r="M501" s="36"/>
      <c r="N501" s="34"/>
      <c r="O501" s="34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</row>
    <row r="502" spans="1:73" s="1" customFormat="1">
      <c r="A502" s="1" t="s">
        <v>52</v>
      </c>
      <c r="B502" s="10">
        <f t="shared" si="181"/>
        <v>17</v>
      </c>
      <c r="C502" s="10">
        <f t="shared" si="181"/>
        <v>6</v>
      </c>
      <c r="D502" s="10">
        <f t="shared" si="181"/>
        <v>0</v>
      </c>
      <c r="E502" s="10">
        <f t="shared" si="181"/>
        <v>0</v>
      </c>
      <c r="F502" s="10">
        <f t="shared" si="181"/>
        <v>0</v>
      </c>
      <c r="G502" s="10">
        <f t="shared" si="181"/>
        <v>0</v>
      </c>
      <c r="H502" s="35"/>
      <c r="I502" s="35"/>
      <c r="J502" s="35"/>
      <c r="K502" s="35"/>
      <c r="L502" s="34"/>
      <c r="M502" s="34"/>
      <c r="N502" s="34"/>
      <c r="O502" s="34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</row>
    <row r="503" spans="1:73" s="1" customFormat="1">
      <c r="B503" s="6">
        <f t="shared" ref="B503:G503" si="182">((B501*B499*2)+(B501*B500*2))*B502</f>
        <v>45.356000000000002</v>
      </c>
      <c r="C503" s="6">
        <f t="shared" si="182"/>
        <v>16.008000000000003</v>
      </c>
      <c r="D503" s="6">
        <f t="shared" si="182"/>
        <v>0</v>
      </c>
      <c r="E503" s="6">
        <f t="shared" si="182"/>
        <v>0</v>
      </c>
      <c r="F503" s="6">
        <f t="shared" si="182"/>
        <v>0</v>
      </c>
      <c r="G503" s="6">
        <f t="shared" si="182"/>
        <v>0</v>
      </c>
      <c r="H503" s="7"/>
      <c r="I503" s="7"/>
      <c r="J503" s="7"/>
      <c r="K503" s="7"/>
      <c r="L503" s="7"/>
      <c r="M503" s="7"/>
      <c r="N503" s="34"/>
      <c r="O503" s="34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</row>
    <row r="504" spans="1:73" s="1" customFormat="1">
      <c r="H504" s="34"/>
      <c r="I504" s="34"/>
      <c r="J504" s="34"/>
      <c r="K504" s="34"/>
      <c r="L504" s="34"/>
      <c r="M504" s="34"/>
      <c r="N504" s="34"/>
      <c r="O504" s="3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</row>
    <row r="505" spans="1:73" s="1" customFormat="1">
      <c r="A505" s="5" t="str">
        <f>A478</f>
        <v>FIRST</v>
      </c>
      <c r="D505" s="1" t="s">
        <v>112</v>
      </c>
      <c r="F505" s="6">
        <f>SUM(B511:M511)</f>
        <v>47.701999999999998</v>
      </c>
      <c r="H505" s="34"/>
      <c r="I505" s="34"/>
      <c r="J505" s="34"/>
      <c r="K505" s="34"/>
      <c r="L505" s="34"/>
      <c r="M505" s="34"/>
      <c r="N505" s="34"/>
      <c r="O505" s="34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</row>
    <row r="506" spans="1:73" s="1" customFormat="1">
      <c r="B506" s="10" t="str">
        <f t="shared" ref="B506:G510" si="183">B479</f>
        <v>COL 1</v>
      </c>
      <c r="C506" s="10" t="str">
        <f t="shared" si="183"/>
        <v>COL 2</v>
      </c>
      <c r="D506" s="10" t="str">
        <f t="shared" si="183"/>
        <v>COL 2'</v>
      </c>
      <c r="E506" s="10" t="str">
        <f t="shared" si="183"/>
        <v>COL 3</v>
      </c>
      <c r="F506" s="10" t="str">
        <f t="shared" si="183"/>
        <v>COL 3'</v>
      </c>
      <c r="G506" s="10" t="str">
        <f t="shared" si="183"/>
        <v>COL 4</v>
      </c>
      <c r="H506" s="35"/>
      <c r="I506" s="35"/>
      <c r="J506" s="35"/>
      <c r="K506" s="35"/>
      <c r="L506" s="35"/>
      <c r="M506" s="35"/>
      <c r="N506" s="34"/>
      <c r="O506" s="34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</row>
    <row r="507" spans="1:73" s="1" customFormat="1">
      <c r="A507" s="4" t="s">
        <v>49</v>
      </c>
      <c r="B507" s="10">
        <f t="shared" si="183"/>
        <v>0.23</v>
      </c>
      <c r="C507" s="10">
        <f t="shared" si="183"/>
        <v>0.23</v>
      </c>
      <c r="D507" s="10">
        <f t="shared" si="183"/>
        <v>0.23</v>
      </c>
      <c r="E507" s="10">
        <f t="shared" si="183"/>
        <v>0.23</v>
      </c>
      <c r="F507" s="10">
        <f t="shared" si="183"/>
        <v>0.23</v>
      </c>
      <c r="G507" s="10">
        <f t="shared" si="183"/>
        <v>0.23</v>
      </c>
      <c r="H507" s="35"/>
      <c r="I507" s="35"/>
      <c r="J507" s="35"/>
      <c r="K507" s="34"/>
      <c r="L507" s="34"/>
      <c r="M507" s="34"/>
      <c r="N507" s="34"/>
      <c r="O507" s="34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</row>
    <row r="508" spans="1:73" s="1" customFormat="1">
      <c r="A508" s="4" t="s">
        <v>50</v>
      </c>
      <c r="B508" s="10">
        <f t="shared" si="183"/>
        <v>0.23</v>
      </c>
      <c r="C508" s="10">
        <f t="shared" si="183"/>
        <v>0.23</v>
      </c>
      <c r="D508" s="10">
        <f t="shared" si="183"/>
        <v>0.23</v>
      </c>
      <c r="E508" s="10">
        <f t="shared" si="183"/>
        <v>0.23</v>
      </c>
      <c r="F508" s="10">
        <f t="shared" si="183"/>
        <v>0.23</v>
      </c>
      <c r="G508" s="10">
        <f t="shared" si="183"/>
        <v>0.23</v>
      </c>
      <c r="H508" s="35"/>
      <c r="I508" s="35"/>
      <c r="J508" s="35"/>
      <c r="K508" s="36"/>
      <c r="L508" s="36"/>
      <c r="M508" s="34"/>
      <c r="N508" s="34"/>
      <c r="O508" s="34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</row>
    <row r="509" spans="1:73" s="1" customFormat="1">
      <c r="A509" s="1" t="s">
        <v>51</v>
      </c>
      <c r="B509" s="10">
        <f t="shared" si="183"/>
        <v>3.05</v>
      </c>
      <c r="C509" s="10">
        <f t="shared" si="183"/>
        <v>2.7</v>
      </c>
      <c r="D509" s="10">
        <f t="shared" si="183"/>
        <v>2.73</v>
      </c>
      <c r="E509" s="10">
        <f t="shared" si="183"/>
        <v>2.7</v>
      </c>
      <c r="F509" s="10">
        <f t="shared" si="183"/>
        <v>2.73</v>
      </c>
      <c r="G509" s="10">
        <f t="shared" si="183"/>
        <v>2.7</v>
      </c>
      <c r="H509" s="35"/>
      <c r="I509" s="35"/>
      <c r="J509" s="35"/>
      <c r="K509" s="36"/>
      <c r="L509" s="36"/>
      <c r="M509" s="36"/>
      <c r="N509" s="34"/>
      <c r="O509" s="34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</row>
    <row r="510" spans="1:73" s="1" customFormat="1">
      <c r="A510" s="1" t="s">
        <v>52</v>
      </c>
      <c r="B510" s="10">
        <f t="shared" si="183"/>
        <v>17</v>
      </c>
      <c r="C510" s="10">
        <f t="shared" si="183"/>
        <v>0</v>
      </c>
      <c r="D510" s="10">
        <f t="shared" si="183"/>
        <v>0</v>
      </c>
      <c r="E510" s="10">
        <f t="shared" si="183"/>
        <v>0</v>
      </c>
      <c r="F510" s="10">
        <f t="shared" si="183"/>
        <v>0</v>
      </c>
      <c r="G510" s="10">
        <f t="shared" si="183"/>
        <v>0</v>
      </c>
      <c r="H510" s="35"/>
      <c r="I510" s="35"/>
      <c r="J510" s="35"/>
      <c r="K510" s="34"/>
      <c r="L510" s="34"/>
      <c r="M510" s="34"/>
      <c r="N510" s="34"/>
      <c r="O510" s="34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</row>
    <row r="511" spans="1:73" s="1" customFormat="1">
      <c r="B511" s="6">
        <f t="shared" ref="B511:G511" si="184">((B509*B507*2)+(B509*B508*2))*B510</f>
        <v>47.701999999999998</v>
      </c>
      <c r="C511" s="6">
        <f t="shared" si="184"/>
        <v>0</v>
      </c>
      <c r="D511" s="6">
        <f t="shared" si="184"/>
        <v>0</v>
      </c>
      <c r="E511" s="6">
        <f t="shared" si="184"/>
        <v>0</v>
      </c>
      <c r="F511" s="6">
        <f t="shared" si="184"/>
        <v>0</v>
      </c>
      <c r="G511" s="6">
        <f t="shared" si="184"/>
        <v>0</v>
      </c>
      <c r="H511" s="7"/>
      <c r="I511" s="7"/>
      <c r="J511" s="7"/>
      <c r="K511" s="7"/>
      <c r="L511" s="7"/>
      <c r="M511" s="7"/>
      <c r="N511" s="34"/>
      <c r="O511" s="34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</row>
    <row r="512" spans="1:73" s="1" customForma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34"/>
      <c r="O512" s="34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</row>
    <row r="513" spans="1:73" s="1" customFormat="1">
      <c r="A513" s="5" t="str">
        <f>A486</f>
        <v>PENT</v>
      </c>
      <c r="D513" s="1" t="s">
        <v>112</v>
      </c>
      <c r="F513" s="6">
        <f>SUM(B519:M519)</f>
        <v>0</v>
      </c>
      <c r="H513" s="34"/>
      <c r="I513" s="34"/>
      <c r="J513" s="34"/>
      <c r="K513" s="34"/>
      <c r="L513" s="34"/>
      <c r="M513" s="34"/>
      <c r="N513" s="34"/>
      <c r="O513" s="34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</row>
    <row r="514" spans="1:73" s="1" customFormat="1">
      <c r="B514" s="10" t="str">
        <f t="shared" ref="B514:G518" si="185">B487</f>
        <v>COL 1</v>
      </c>
      <c r="C514" s="10" t="str">
        <f t="shared" si="185"/>
        <v>COL 2</v>
      </c>
      <c r="D514" s="10" t="str">
        <f t="shared" si="185"/>
        <v>COL 2'</v>
      </c>
      <c r="E514" s="10" t="str">
        <f t="shared" si="185"/>
        <v>COL 3</v>
      </c>
      <c r="F514" s="10" t="str">
        <f t="shared" si="185"/>
        <v>COL 3'</v>
      </c>
      <c r="G514" s="10" t="str">
        <f t="shared" si="185"/>
        <v>COL 4</v>
      </c>
      <c r="H514" s="35"/>
      <c r="I514" s="35"/>
      <c r="J514" s="35"/>
      <c r="K514" s="35"/>
      <c r="L514" s="35"/>
      <c r="M514" s="35"/>
      <c r="N514" s="34"/>
      <c r="O514" s="3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</row>
    <row r="515" spans="1:73" s="1" customFormat="1">
      <c r="A515" s="4" t="s">
        <v>49</v>
      </c>
      <c r="B515" s="10">
        <f t="shared" si="185"/>
        <v>0.23</v>
      </c>
      <c r="C515" s="10">
        <f t="shared" si="185"/>
        <v>0.23</v>
      </c>
      <c r="D515" s="10">
        <f t="shared" si="185"/>
        <v>0.23</v>
      </c>
      <c r="E515" s="10">
        <f t="shared" si="185"/>
        <v>0.23</v>
      </c>
      <c r="F515" s="10">
        <f t="shared" si="185"/>
        <v>0.23</v>
      </c>
      <c r="G515" s="10">
        <f t="shared" si="185"/>
        <v>0.23</v>
      </c>
      <c r="H515" s="35"/>
      <c r="I515" s="35"/>
      <c r="J515" s="34"/>
      <c r="K515" s="34"/>
      <c r="L515" s="34"/>
      <c r="M515" s="34"/>
      <c r="N515" s="34"/>
      <c r="O515" s="34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</row>
    <row r="516" spans="1:73" s="1" customFormat="1">
      <c r="A516" s="4" t="s">
        <v>50</v>
      </c>
      <c r="B516" s="10">
        <f t="shared" si="185"/>
        <v>0.23</v>
      </c>
      <c r="C516" s="10">
        <f t="shared" si="185"/>
        <v>0.23</v>
      </c>
      <c r="D516" s="10">
        <f t="shared" si="185"/>
        <v>0.23</v>
      </c>
      <c r="E516" s="10">
        <f t="shared" si="185"/>
        <v>0.3</v>
      </c>
      <c r="F516" s="10">
        <f t="shared" si="185"/>
        <v>0.3</v>
      </c>
      <c r="G516" s="10">
        <f t="shared" si="185"/>
        <v>0.3</v>
      </c>
      <c r="H516" s="35"/>
      <c r="I516" s="35"/>
      <c r="J516" s="36"/>
      <c r="K516" s="36"/>
      <c r="L516" s="36"/>
      <c r="M516" s="34"/>
      <c r="N516" s="34"/>
      <c r="O516" s="34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</row>
    <row r="517" spans="1:73" s="1" customFormat="1">
      <c r="A517" s="1" t="s">
        <v>51</v>
      </c>
      <c r="B517" s="10">
        <f t="shared" si="185"/>
        <v>3.05</v>
      </c>
      <c r="C517" s="10">
        <f t="shared" si="185"/>
        <v>2.7</v>
      </c>
      <c r="D517" s="10">
        <f t="shared" si="185"/>
        <v>2.7</v>
      </c>
      <c r="E517" s="10">
        <f t="shared" si="185"/>
        <v>2.85</v>
      </c>
      <c r="F517" s="10">
        <f t="shared" si="185"/>
        <v>2.7</v>
      </c>
      <c r="G517" s="10">
        <f t="shared" si="185"/>
        <v>2.85</v>
      </c>
      <c r="H517" s="35"/>
      <c r="I517" s="35"/>
      <c r="J517" s="36"/>
      <c r="K517" s="36"/>
      <c r="L517" s="36"/>
      <c r="M517" s="36"/>
      <c r="N517" s="34"/>
      <c r="O517" s="34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</row>
    <row r="518" spans="1:73" s="1" customFormat="1">
      <c r="A518" s="1" t="s">
        <v>52</v>
      </c>
      <c r="B518" s="10">
        <f t="shared" si="185"/>
        <v>0</v>
      </c>
      <c r="C518" s="10">
        <f t="shared" si="185"/>
        <v>0</v>
      </c>
      <c r="D518" s="10">
        <f t="shared" si="185"/>
        <v>0</v>
      </c>
      <c r="E518" s="10">
        <f t="shared" si="185"/>
        <v>0</v>
      </c>
      <c r="F518" s="10">
        <f t="shared" si="185"/>
        <v>0</v>
      </c>
      <c r="G518" s="10">
        <f t="shared" si="185"/>
        <v>0</v>
      </c>
      <c r="H518" s="35"/>
      <c r="I518" s="35"/>
      <c r="J518" s="34"/>
      <c r="K518" s="34"/>
      <c r="L518" s="34"/>
      <c r="M518" s="34"/>
      <c r="N518" s="34"/>
      <c r="O518" s="34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</row>
    <row r="519" spans="1:73" s="1" customFormat="1">
      <c r="B519" s="6">
        <f t="shared" ref="B519:G519" si="186">((B517*B515*2)+(B517*B516*2))*B518</f>
        <v>0</v>
      </c>
      <c r="C519" s="6">
        <f t="shared" si="186"/>
        <v>0</v>
      </c>
      <c r="D519" s="6">
        <f t="shared" si="186"/>
        <v>0</v>
      </c>
      <c r="E519" s="6">
        <f t="shared" si="186"/>
        <v>0</v>
      </c>
      <c r="F519" s="6">
        <f t="shared" si="186"/>
        <v>0</v>
      </c>
      <c r="G519" s="6">
        <f t="shared" si="186"/>
        <v>0</v>
      </c>
      <c r="H519" s="7"/>
      <c r="I519" s="7"/>
      <c r="J519" s="7"/>
      <c r="K519" s="7"/>
      <c r="L519" s="7"/>
      <c r="M519" s="7"/>
      <c r="N519" s="34"/>
      <c r="O519" s="34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</row>
    <row r="520" spans="1:73" s="1" customFormat="1" ht="15.75" thickBo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34"/>
      <c r="O520" s="34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</row>
    <row r="521" spans="1:73" s="1" customFormat="1" ht="19.5" thickBot="1">
      <c r="B521" s="203" t="s">
        <v>122</v>
      </c>
      <c r="C521" s="203"/>
      <c r="D521" s="203"/>
      <c r="E521" s="39" t="s">
        <v>105</v>
      </c>
      <c r="F521" s="3">
        <f>E533+E544+E555</f>
        <v>0</v>
      </c>
      <c r="G521" s="7"/>
      <c r="H521" s="7"/>
      <c r="I521" s="7"/>
      <c r="J521" s="7"/>
      <c r="K521" s="7"/>
      <c r="L521" s="7"/>
      <c r="M521" s="7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</row>
    <row r="522" spans="1:73" s="1" customFormat="1" ht="19.5" thickBot="1">
      <c r="B522" s="7"/>
      <c r="C522" s="5"/>
      <c r="E522" s="19" t="s">
        <v>70</v>
      </c>
      <c r="F522" s="3">
        <f>ROUNDUP(E534+E545+E556,0)</f>
        <v>0</v>
      </c>
      <c r="G522" s="7"/>
      <c r="H522" s="7"/>
      <c r="I522" s="7"/>
      <c r="J522" s="7"/>
      <c r="K522" s="7"/>
      <c r="L522" s="7"/>
      <c r="M522" s="7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 s="42"/>
      <c r="BR522"/>
      <c r="BS522"/>
      <c r="BT522"/>
      <c r="BU522"/>
    </row>
    <row r="523" spans="1:73" s="1" customFormat="1" ht="19.5" thickBot="1">
      <c r="B523" s="7"/>
      <c r="C523" s="5"/>
      <c r="E523" s="39" t="s">
        <v>71</v>
      </c>
      <c r="F523" s="3">
        <f>ROUNDUP(E535+E546+E557,0)</f>
        <v>949</v>
      </c>
      <c r="G523" s="7"/>
      <c r="H523" s="7"/>
      <c r="I523" s="7"/>
      <c r="J523" s="7"/>
      <c r="K523" s="7"/>
      <c r="L523" s="7"/>
      <c r="M523" s="7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</row>
    <row r="524" spans="1:73" s="1" customFormat="1" ht="19.5" thickBot="1">
      <c r="B524" s="7"/>
      <c r="C524" s="5"/>
      <c r="E524" s="19" t="s">
        <v>108</v>
      </c>
      <c r="F524" s="3">
        <f>ROUNDUP(E569+E578+E587,0)</f>
        <v>364</v>
      </c>
      <c r="G524" s="7"/>
      <c r="H524" s="7"/>
      <c r="I524" s="7"/>
      <c r="J524" s="7"/>
      <c r="K524" s="7"/>
      <c r="L524" s="7"/>
      <c r="M524" s="7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</row>
    <row r="525" spans="1:73" s="1" customFormat="1" ht="19.5" thickBot="1">
      <c r="A525" s="5" t="str">
        <f>A497</f>
        <v>GROUND</v>
      </c>
      <c r="E525" s="19" t="s">
        <v>123</v>
      </c>
      <c r="F525" s="3">
        <f>ROUNDUP(E570+E579+E588,0)</f>
        <v>0</v>
      </c>
      <c r="H525" s="7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</row>
    <row r="526" spans="1:73" s="1" customFormat="1" ht="15.75" thickBot="1">
      <c r="A526" s="5" t="s">
        <v>87</v>
      </c>
      <c r="B526" s="5"/>
      <c r="C526" s="5"/>
      <c r="D526" s="5"/>
      <c r="E526" s="5"/>
      <c r="F526" s="5"/>
      <c r="H526" s="34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</row>
    <row r="527" spans="1:73" s="42" customFormat="1" ht="15.75" thickBot="1">
      <c r="A527" s="40"/>
      <c r="B527" s="41" t="str">
        <f t="shared" ref="B527:G527" si="187">B498</f>
        <v>COL 1</v>
      </c>
      <c r="C527" s="41" t="str">
        <f t="shared" si="187"/>
        <v>COL 2</v>
      </c>
      <c r="D527" s="41" t="str">
        <f t="shared" si="187"/>
        <v>COL 2'</v>
      </c>
      <c r="E527" s="41" t="str">
        <f t="shared" si="187"/>
        <v>COL 3</v>
      </c>
      <c r="F527" s="41" t="str">
        <f t="shared" si="187"/>
        <v>COL 3'</v>
      </c>
      <c r="G527" s="41" t="str">
        <f t="shared" si="187"/>
        <v>COL 4</v>
      </c>
      <c r="H527" s="41"/>
      <c r="I527" s="41"/>
      <c r="J527" s="41"/>
      <c r="K527" s="41"/>
      <c r="L527" s="41"/>
      <c r="M527" s="41"/>
      <c r="BQ527"/>
    </row>
    <row r="528" spans="1:73" s="1" customFormat="1">
      <c r="A528" s="4" t="s">
        <v>100</v>
      </c>
      <c r="B528" s="4">
        <v>4.0999999999999996</v>
      </c>
      <c r="C528" s="4">
        <v>3.5</v>
      </c>
      <c r="D528" s="4">
        <v>0</v>
      </c>
      <c r="E528" s="4">
        <v>4.25</v>
      </c>
      <c r="F528" s="4">
        <v>4.25</v>
      </c>
      <c r="G528" s="4">
        <v>0</v>
      </c>
      <c r="H528" s="4"/>
      <c r="I528" s="4"/>
      <c r="J528" s="4"/>
      <c r="K528" s="4"/>
      <c r="L528" s="4"/>
      <c r="M528" s="4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</row>
    <row r="529" spans="1:73" s="1" customFormat="1">
      <c r="A529" s="12" t="s">
        <v>101</v>
      </c>
      <c r="B529" s="12">
        <v>4</v>
      </c>
      <c r="C529" s="12">
        <v>4</v>
      </c>
      <c r="D529" s="12">
        <v>4</v>
      </c>
      <c r="E529" s="12">
        <v>4</v>
      </c>
      <c r="F529" s="12">
        <v>4</v>
      </c>
      <c r="G529" s="12">
        <v>4</v>
      </c>
      <c r="H529" s="12"/>
      <c r="I529" s="12"/>
      <c r="J529" s="12"/>
      <c r="K529" s="12"/>
      <c r="L529" s="12"/>
      <c r="M529" s="12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</row>
    <row r="530" spans="1:73" s="1" customFormat="1">
      <c r="A530" s="4"/>
      <c r="B530" s="4" t="s">
        <v>104</v>
      </c>
      <c r="C530" s="4" t="s">
        <v>104</v>
      </c>
      <c r="D530" s="4" t="s">
        <v>104</v>
      </c>
      <c r="E530" s="4" t="s">
        <v>104</v>
      </c>
      <c r="F530" s="4" t="s">
        <v>70</v>
      </c>
      <c r="G530" s="4" t="s">
        <v>104</v>
      </c>
      <c r="H530" s="4"/>
      <c r="I530" s="4"/>
      <c r="J530" s="4"/>
      <c r="K530" s="4"/>
      <c r="L530" s="4"/>
      <c r="M530" s="4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</row>
    <row r="531" spans="1:73" s="1" customFormat="1">
      <c r="A531" s="1" t="s">
        <v>52</v>
      </c>
      <c r="B531" s="10">
        <f t="shared" ref="B531:G531" si="188">B502</f>
        <v>17</v>
      </c>
      <c r="C531" s="10">
        <f t="shared" si="188"/>
        <v>6</v>
      </c>
      <c r="D531" s="10">
        <f t="shared" si="188"/>
        <v>0</v>
      </c>
      <c r="E531" s="10">
        <f t="shared" si="188"/>
        <v>0</v>
      </c>
      <c r="F531" s="10">
        <f t="shared" si="188"/>
        <v>0</v>
      </c>
      <c r="G531" s="10">
        <f t="shared" si="188"/>
        <v>0</v>
      </c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</row>
    <row r="532" spans="1:73" s="1" customFormat="1" ht="15.75" thickBot="1">
      <c r="A532" s="5"/>
      <c r="B532" s="5">
        <f t="shared" ref="B532:G532" si="189">B528*B529*B531</f>
        <v>278.79999999999995</v>
      </c>
      <c r="C532" s="5">
        <f t="shared" si="189"/>
        <v>84</v>
      </c>
      <c r="D532" s="5">
        <f t="shared" si="189"/>
        <v>0</v>
      </c>
      <c r="E532" s="5">
        <f t="shared" si="189"/>
        <v>0</v>
      </c>
      <c r="F532" s="5">
        <f t="shared" si="189"/>
        <v>0</v>
      </c>
      <c r="G532" s="5">
        <f t="shared" si="189"/>
        <v>0</v>
      </c>
      <c r="H532" s="5"/>
      <c r="I532" s="5"/>
      <c r="J532" s="5"/>
      <c r="K532" s="5"/>
      <c r="L532" s="5"/>
      <c r="M532" s="5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</row>
    <row r="533" spans="1:73" s="1" customFormat="1" ht="15.75" thickBot="1">
      <c r="A533" s="5"/>
      <c r="B533" s="5"/>
      <c r="C533" s="5" t="s">
        <v>105</v>
      </c>
      <c r="D533" s="20">
        <f>J532</f>
        <v>0</v>
      </c>
      <c r="E533" s="5">
        <f>D533*3.854</f>
        <v>0</v>
      </c>
      <c r="F533" s="5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 s="42"/>
      <c r="BR533"/>
      <c r="BS533"/>
      <c r="BT533"/>
      <c r="BU533"/>
    </row>
    <row r="534" spans="1:73" s="1" customFormat="1">
      <c r="A534" s="5"/>
      <c r="B534" s="5"/>
      <c r="C534" s="5" t="s">
        <v>70</v>
      </c>
      <c r="D534" s="20">
        <f>F532</f>
        <v>0</v>
      </c>
      <c r="E534" s="5">
        <f>D534*2.467</f>
        <v>0</v>
      </c>
      <c r="F534" s="5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</row>
    <row r="535" spans="1:73" s="1" customFormat="1">
      <c r="A535" s="5"/>
      <c r="B535" s="5"/>
      <c r="C535" s="5" t="s">
        <v>71</v>
      </c>
      <c r="D535" s="22">
        <f>B532+C532</f>
        <v>362.79999999999995</v>
      </c>
      <c r="E535" s="5">
        <f>D535*1.579</f>
        <v>572.86119999999994</v>
      </c>
      <c r="F535" s="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</row>
    <row r="536" spans="1:73" s="1" customFormat="1">
      <c r="A536" s="5" t="str">
        <f>A505</f>
        <v>FIRST</v>
      </c>
      <c r="B536" s="5"/>
      <c r="C536" s="5"/>
      <c r="D536" s="22"/>
      <c r="E536" s="5"/>
      <c r="F536" s="5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</row>
    <row r="537" spans="1:73" s="1" customFormat="1" ht="15.75" thickBot="1">
      <c r="A537" s="5" t="s">
        <v>87</v>
      </c>
      <c r="B537" s="5"/>
      <c r="C537" s="5"/>
      <c r="D537" s="5"/>
      <c r="E537" s="5"/>
      <c r="F537" s="5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</row>
    <row r="538" spans="1:73" s="42" customFormat="1" ht="15.75" thickBot="1">
      <c r="A538" s="40"/>
      <c r="B538" s="41" t="str">
        <f t="shared" ref="B538:G538" si="190">B527</f>
        <v>COL 1</v>
      </c>
      <c r="C538" s="41" t="str">
        <f t="shared" si="190"/>
        <v>COL 2</v>
      </c>
      <c r="D538" s="41" t="str">
        <f t="shared" si="190"/>
        <v>COL 2'</v>
      </c>
      <c r="E538" s="41" t="str">
        <f t="shared" si="190"/>
        <v>COL 3</v>
      </c>
      <c r="F538" s="41" t="str">
        <f t="shared" si="190"/>
        <v>COL 3'</v>
      </c>
      <c r="G538" s="41" t="str">
        <f t="shared" si="190"/>
        <v>COL 4</v>
      </c>
      <c r="H538" s="41"/>
      <c r="I538" s="41"/>
      <c r="J538" s="41"/>
      <c r="K538" s="41"/>
      <c r="L538" s="41"/>
      <c r="M538" s="41"/>
      <c r="BQ538"/>
    </row>
    <row r="539" spans="1:73" s="1" customFormat="1">
      <c r="A539" s="4" t="s">
        <v>100</v>
      </c>
      <c r="B539" s="4">
        <v>3.5</v>
      </c>
      <c r="C539" s="4">
        <v>3.2</v>
      </c>
      <c r="D539" s="4">
        <v>4.25</v>
      </c>
      <c r="E539" s="4">
        <v>3.2</v>
      </c>
      <c r="F539" s="4">
        <v>4.25</v>
      </c>
      <c r="G539" s="4">
        <v>3.2</v>
      </c>
      <c r="H539" s="4"/>
      <c r="I539" s="4"/>
      <c r="J539" s="4"/>
      <c r="K539" s="4"/>
      <c r="L539" s="4"/>
      <c r="M539" s="4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</row>
    <row r="540" spans="1:73" s="1" customFormat="1">
      <c r="A540" s="12" t="s">
        <v>101</v>
      </c>
      <c r="B540" s="12">
        <v>4</v>
      </c>
      <c r="C540" s="12">
        <v>4</v>
      </c>
      <c r="D540" s="12">
        <v>4</v>
      </c>
      <c r="E540" s="12">
        <v>4</v>
      </c>
      <c r="F540" s="12">
        <v>4</v>
      </c>
      <c r="G540" s="12">
        <v>4</v>
      </c>
      <c r="H540" s="12"/>
      <c r="I540" s="12"/>
      <c r="J540" s="12"/>
      <c r="K540" s="12"/>
      <c r="L540" s="12"/>
      <c r="M540" s="12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</row>
    <row r="541" spans="1:73" s="1" customFormat="1">
      <c r="A541" s="4"/>
      <c r="B541" s="4" t="s">
        <v>104</v>
      </c>
      <c r="C541" s="4" t="s">
        <v>104</v>
      </c>
      <c r="D541" s="4" t="s">
        <v>104</v>
      </c>
      <c r="E541" s="4" t="s">
        <v>104</v>
      </c>
      <c r="F541" s="4" t="s">
        <v>104</v>
      </c>
      <c r="G541" s="4" t="s">
        <v>104</v>
      </c>
      <c r="H541" s="4"/>
      <c r="I541" s="4"/>
      <c r="J541" s="4"/>
      <c r="K541" s="4"/>
      <c r="L541" s="4"/>
      <c r="M541" s="4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</row>
    <row r="542" spans="1:73" s="1" customFormat="1">
      <c r="A542" s="1" t="s">
        <v>52</v>
      </c>
      <c r="B542" s="10">
        <f t="shared" ref="B542:G542" si="191">B510</f>
        <v>17</v>
      </c>
      <c r="C542" s="10">
        <f t="shared" si="191"/>
        <v>0</v>
      </c>
      <c r="D542" s="10">
        <f t="shared" si="191"/>
        <v>0</v>
      </c>
      <c r="E542" s="10">
        <f t="shared" si="191"/>
        <v>0</v>
      </c>
      <c r="F542" s="10">
        <f t="shared" si="191"/>
        <v>0</v>
      </c>
      <c r="G542" s="10">
        <f t="shared" si="191"/>
        <v>0</v>
      </c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</row>
    <row r="543" spans="1:73" s="1" customFormat="1" ht="15.75" thickBot="1">
      <c r="A543" s="5"/>
      <c r="B543" s="5">
        <f t="shared" ref="B543:G543" si="192">B539*B540*B542</f>
        <v>238</v>
      </c>
      <c r="C543" s="5">
        <f t="shared" si="192"/>
        <v>0</v>
      </c>
      <c r="D543" s="5">
        <f t="shared" si="192"/>
        <v>0</v>
      </c>
      <c r="E543" s="5">
        <f t="shared" si="192"/>
        <v>0</v>
      </c>
      <c r="F543" s="5">
        <f t="shared" si="192"/>
        <v>0</v>
      </c>
      <c r="G543" s="5">
        <f t="shared" si="192"/>
        <v>0</v>
      </c>
      <c r="H543" s="5"/>
      <c r="I543" s="5"/>
      <c r="J543" s="5"/>
      <c r="K543" s="5"/>
      <c r="L543" s="5"/>
      <c r="M543" s="5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</row>
    <row r="544" spans="1:73" s="1" customFormat="1" ht="15.75" thickBot="1">
      <c r="A544" s="5"/>
      <c r="B544" s="5"/>
      <c r="C544" s="5" t="s">
        <v>105</v>
      </c>
      <c r="D544" s="20"/>
      <c r="E544" s="5">
        <f>D544*3.854</f>
        <v>0</v>
      </c>
      <c r="F544" s="5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 s="42"/>
      <c r="BR544"/>
      <c r="BS544"/>
      <c r="BT544"/>
      <c r="BU544"/>
    </row>
    <row r="545" spans="1:73" s="1" customFormat="1">
      <c r="A545" s="5"/>
      <c r="B545" s="5"/>
      <c r="C545" s="5" t="s">
        <v>70</v>
      </c>
      <c r="D545" s="20"/>
      <c r="E545" s="5">
        <f>D545*2.467</f>
        <v>0</v>
      </c>
      <c r="F545" s="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</row>
    <row r="546" spans="1:73" s="1" customFormat="1">
      <c r="A546" s="5"/>
      <c r="B546" s="5"/>
      <c r="C546" s="5" t="s">
        <v>71</v>
      </c>
      <c r="D546" s="22">
        <f>B543</f>
        <v>238</v>
      </c>
      <c r="E546" s="5">
        <f>D546*1.579</f>
        <v>375.80199999999996</v>
      </c>
      <c r="F546" s="5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</row>
    <row r="547" spans="1:73" s="1" customFormat="1">
      <c r="A547" s="5" t="str">
        <f>A513</f>
        <v>PENT</v>
      </c>
      <c r="B547" s="5"/>
      <c r="C547" s="5"/>
      <c r="D547" s="22"/>
      <c r="E547" s="5"/>
      <c r="F547" s="5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</row>
    <row r="548" spans="1:73" s="1" customFormat="1" ht="15.75" thickBot="1">
      <c r="A548" s="5" t="s">
        <v>87</v>
      </c>
      <c r="B548" s="5"/>
      <c r="C548" s="5"/>
      <c r="D548" s="5"/>
      <c r="E548" s="5"/>
      <c r="F548" s="5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</row>
    <row r="549" spans="1:73" s="42" customFormat="1" ht="15.75" thickBot="1">
      <c r="A549" s="40"/>
      <c r="B549" s="41" t="str">
        <f t="shared" ref="B549:G549" si="193">B514</f>
        <v>COL 1</v>
      </c>
      <c r="C549" s="41" t="str">
        <f t="shared" si="193"/>
        <v>COL 2</v>
      </c>
      <c r="D549" s="41" t="str">
        <f t="shared" si="193"/>
        <v>COL 2'</v>
      </c>
      <c r="E549" s="41" t="str">
        <f t="shared" si="193"/>
        <v>COL 3</v>
      </c>
      <c r="F549" s="41" t="str">
        <f t="shared" si="193"/>
        <v>COL 3'</v>
      </c>
      <c r="G549" s="41" t="str">
        <f t="shared" si="193"/>
        <v>COL 4</v>
      </c>
      <c r="H549" s="41"/>
      <c r="I549" s="41"/>
      <c r="J549" s="41"/>
      <c r="K549" s="41"/>
      <c r="L549" s="41"/>
      <c r="M549" s="41"/>
      <c r="BQ549"/>
    </row>
    <row r="550" spans="1:73" s="1" customFormat="1">
      <c r="A550" s="4" t="s">
        <v>100</v>
      </c>
      <c r="B550" s="4">
        <v>0</v>
      </c>
      <c r="C550" s="4">
        <v>0</v>
      </c>
      <c r="D550" s="4">
        <v>3.2</v>
      </c>
      <c r="E550" s="4">
        <v>0</v>
      </c>
      <c r="F550" s="4">
        <v>3.2</v>
      </c>
      <c r="G550" s="4">
        <v>0</v>
      </c>
      <c r="H550" s="4"/>
      <c r="I550" s="4"/>
      <c r="J550" s="4"/>
      <c r="K550" s="4"/>
      <c r="L550" s="4"/>
      <c r="M550" s="4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</row>
    <row r="551" spans="1:73" s="1" customFormat="1">
      <c r="A551" s="12" t="s">
        <v>101</v>
      </c>
      <c r="B551" s="12">
        <v>4</v>
      </c>
      <c r="C551" s="12">
        <v>4</v>
      </c>
      <c r="D551" s="12">
        <v>4</v>
      </c>
      <c r="E551" s="12">
        <v>6</v>
      </c>
      <c r="F551" s="12">
        <v>4</v>
      </c>
      <c r="G551" s="12">
        <v>4</v>
      </c>
      <c r="H551" s="12"/>
      <c r="I551" s="12"/>
      <c r="J551" s="12"/>
      <c r="K551" s="12"/>
      <c r="L551" s="12"/>
      <c r="M551" s="12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</row>
    <row r="552" spans="1:73" s="1" customFormat="1">
      <c r="A552" s="4"/>
      <c r="B552" s="4" t="s">
        <v>104</v>
      </c>
      <c r="C552" s="4" t="s">
        <v>104</v>
      </c>
      <c r="D552" s="4" t="s">
        <v>104</v>
      </c>
      <c r="E552" s="4" t="s">
        <v>104</v>
      </c>
      <c r="F552" s="4" t="s">
        <v>104</v>
      </c>
      <c r="G552" s="4" t="s">
        <v>104</v>
      </c>
      <c r="H552" s="4"/>
      <c r="I552" s="4"/>
      <c r="J552" s="4"/>
      <c r="K552" s="4"/>
      <c r="L552" s="4"/>
      <c r="M552" s="4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</row>
    <row r="553" spans="1:73" s="1" customFormat="1">
      <c r="A553" s="1" t="s">
        <v>52</v>
      </c>
      <c r="B553" s="10">
        <f t="shared" ref="B553:G553" si="194">B518</f>
        <v>0</v>
      </c>
      <c r="C553" s="10">
        <f t="shared" si="194"/>
        <v>0</v>
      </c>
      <c r="D553" s="10">
        <f t="shared" si="194"/>
        <v>0</v>
      </c>
      <c r="E553" s="10">
        <f t="shared" si="194"/>
        <v>0</v>
      </c>
      <c r="F553" s="10">
        <f t="shared" si="194"/>
        <v>0</v>
      </c>
      <c r="G553" s="10">
        <f t="shared" si="194"/>
        <v>0</v>
      </c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</row>
    <row r="554" spans="1:73" s="1" customFormat="1">
      <c r="A554" s="5"/>
      <c r="B554" s="5">
        <f t="shared" ref="B554:G554" si="195">B550*B551*B553</f>
        <v>0</v>
      </c>
      <c r="C554" s="5">
        <f t="shared" si="195"/>
        <v>0</v>
      </c>
      <c r="D554" s="5">
        <f t="shared" si="195"/>
        <v>0</v>
      </c>
      <c r="E554" s="5">
        <f t="shared" si="195"/>
        <v>0</v>
      </c>
      <c r="F554" s="5">
        <f t="shared" si="195"/>
        <v>0</v>
      </c>
      <c r="G554" s="5">
        <f t="shared" si="195"/>
        <v>0</v>
      </c>
      <c r="H554" s="5"/>
      <c r="I554" s="5"/>
      <c r="J554" s="5"/>
      <c r="K554" s="5"/>
      <c r="L554" s="5"/>
      <c r="M554" s="5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</row>
    <row r="555" spans="1:73" s="1" customFormat="1">
      <c r="A555" s="5"/>
      <c r="B555" s="5"/>
      <c r="C555" s="5" t="s">
        <v>105</v>
      </c>
      <c r="D555" s="20"/>
      <c r="E555" s="5">
        <f>D555*3.854</f>
        <v>0</v>
      </c>
      <c r="F555" s="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</row>
    <row r="556" spans="1:73" s="1" customFormat="1">
      <c r="A556" s="5"/>
      <c r="B556" s="5"/>
      <c r="C556" s="5" t="s">
        <v>70</v>
      </c>
      <c r="D556" s="20"/>
      <c r="E556" s="5">
        <f>D556*2.467</f>
        <v>0</v>
      </c>
      <c r="F556" s="5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</row>
    <row r="557" spans="1:73" s="1" customFormat="1" ht="15.75" thickBot="1">
      <c r="A557" s="5"/>
      <c r="B557" s="5"/>
      <c r="C557" s="5" t="s">
        <v>71</v>
      </c>
      <c r="D557" s="22">
        <f>F554+D554</f>
        <v>0</v>
      </c>
      <c r="E557" s="5">
        <f>D557*1.579</f>
        <v>0</v>
      </c>
      <c r="F557" s="5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</row>
    <row r="558" spans="1:73" s="1" customFormat="1" ht="15.75" thickBot="1">
      <c r="E558" s="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 s="42"/>
      <c r="BR558"/>
      <c r="BS558"/>
      <c r="BT558"/>
      <c r="BU558"/>
    </row>
    <row r="559" spans="1:73" s="1" customFormat="1">
      <c r="B559" s="43" t="s">
        <v>124</v>
      </c>
      <c r="D559" s="44" t="s">
        <v>108</v>
      </c>
      <c r="E559" s="45">
        <f>E569+E578+E587</f>
        <v>363.28959999999995</v>
      </c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</row>
    <row r="560" spans="1:73" s="1" customFormat="1">
      <c r="B560" s="43"/>
      <c r="D560" s="44" t="s">
        <v>123</v>
      </c>
      <c r="E560" s="45">
        <f>E570+E579+E588</f>
        <v>0</v>
      </c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</row>
    <row r="561" spans="1:73" s="1" customFormat="1">
      <c r="B561" s="43"/>
      <c r="E561" s="8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</row>
    <row r="562" spans="1:73" s="1" customFormat="1" ht="15.75" thickBot="1">
      <c r="A562" s="5" t="str">
        <f>A525</f>
        <v>GROUND</v>
      </c>
      <c r="E562" s="8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</row>
    <row r="563" spans="1:73" s="42" customFormat="1" ht="15.75" thickBot="1">
      <c r="A563" s="40"/>
      <c r="B563" s="41" t="str">
        <f t="shared" ref="B563:G563" si="196">B527</f>
        <v>COL 1</v>
      </c>
      <c r="C563" s="41" t="str">
        <f t="shared" si="196"/>
        <v>COL 2</v>
      </c>
      <c r="D563" s="41" t="str">
        <f t="shared" si="196"/>
        <v>COL 2'</v>
      </c>
      <c r="E563" s="41" t="str">
        <f t="shared" si="196"/>
        <v>COL 3</v>
      </c>
      <c r="F563" s="41" t="str">
        <f t="shared" si="196"/>
        <v>COL 3'</v>
      </c>
      <c r="G563" s="41" t="str">
        <f t="shared" si="196"/>
        <v>COL 4</v>
      </c>
      <c r="H563" s="41"/>
      <c r="I563" s="41"/>
      <c r="J563" s="41"/>
      <c r="K563" s="41"/>
      <c r="L563" s="41"/>
      <c r="M563" s="41"/>
      <c r="BQ563"/>
    </row>
    <row r="564" spans="1:73" s="1" customFormat="1">
      <c r="A564" s="1" t="s">
        <v>125</v>
      </c>
      <c r="B564" s="1">
        <v>0.92</v>
      </c>
      <c r="C564" s="1">
        <v>0.92</v>
      </c>
      <c r="D564" s="1">
        <v>0.92</v>
      </c>
      <c r="E564" s="1">
        <v>0.92</v>
      </c>
      <c r="F564" s="1">
        <v>0.92</v>
      </c>
      <c r="G564" s="1">
        <v>0.92</v>
      </c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</row>
    <row r="565" spans="1:73" s="1" customFormat="1">
      <c r="A565" s="5"/>
      <c r="B565" s="5">
        <v>16</v>
      </c>
      <c r="C565" s="5">
        <v>16</v>
      </c>
      <c r="D565" s="5">
        <v>13</v>
      </c>
      <c r="E565" s="5">
        <v>16</v>
      </c>
      <c r="F565" s="5">
        <v>16</v>
      </c>
      <c r="G565" s="5">
        <v>13</v>
      </c>
      <c r="H565" s="5"/>
      <c r="I565" s="5"/>
      <c r="J565" s="5"/>
      <c r="K565" s="5"/>
      <c r="L565" s="5"/>
      <c r="M565" s="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</row>
    <row r="566" spans="1:73" s="1" customFormat="1" ht="15.75" thickBot="1">
      <c r="A566" s="1" t="s">
        <v>52</v>
      </c>
      <c r="B566" s="10">
        <f t="shared" ref="B566:G566" si="197">B531</f>
        <v>17</v>
      </c>
      <c r="C566" s="10">
        <f t="shared" si="197"/>
        <v>6</v>
      </c>
      <c r="D566" s="10">
        <f t="shared" si="197"/>
        <v>0</v>
      </c>
      <c r="E566" s="10">
        <f t="shared" si="197"/>
        <v>0</v>
      </c>
      <c r="F566" s="10">
        <f t="shared" si="197"/>
        <v>0</v>
      </c>
      <c r="G566" s="10">
        <f t="shared" si="197"/>
        <v>0</v>
      </c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</row>
    <row r="567" spans="1:73" s="1" customFormat="1" ht="15.75" thickBot="1">
      <c r="A567" s="46" t="s">
        <v>108</v>
      </c>
      <c r="B567" s="5">
        <f t="shared" ref="B567:G567" si="198">B564*B565*B566</f>
        <v>250.24</v>
      </c>
      <c r="C567" s="5">
        <f t="shared" si="198"/>
        <v>88.320000000000007</v>
      </c>
      <c r="D567" s="5">
        <f t="shared" si="198"/>
        <v>0</v>
      </c>
      <c r="E567" s="5">
        <f t="shared" si="198"/>
        <v>0</v>
      </c>
      <c r="F567" s="5">
        <f t="shared" si="198"/>
        <v>0</v>
      </c>
      <c r="G567" s="5">
        <f t="shared" si="198"/>
        <v>0</v>
      </c>
      <c r="H567" s="5"/>
      <c r="I567" s="5"/>
      <c r="J567" s="5"/>
      <c r="K567" s="5"/>
      <c r="L567" s="5"/>
      <c r="M567" s="5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 s="42"/>
      <c r="BR567"/>
      <c r="BS567"/>
      <c r="BT567"/>
      <c r="BU567"/>
    </row>
    <row r="568" spans="1:73" s="1" customFormat="1">
      <c r="A568" s="46" t="s">
        <v>123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</row>
    <row r="569" spans="1:73" s="1" customFormat="1" ht="23.25" customHeight="1">
      <c r="A569" s="5"/>
      <c r="B569" s="5"/>
      <c r="C569" s="47" t="s">
        <v>108</v>
      </c>
      <c r="D569" s="48">
        <f>SUM(B567:M567)</f>
        <v>338.56</v>
      </c>
      <c r="E569" s="48">
        <f>D569*0.617</f>
        <v>208.89151999999999</v>
      </c>
      <c r="F569" s="4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</row>
    <row r="570" spans="1:73" s="1" customFormat="1">
      <c r="A570" s="5"/>
      <c r="B570" s="5"/>
      <c r="C570" s="47" t="s">
        <v>123</v>
      </c>
      <c r="D570" s="48">
        <f>SUM(B568:M568)</f>
        <v>0</v>
      </c>
      <c r="E570" s="48">
        <f>D570*0.382</f>
        <v>0</v>
      </c>
      <c r="F570" s="5"/>
      <c r="G570" s="5"/>
      <c r="H570" s="5"/>
      <c r="I570" s="5"/>
      <c r="J570" s="5"/>
      <c r="K570" s="5"/>
      <c r="L570" s="5"/>
      <c r="M570" s="5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</row>
    <row r="571" spans="1:73" s="1" customFormat="1" ht="15.95" customHeight="1" thickBot="1">
      <c r="A571" s="5" t="str">
        <f>A536</f>
        <v>FIRST</v>
      </c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</row>
    <row r="572" spans="1:73" s="42" customFormat="1" ht="15.75" thickBot="1">
      <c r="A572" s="40"/>
      <c r="B572" s="41" t="str">
        <f t="shared" ref="B572:G572" si="199">B563</f>
        <v>COL 1</v>
      </c>
      <c r="C572" s="41" t="str">
        <f t="shared" si="199"/>
        <v>COL 2</v>
      </c>
      <c r="D572" s="41" t="str">
        <f t="shared" si="199"/>
        <v>COL 2'</v>
      </c>
      <c r="E572" s="41" t="str">
        <f t="shared" si="199"/>
        <v>COL 3</v>
      </c>
      <c r="F572" s="41" t="str">
        <f t="shared" si="199"/>
        <v>COL 3'</v>
      </c>
      <c r="G572" s="41" t="str">
        <f t="shared" si="199"/>
        <v>COL 4</v>
      </c>
      <c r="H572" s="41"/>
      <c r="I572" s="41"/>
      <c r="J572" s="41"/>
      <c r="K572" s="41"/>
      <c r="L572" s="41"/>
      <c r="M572" s="41"/>
      <c r="BQ572"/>
    </row>
    <row r="573" spans="1:73" s="1" customFormat="1">
      <c r="A573" s="5" t="s">
        <v>125</v>
      </c>
      <c r="B573" s="5">
        <v>0.92</v>
      </c>
      <c r="C573" s="5">
        <v>0.92</v>
      </c>
      <c r="D573" s="5">
        <v>0.92</v>
      </c>
      <c r="E573" s="5">
        <v>0.92</v>
      </c>
      <c r="F573" s="5">
        <v>0.92</v>
      </c>
      <c r="G573" s="5">
        <v>0.92</v>
      </c>
      <c r="N573" s="5"/>
      <c r="O573" s="5"/>
      <c r="P573" s="5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</row>
    <row r="574" spans="1:73" s="1" customFormat="1">
      <c r="A574" s="5"/>
      <c r="B574" s="5">
        <v>16</v>
      </c>
      <c r="C574" s="5">
        <v>14</v>
      </c>
      <c r="D574" s="5">
        <v>14</v>
      </c>
      <c r="E574" s="5">
        <v>14</v>
      </c>
      <c r="F574" s="5">
        <v>14</v>
      </c>
      <c r="G574" s="5">
        <v>14</v>
      </c>
      <c r="H574" s="5"/>
      <c r="I574" s="5"/>
      <c r="J574" s="5"/>
      <c r="K574" s="5"/>
      <c r="L574" s="5"/>
      <c r="M574" s="5"/>
      <c r="N574" s="5"/>
      <c r="O574" s="5"/>
      <c r="P574" s="5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</row>
    <row r="575" spans="1:73" s="1" customFormat="1" ht="15.75" thickBot="1">
      <c r="A575" s="1" t="s">
        <v>52</v>
      </c>
      <c r="B575" s="10">
        <f t="shared" ref="B575:G575" si="200">B542</f>
        <v>17</v>
      </c>
      <c r="C575" s="10">
        <f t="shared" si="200"/>
        <v>0</v>
      </c>
      <c r="D575" s="10">
        <f t="shared" si="200"/>
        <v>0</v>
      </c>
      <c r="E575" s="10">
        <f t="shared" si="200"/>
        <v>0</v>
      </c>
      <c r="F575" s="10">
        <f t="shared" si="200"/>
        <v>0</v>
      </c>
      <c r="G575" s="10">
        <f t="shared" si="200"/>
        <v>0</v>
      </c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</row>
    <row r="576" spans="1:73" s="1" customFormat="1" ht="15.75" thickBot="1">
      <c r="A576" s="46" t="s">
        <v>108</v>
      </c>
      <c r="B576" s="5">
        <f t="shared" ref="B576:G576" si="201">B573*B574*B575</f>
        <v>250.24</v>
      </c>
      <c r="C576" s="5">
        <f t="shared" si="201"/>
        <v>0</v>
      </c>
      <c r="D576" s="5">
        <f t="shared" si="201"/>
        <v>0</v>
      </c>
      <c r="E576" s="5">
        <f t="shared" si="201"/>
        <v>0</v>
      </c>
      <c r="F576" s="5">
        <f t="shared" si="201"/>
        <v>0</v>
      </c>
      <c r="G576" s="5">
        <f t="shared" si="201"/>
        <v>0</v>
      </c>
      <c r="H576" s="5"/>
      <c r="I576" s="5"/>
      <c r="J576" s="5"/>
      <c r="K576" s="5"/>
      <c r="L576" s="5"/>
      <c r="M576" s="5"/>
      <c r="N576" s="10"/>
      <c r="O576" s="10"/>
      <c r="P576" s="10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 s="42"/>
      <c r="BR576"/>
      <c r="BS576"/>
      <c r="BT576"/>
      <c r="BU576"/>
    </row>
    <row r="577" spans="1:73" s="1" customFormat="1">
      <c r="A577" s="46" t="s">
        <v>123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</row>
    <row r="578" spans="1:73" s="1" customFormat="1" ht="24.75" customHeight="1">
      <c r="A578" s="5"/>
      <c r="B578" s="5"/>
      <c r="C578" s="47" t="s">
        <v>108</v>
      </c>
      <c r="D578" s="48">
        <f>SUM(B576:M576)</f>
        <v>250.24</v>
      </c>
      <c r="E578" s="48">
        <f>D578*0.617</f>
        <v>154.39807999999999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</row>
    <row r="579" spans="1:73" s="1" customFormat="1">
      <c r="C579" s="47" t="s">
        <v>123</v>
      </c>
      <c r="D579" s="48">
        <f>SUM(B577:M577)</f>
        <v>0</v>
      </c>
      <c r="E579" s="48">
        <f>D579*0.382</f>
        <v>0</v>
      </c>
      <c r="I579" s="5"/>
      <c r="J579" s="5"/>
      <c r="K579" s="49"/>
      <c r="L579" s="5"/>
      <c r="M579" s="5"/>
      <c r="N579" s="5"/>
      <c r="O579" s="5"/>
      <c r="P579" s="5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</row>
    <row r="580" spans="1:73" s="1" customFormat="1" ht="15.95" customHeight="1" thickBot="1">
      <c r="A580" s="5" t="str">
        <f>A547</f>
        <v>PENT</v>
      </c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</row>
    <row r="581" spans="1:73" s="42" customFormat="1" ht="15.75" thickBot="1">
      <c r="A581" s="40"/>
      <c r="B581" s="41" t="str">
        <f t="shared" ref="B581:G581" si="202">B572</f>
        <v>COL 1</v>
      </c>
      <c r="C581" s="41" t="str">
        <f t="shared" si="202"/>
        <v>COL 2</v>
      </c>
      <c r="D581" s="41" t="str">
        <f t="shared" si="202"/>
        <v>COL 2'</v>
      </c>
      <c r="E581" s="41" t="str">
        <f t="shared" si="202"/>
        <v>COL 3</v>
      </c>
      <c r="F581" s="41" t="str">
        <f t="shared" si="202"/>
        <v>COL 3'</v>
      </c>
      <c r="G581" s="41" t="str">
        <f t="shared" si="202"/>
        <v>COL 4</v>
      </c>
      <c r="H581" s="41"/>
      <c r="I581" s="41"/>
      <c r="J581" s="41"/>
      <c r="K581" s="41"/>
      <c r="L581" s="41"/>
      <c r="M581" s="41"/>
      <c r="BQ581"/>
    </row>
    <row r="582" spans="1:73" s="1" customFormat="1">
      <c r="A582" s="5" t="s">
        <v>125</v>
      </c>
      <c r="B582" s="5">
        <v>0.92</v>
      </c>
      <c r="C582" s="5">
        <v>0.92</v>
      </c>
      <c r="D582" s="5">
        <v>0.92</v>
      </c>
      <c r="E582" s="5">
        <v>0.92</v>
      </c>
      <c r="F582" s="5">
        <v>0.92</v>
      </c>
      <c r="G582" s="5">
        <v>0.92</v>
      </c>
      <c r="N582" s="5"/>
      <c r="O582" s="5"/>
      <c r="P582" s="5"/>
      <c r="BQ582"/>
      <c r="BR582"/>
      <c r="BS582"/>
      <c r="BT582"/>
      <c r="BU582"/>
    </row>
    <row r="583" spans="1:73" s="1" customFormat="1">
      <c r="A583" s="5"/>
      <c r="B583" s="5">
        <v>14</v>
      </c>
      <c r="C583" s="5">
        <v>14</v>
      </c>
      <c r="D583" s="5">
        <v>14</v>
      </c>
      <c r="E583" s="5">
        <v>14</v>
      </c>
      <c r="F583" s="5">
        <v>14</v>
      </c>
      <c r="G583" s="5">
        <v>14</v>
      </c>
      <c r="H583" s="5"/>
      <c r="I583" s="5"/>
      <c r="J583" s="5"/>
      <c r="K583" s="5"/>
      <c r="L583" s="5"/>
      <c r="M583" s="5"/>
      <c r="N583" s="5"/>
      <c r="O583" s="5"/>
      <c r="P583" s="5"/>
      <c r="BQ583"/>
      <c r="BR583"/>
      <c r="BS583"/>
      <c r="BT583"/>
      <c r="BU583"/>
    </row>
    <row r="584" spans="1:73" s="1" customFormat="1">
      <c r="A584" s="1" t="s">
        <v>52</v>
      </c>
      <c r="B584" s="10">
        <f t="shared" ref="B584:G584" si="203">B553</f>
        <v>0</v>
      </c>
      <c r="C584" s="10">
        <f t="shared" si="203"/>
        <v>0</v>
      </c>
      <c r="D584" s="10">
        <f t="shared" si="203"/>
        <v>0</v>
      </c>
      <c r="E584" s="10">
        <f t="shared" si="203"/>
        <v>0</v>
      </c>
      <c r="F584" s="10">
        <f t="shared" si="203"/>
        <v>0</v>
      </c>
      <c r="G584" s="10">
        <f t="shared" si="203"/>
        <v>0</v>
      </c>
      <c r="BQ584"/>
      <c r="BR584"/>
      <c r="BS584"/>
      <c r="BT584"/>
      <c r="BU584"/>
    </row>
    <row r="585" spans="1:73" s="1" customFormat="1">
      <c r="A585" s="46" t="s">
        <v>108</v>
      </c>
      <c r="B585" s="5">
        <f t="shared" ref="B585:G585" si="204">B582*B583*B584</f>
        <v>0</v>
      </c>
      <c r="C585" s="5">
        <f t="shared" si="204"/>
        <v>0</v>
      </c>
      <c r="D585" s="5">
        <f t="shared" si="204"/>
        <v>0</v>
      </c>
      <c r="E585" s="5">
        <f t="shared" si="204"/>
        <v>0</v>
      </c>
      <c r="F585" s="5">
        <f t="shared" si="204"/>
        <v>0</v>
      </c>
      <c r="G585" s="5">
        <f t="shared" si="204"/>
        <v>0</v>
      </c>
      <c r="H585" s="5"/>
      <c r="I585" s="5"/>
      <c r="J585" s="5"/>
      <c r="K585" s="5"/>
      <c r="L585" s="5"/>
      <c r="M585" s="5"/>
      <c r="N585" s="10"/>
      <c r="O585" s="10"/>
      <c r="P585" s="10"/>
      <c r="BQ585"/>
      <c r="BR585"/>
      <c r="BS585"/>
      <c r="BT585"/>
      <c r="BU585"/>
    </row>
    <row r="586" spans="1:73" s="1" customFormat="1">
      <c r="A586" s="46" t="s">
        <v>123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BQ586"/>
      <c r="BR586"/>
      <c r="BS586"/>
      <c r="BT586"/>
      <c r="BU586"/>
    </row>
    <row r="587" spans="1:73" s="1" customFormat="1" ht="21" customHeight="1">
      <c r="A587" s="5"/>
      <c r="B587" s="5"/>
      <c r="C587" s="47" t="s">
        <v>108</v>
      </c>
      <c r="D587" s="48">
        <f>SUM(B585:M585)</f>
        <v>0</v>
      </c>
      <c r="E587" s="48">
        <f>D587*0.617</f>
        <v>0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BQ587" s="44"/>
      <c r="BR587"/>
      <c r="BS587"/>
      <c r="BT587"/>
      <c r="BU587"/>
    </row>
    <row r="588" spans="1:73" s="1" customFormat="1">
      <c r="C588" s="47" t="s">
        <v>123</v>
      </c>
      <c r="D588" s="48">
        <f>SUM(B586:M586)</f>
        <v>0</v>
      </c>
      <c r="E588" s="48">
        <f>D588*0.382</f>
        <v>0</v>
      </c>
      <c r="BQ588"/>
      <c r="BR588"/>
      <c r="BS588"/>
      <c r="BT588"/>
      <c r="BU588"/>
    </row>
    <row r="589" spans="1:73" s="1" customFormat="1" ht="15.75" thickBot="1">
      <c r="BQ589"/>
      <c r="BR589"/>
      <c r="BS589"/>
      <c r="BT589"/>
      <c r="BU589"/>
    </row>
    <row r="590" spans="1:73" s="1" customFormat="1" ht="19.5" thickBot="1">
      <c r="B590" s="203" t="s">
        <v>126</v>
      </c>
      <c r="C590" s="203"/>
      <c r="D590" s="203"/>
      <c r="E590" s="203"/>
      <c r="F590" s="50">
        <f>ROUNDUP(SUM(B595:AM595),0)</f>
        <v>9</v>
      </c>
      <c r="I590" s="4"/>
      <c r="BQ590"/>
      <c r="BR590"/>
      <c r="BS590"/>
      <c r="BT590"/>
      <c r="BU590"/>
    </row>
    <row r="591" spans="1:73" s="1" customFormat="1">
      <c r="B591" s="1" t="s">
        <v>127</v>
      </c>
      <c r="C591" s="1" t="s">
        <v>128</v>
      </c>
      <c r="D591" s="1" t="s">
        <v>129</v>
      </c>
      <c r="E591" s="1" t="s">
        <v>130</v>
      </c>
      <c r="F591" s="1" t="s">
        <v>131</v>
      </c>
      <c r="G591" s="1" t="s">
        <v>132</v>
      </c>
      <c r="H591" s="1" t="s">
        <v>133</v>
      </c>
      <c r="I591" s="1" t="s">
        <v>134</v>
      </c>
      <c r="J591" s="1" t="s">
        <v>135</v>
      </c>
      <c r="K591" s="1" t="s">
        <v>136</v>
      </c>
      <c r="L591" s="1" t="s">
        <v>137</v>
      </c>
      <c r="M591" s="1" t="s">
        <v>138</v>
      </c>
      <c r="N591" s="1" t="s">
        <v>139</v>
      </c>
      <c r="O591" s="1" t="s">
        <v>140</v>
      </c>
      <c r="P591" s="1" t="s">
        <v>141</v>
      </c>
      <c r="Q591" s="1" t="s">
        <v>142</v>
      </c>
      <c r="S591" s="1" t="s">
        <v>143</v>
      </c>
      <c r="T591" s="1" t="s">
        <v>144</v>
      </c>
      <c r="U591" s="1" t="s">
        <v>145</v>
      </c>
      <c r="V591" s="1" t="s">
        <v>146</v>
      </c>
      <c r="W591" s="1" t="s">
        <v>147</v>
      </c>
      <c r="X591" s="1" t="s">
        <v>148</v>
      </c>
      <c r="Y591" s="1" t="s">
        <v>149</v>
      </c>
      <c r="Z591" s="1" t="s">
        <v>150</v>
      </c>
      <c r="AA591" s="1" t="s">
        <v>151</v>
      </c>
      <c r="AB591" s="1" t="s">
        <v>152</v>
      </c>
      <c r="AC591" s="1" t="s">
        <v>153</v>
      </c>
      <c r="AD591" s="1" t="s">
        <v>154</v>
      </c>
      <c r="AE591" s="1" t="s">
        <v>155</v>
      </c>
      <c r="AF591" s="1" t="s">
        <v>156</v>
      </c>
      <c r="AG591" s="1" t="s">
        <v>157</v>
      </c>
      <c r="AH591" s="1" t="s">
        <v>158</v>
      </c>
      <c r="AI591" s="1" t="s">
        <v>159</v>
      </c>
      <c r="AJ591" s="1" t="s">
        <v>160</v>
      </c>
      <c r="AK591" s="1" t="s">
        <v>161</v>
      </c>
      <c r="AL591" s="1" t="s">
        <v>162</v>
      </c>
      <c r="AM591" s="1" t="s">
        <v>163</v>
      </c>
      <c r="AO591" s="1" t="s">
        <v>164</v>
      </c>
      <c r="AP591" s="1" t="s">
        <v>164</v>
      </c>
      <c r="AQ591" s="1" t="s">
        <v>164</v>
      </c>
      <c r="AR591" s="1" t="s">
        <v>164</v>
      </c>
      <c r="AT591" s="1" t="s">
        <v>164</v>
      </c>
      <c r="AU591" s="1" t="s">
        <v>164</v>
      </c>
      <c r="AV591" s="1" t="s">
        <v>164</v>
      </c>
      <c r="AW591" s="1" t="s">
        <v>164</v>
      </c>
      <c r="BQ591"/>
      <c r="BR591"/>
      <c r="BS591"/>
      <c r="BT591"/>
      <c r="BU591"/>
    </row>
    <row r="592" spans="1:73" s="44" customFormat="1">
      <c r="A592" s="44" t="s">
        <v>37</v>
      </c>
      <c r="B592" s="51">
        <f>4+0.625+4.85+0.23</f>
        <v>9.7050000000000001</v>
      </c>
      <c r="C592" s="51">
        <f>4+0.625+4.85+0.23</f>
        <v>9.7050000000000001</v>
      </c>
      <c r="D592" s="52">
        <f>4.63+4.85+0.23</f>
        <v>9.7100000000000009</v>
      </c>
      <c r="E592" s="52">
        <f>4.63+4.85+0.23</f>
        <v>9.7100000000000009</v>
      </c>
      <c r="F592" s="52">
        <f>4.63+1.13+0.23</f>
        <v>5.99</v>
      </c>
      <c r="G592" s="52">
        <f>4.85+0.23</f>
        <v>5.08</v>
      </c>
      <c r="H592" s="52">
        <f>4.65+1.13+1.5+0.23</f>
        <v>7.5100000000000007</v>
      </c>
      <c r="I592" s="52">
        <f>5.68+0.23</f>
        <v>5.91</v>
      </c>
      <c r="J592" s="52">
        <f>3.05+3.73+2.63+3.68+1.78+0.23</f>
        <v>15.1</v>
      </c>
      <c r="K592" s="52">
        <f>1.73+3.93+0.23</f>
        <v>5.8900000000000006</v>
      </c>
      <c r="L592" s="52">
        <f>4.95+0.23</f>
        <v>5.1800000000000006</v>
      </c>
      <c r="M592" s="52">
        <f>0.23+0.73+3.05+3.73+2.63</f>
        <v>10.370000000000001</v>
      </c>
      <c r="N592" s="52">
        <f>1+1.32+3.73+2.46+2.63+3.68+1.98+0.23</f>
        <v>17.03</v>
      </c>
      <c r="O592" s="52">
        <v>0</v>
      </c>
      <c r="P592" s="51">
        <v>0</v>
      </c>
      <c r="Q592" s="51">
        <v>0</v>
      </c>
      <c r="R592" s="51"/>
      <c r="S592" s="51">
        <v>0</v>
      </c>
      <c r="T592" s="51">
        <v>0</v>
      </c>
      <c r="U592" s="51">
        <v>0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0</v>
      </c>
      <c r="AH592" s="51">
        <v>0</v>
      </c>
      <c r="AI592" s="51">
        <v>0</v>
      </c>
      <c r="AJ592" s="51">
        <v>0</v>
      </c>
      <c r="AK592" s="51">
        <v>0</v>
      </c>
      <c r="AL592" s="51">
        <v>0</v>
      </c>
      <c r="AM592" s="51">
        <v>0</v>
      </c>
      <c r="AN592" s="51">
        <v>0</v>
      </c>
      <c r="AO592" s="51">
        <v>0</v>
      </c>
      <c r="AP592" s="51">
        <v>0</v>
      </c>
      <c r="AQ592" s="51">
        <v>0</v>
      </c>
      <c r="AR592" s="51">
        <v>0</v>
      </c>
      <c r="AS592" s="51">
        <v>0</v>
      </c>
      <c r="AT592" s="51">
        <v>0</v>
      </c>
      <c r="AU592" s="51">
        <v>0</v>
      </c>
      <c r="AV592" s="51">
        <v>0</v>
      </c>
      <c r="AW592" s="51">
        <v>0</v>
      </c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4"/>
      <c r="BP592" s="54"/>
      <c r="BQ592"/>
    </row>
    <row r="593" spans="1:73" s="1" customFormat="1">
      <c r="A593" s="44" t="s">
        <v>165</v>
      </c>
      <c r="B593" s="1">
        <v>0.3</v>
      </c>
      <c r="C593" s="1">
        <f t="shared" ref="C593:Q593" si="205">B593</f>
        <v>0.3</v>
      </c>
      <c r="D593" s="1">
        <f t="shared" si="205"/>
        <v>0.3</v>
      </c>
      <c r="E593" s="1">
        <f t="shared" si="205"/>
        <v>0.3</v>
      </c>
      <c r="F593" s="1">
        <f t="shared" si="205"/>
        <v>0.3</v>
      </c>
      <c r="G593" s="1">
        <f t="shared" si="205"/>
        <v>0.3</v>
      </c>
      <c r="H593" s="1">
        <f t="shared" si="205"/>
        <v>0.3</v>
      </c>
      <c r="I593" s="1">
        <v>0.45</v>
      </c>
      <c r="J593" s="1">
        <v>0.3</v>
      </c>
      <c r="K593" s="1">
        <f t="shared" si="205"/>
        <v>0.3</v>
      </c>
      <c r="L593" s="1">
        <f t="shared" si="205"/>
        <v>0.3</v>
      </c>
      <c r="M593" s="1">
        <f t="shared" si="205"/>
        <v>0.3</v>
      </c>
      <c r="N593" s="1">
        <f t="shared" si="205"/>
        <v>0.3</v>
      </c>
      <c r="O593" s="1">
        <f t="shared" si="205"/>
        <v>0.3</v>
      </c>
      <c r="P593" s="1">
        <f t="shared" si="205"/>
        <v>0.3</v>
      </c>
      <c r="Q593" s="1">
        <f t="shared" si="205"/>
        <v>0.3</v>
      </c>
      <c r="S593" s="1">
        <f>Q593</f>
        <v>0.3</v>
      </c>
      <c r="T593" s="1">
        <f t="shared" ref="T593:AM593" si="206">S593</f>
        <v>0.3</v>
      </c>
      <c r="U593" s="1">
        <f t="shared" si="206"/>
        <v>0.3</v>
      </c>
      <c r="V593" s="1">
        <f t="shared" si="206"/>
        <v>0.3</v>
      </c>
      <c r="W593" s="1">
        <f t="shared" si="206"/>
        <v>0.3</v>
      </c>
      <c r="X593" s="1">
        <f t="shared" si="206"/>
        <v>0.3</v>
      </c>
      <c r="Y593" s="1">
        <f t="shared" si="206"/>
        <v>0.3</v>
      </c>
      <c r="Z593" s="1">
        <f t="shared" si="206"/>
        <v>0.3</v>
      </c>
      <c r="AA593" s="1">
        <f t="shared" si="206"/>
        <v>0.3</v>
      </c>
      <c r="AB593" s="1">
        <f t="shared" si="206"/>
        <v>0.3</v>
      </c>
      <c r="AC593" s="1">
        <f t="shared" si="206"/>
        <v>0.3</v>
      </c>
      <c r="AD593" s="1">
        <f t="shared" si="206"/>
        <v>0.3</v>
      </c>
      <c r="AE593" s="1">
        <f t="shared" si="206"/>
        <v>0.3</v>
      </c>
      <c r="AF593" s="1">
        <f t="shared" si="206"/>
        <v>0.3</v>
      </c>
      <c r="AG593" s="1">
        <f t="shared" si="206"/>
        <v>0.3</v>
      </c>
      <c r="AH593" s="1">
        <f t="shared" si="206"/>
        <v>0.3</v>
      </c>
      <c r="AI593" s="1">
        <f t="shared" si="206"/>
        <v>0.3</v>
      </c>
      <c r="AJ593" s="1">
        <f t="shared" si="206"/>
        <v>0.3</v>
      </c>
      <c r="AK593" s="1">
        <f t="shared" si="206"/>
        <v>0.3</v>
      </c>
      <c r="AL593" s="1">
        <f t="shared" si="206"/>
        <v>0.3</v>
      </c>
      <c r="AM593" s="1">
        <f t="shared" si="206"/>
        <v>0.3</v>
      </c>
      <c r="AO593" s="1">
        <v>0.45</v>
      </c>
      <c r="AP593" s="1">
        <v>0.45</v>
      </c>
      <c r="AQ593" s="1">
        <v>0.45</v>
      </c>
      <c r="AR593" s="1">
        <v>0.45</v>
      </c>
      <c r="AT593" s="1">
        <v>0.45</v>
      </c>
      <c r="AU593" s="1">
        <v>0.45</v>
      </c>
      <c r="AV593" s="1">
        <v>0.45</v>
      </c>
      <c r="AW593" s="1">
        <v>0.45</v>
      </c>
      <c r="BQ593"/>
      <c r="BR593"/>
      <c r="BS593"/>
      <c r="BT593"/>
      <c r="BU593"/>
    </row>
    <row r="594" spans="1:73" s="1" customFormat="1">
      <c r="A594" s="44" t="s">
        <v>166</v>
      </c>
      <c r="B594" s="1">
        <v>0.23</v>
      </c>
      <c r="C594" s="1">
        <v>0.23</v>
      </c>
      <c r="D594" s="1">
        <v>0.23</v>
      </c>
      <c r="E594" s="1">
        <v>0.23</v>
      </c>
      <c r="F594" s="1">
        <v>0.23</v>
      </c>
      <c r="G594" s="1">
        <v>0.23</v>
      </c>
      <c r="H594" s="1">
        <v>0.23</v>
      </c>
      <c r="I594" s="1">
        <v>0.23</v>
      </c>
      <c r="J594" s="1">
        <v>0.23</v>
      </c>
      <c r="K594" s="1">
        <v>0.23</v>
      </c>
      <c r="L594" s="1">
        <v>0.23</v>
      </c>
      <c r="M594" s="1">
        <v>0.23</v>
      </c>
      <c r="N594" s="1">
        <v>0.23</v>
      </c>
      <c r="O594" s="1">
        <v>0.23</v>
      </c>
      <c r="P594" s="1">
        <v>0.23</v>
      </c>
      <c r="Q594" s="1">
        <v>0.23</v>
      </c>
      <c r="S594" s="1">
        <v>0.23</v>
      </c>
      <c r="T594" s="1">
        <v>0.23</v>
      </c>
      <c r="U594" s="1">
        <v>0.23</v>
      </c>
      <c r="V594" s="1">
        <v>0.23</v>
      </c>
      <c r="W594" s="1">
        <v>0.23</v>
      </c>
      <c r="X594" s="1">
        <v>0.23</v>
      </c>
      <c r="Y594" s="1">
        <v>0.23</v>
      </c>
      <c r="Z594" s="1">
        <v>0.23</v>
      </c>
      <c r="AA594" s="1">
        <v>0.23</v>
      </c>
      <c r="AB594" s="1">
        <v>0.23</v>
      </c>
      <c r="AC594" s="1">
        <v>0.23</v>
      </c>
      <c r="AD594" s="1">
        <v>0.23</v>
      </c>
      <c r="AE594" s="1">
        <v>0.23</v>
      </c>
      <c r="AF594" s="1">
        <v>0.23</v>
      </c>
      <c r="AG594" s="1">
        <v>0.23</v>
      </c>
      <c r="AH594" s="1">
        <v>0.23</v>
      </c>
      <c r="AI594" s="1">
        <v>0.23</v>
      </c>
      <c r="AJ594" s="1">
        <v>0.23</v>
      </c>
      <c r="AK594" s="1">
        <v>0.23</v>
      </c>
      <c r="AL594" s="1">
        <v>0.23</v>
      </c>
      <c r="AM594" s="1">
        <v>0.23</v>
      </c>
      <c r="AO594" s="1">
        <v>0.15</v>
      </c>
      <c r="AP594" s="1">
        <v>0.15</v>
      </c>
      <c r="AQ594" s="1">
        <v>0.15</v>
      </c>
      <c r="AR594" s="1">
        <v>0.15</v>
      </c>
      <c r="AT594" s="1">
        <v>0.15</v>
      </c>
      <c r="AU594" s="1">
        <v>0.15</v>
      </c>
      <c r="AV594" s="1">
        <v>0.15</v>
      </c>
      <c r="AW594" s="1">
        <v>0.15</v>
      </c>
      <c r="BQ594" s="44"/>
      <c r="BR594"/>
      <c r="BS594"/>
      <c r="BT594"/>
      <c r="BU594"/>
    </row>
    <row r="595" spans="1:73" s="1" customFormat="1">
      <c r="A595" s="44"/>
      <c r="B595" s="8">
        <f t="shared" ref="B595:Q595" si="207">B592*B593*B594</f>
        <v>0.66964499999999993</v>
      </c>
      <c r="C595" s="8">
        <f t="shared" si="207"/>
        <v>0.66964499999999993</v>
      </c>
      <c r="D595" s="8">
        <f t="shared" si="207"/>
        <v>0.66999000000000009</v>
      </c>
      <c r="E595" s="8">
        <f t="shared" si="207"/>
        <v>0.66999000000000009</v>
      </c>
      <c r="F595" s="8">
        <f t="shared" si="207"/>
        <v>0.41331000000000001</v>
      </c>
      <c r="G595" s="8">
        <f t="shared" si="207"/>
        <v>0.35052</v>
      </c>
      <c r="H595" s="8">
        <f t="shared" si="207"/>
        <v>0.51819000000000004</v>
      </c>
      <c r="I595" s="8">
        <f t="shared" si="207"/>
        <v>0.61168500000000003</v>
      </c>
      <c r="J595" s="8">
        <f t="shared" si="207"/>
        <v>1.0418999999999998</v>
      </c>
      <c r="K595" s="8">
        <f t="shared" si="207"/>
        <v>0.40641000000000005</v>
      </c>
      <c r="L595" s="8">
        <f t="shared" si="207"/>
        <v>0.35742000000000002</v>
      </c>
      <c r="M595" s="8">
        <f t="shared" si="207"/>
        <v>0.71553000000000011</v>
      </c>
      <c r="N595" s="8">
        <f t="shared" si="207"/>
        <v>1.1750700000000001</v>
      </c>
      <c r="O595" s="8">
        <f t="shared" si="207"/>
        <v>0</v>
      </c>
      <c r="P595" s="8">
        <f t="shared" si="207"/>
        <v>0</v>
      </c>
      <c r="Q595" s="8">
        <f t="shared" si="207"/>
        <v>0</v>
      </c>
      <c r="R595" s="8"/>
      <c r="S595" s="8">
        <f t="shared" ref="S595:AW595" si="208">S592*S593*S594</f>
        <v>0</v>
      </c>
      <c r="T595" s="8">
        <f t="shared" si="208"/>
        <v>0</v>
      </c>
      <c r="U595" s="8">
        <f t="shared" si="208"/>
        <v>0</v>
      </c>
      <c r="V595" s="8">
        <f t="shared" si="208"/>
        <v>0</v>
      </c>
      <c r="W595" s="8">
        <f t="shared" si="208"/>
        <v>0</v>
      </c>
      <c r="X595" s="8">
        <f t="shared" si="208"/>
        <v>0</v>
      </c>
      <c r="Y595" s="8">
        <f t="shared" si="208"/>
        <v>0</v>
      </c>
      <c r="Z595" s="8">
        <f t="shared" si="208"/>
        <v>0</v>
      </c>
      <c r="AA595" s="8">
        <f t="shared" si="208"/>
        <v>0</v>
      </c>
      <c r="AB595" s="8">
        <f t="shared" si="208"/>
        <v>0</v>
      </c>
      <c r="AC595" s="8">
        <f t="shared" si="208"/>
        <v>0</v>
      </c>
      <c r="AD595" s="8">
        <f t="shared" si="208"/>
        <v>0</v>
      </c>
      <c r="AE595" s="8">
        <f t="shared" si="208"/>
        <v>0</v>
      </c>
      <c r="AF595" s="8">
        <f t="shared" si="208"/>
        <v>0</v>
      </c>
      <c r="AG595" s="8">
        <f t="shared" si="208"/>
        <v>0</v>
      </c>
      <c r="AH595" s="8">
        <f t="shared" si="208"/>
        <v>0</v>
      </c>
      <c r="AI595" s="8">
        <f t="shared" si="208"/>
        <v>0</v>
      </c>
      <c r="AJ595" s="8">
        <f t="shared" si="208"/>
        <v>0</v>
      </c>
      <c r="AK595" s="8">
        <f t="shared" si="208"/>
        <v>0</v>
      </c>
      <c r="AL595" s="8">
        <f t="shared" si="208"/>
        <v>0</v>
      </c>
      <c r="AM595" s="8">
        <f t="shared" si="208"/>
        <v>0</v>
      </c>
      <c r="AN595" s="8"/>
      <c r="AO595" s="8">
        <f t="shared" si="208"/>
        <v>0</v>
      </c>
      <c r="AP595" s="8">
        <f t="shared" si="208"/>
        <v>0</v>
      </c>
      <c r="AQ595" s="8">
        <f t="shared" si="208"/>
        <v>0</v>
      </c>
      <c r="AR595" s="8">
        <f t="shared" si="208"/>
        <v>0</v>
      </c>
      <c r="AS595" s="8"/>
      <c r="AT595" s="8">
        <f t="shared" si="208"/>
        <v>0</v>
      </c>
      <c r="AU595" s="8">
        <f t="shared" si="208"/>
        <v>0</v>
      </c>
      <c r="AV595" s="8">
        <f t="shared" si="208"/>
        <v>0</v>
      </c>
      <c r="AW595" s="8">
        <f t="shared" si="208"/>
        <v>0</v>
      </c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/>
      <c r="BR595"/>
      <c r="BS595"/>
      <c r="BT595"/>
      <c r="BU595"/>
    </row>
    <row r="596" spans="1:73" s="1" customFormat="1" ht="15.75" thickBot="1">
      <c r="H596" s="5"/>
      <c r="I596" s="8"/>
      <c r="BQ596"/>
      <c r="BR596"/>
      <c r="BS596"/>
      <c r="BT596"/>
      <c r="BU596"/>
    </row>
    <row r="597" spans="1:73" s="1" customFormat="1" ht="19.5" thickBot="1">
      <c r="B597" s="203" t="s">
        <v>167</v>
      </c>
      <c r="C597" s="203"/>
      <c r="D597" s="203"/>
      <c r="E597" s="203"/>
      <c r="F597" s="50">
        <f>ROUNDUP(SUM(B602:AM602),0)</f>
        <v>99</v>
      </c>
      <c r="G597" s="55"/>
      <c r="I597" s="4"/>
      <c r="BQ597"/>
      <c r="BR597"/>
      <c r="BS597"/>
      <c r="BT597"/>
      <c r="BU597"/>
    </row>
    <row r="598" spans="1:73" s="1" customFormat="1">
      <c r="B598" s="1" t="str">
        <f t="shared" ref="B598:Q601" si="209">B591</f>
        <v>BM 1</v>
      </c>
      <c r="C598" s="1" t="str">
        <f t="shared" si="209"/>
        <v>BM 2</v>
      </c>
      <c r="D598" s="1" t="str">
        <f t="shared" si="209"/>
        <v>BM 3</v>
      </c>
      <c r="E598" s="1" t="str">
        <f t="shared" si="209"/>
        <v>BM 4</v>
      </c>
      <c r="F598" s="1" t="str">
        <f t="shared" si="209"/>
        <v>BM 5</v>
      </c>
      <c r="G598" s="1" t="str">
        <f t="shared" si="209"/>
        <v>BM 6</v>
      </c>
      <c r="H598" s="1" t="str">
        <f t="shared" si="209"/>
        <v>BM 7</v>
      </c>
      <c r="I598" s="1" t="str">
        <f t="shared" si="209"/>
        <v>BM 8</v>
      </c>
      <c r="J598" s="1" t="str">
        <f t="shared" si="209"/>
        <v>BM 9</v>
      </c>
      <c r="K598" s="1" t="str">
        <f t="shared" si="209"/>
        <v>BM 10</v>
      </c>
      <c r="L598" s="1" t="str">
        <f t="shared" si="209"/>
        <v>BM 11</v>
      </c>
      <c r="M598" s="1" t="str">
        <f t="shared" si="209"/>
        <v>BM 12</v>
      </c>
      <c r="N598" s="1" t="str">
        <f t="shared" si="209"/>
        <v>BM 13</v>
      </c>
      <c r="O598" s="1" t="str">
        <f t="shared" si="209"/>
        <v>BM 14</v>
      </c>
      <c r="P598" s="1" t="str">
        <f t="shared" si="209"/>
        <v>BM 15</v>
      </c>
      <c r="Q598" s="1" t="str">
        <f t="shared" si="209"/>
        <v>BM 16</v>
      </c>
      <c r="S598" s="1" t="str">
        <f t="shared" ref="S598:AM601" si="210">S591</f>
        <v>BM 17</v>
      </c>
      <c r="T598" s="1" t="str">
        <f t="shared" si="210"/>
        <v>BM 18</v>
      </c>
      <c r="U598" s="1" t="str">
        <f t="shared" si="210"/>
        <v>BM 19</v>
      </c>
      <c r="V598" s="1" t="str">
        <f t="shared" si="210"/>
        <v>BM 20</v>
      </c>
      <c r="W598" s="1" t="str">
        <f t="shared" si="210"/>
        <v>BM 21</v>
      </c>
      <c r="X598" s="1" t="str">
        <f t="shared" si="210"/>
        <v>BM 22</v>
      </c>
      <c r="Y598" s="1" t="str">
        <f t="shared" si="210"/>
        <v>BM 23</v>
      </c>
      <c r="Z598" s="1" t="str">
        <f t="shared" si="210"/>
        <v>BM 24</v>
      </c>
      <c r="AA598" s="1" t="str">
        <f t="shared" si="210"/>
        <v>BM 25</v>
      </c>
      <c r="AB598" s="1" t="str">
        <f t="shared" si="210"/>
        <v>BM 26</v>
      </c>
      <c r="AC598" s="1" t="str">
        <f t="shared" si="210"/>
        <v>BM 27</v>
      </c>
      <c r="AD598" s="1" t="str">
        <f t="shared" si="210"/>
        <v>BM 28</v>
      </c>
      <c r="AE598" s="1" t="str">
        <f t="shared" si="210"/>
        <v>BM 29</v>
      </c>
      <c r="AF598" s="1" t="str">
        <f t="shared" si="210"/>
        <v>BM 30</v>
      </c>
      <c r="AG598" s="1" t="str">
        <f t="shared" si="210"/>
        <v>BM 31</v>
      </c>
      <c r="AH598" s="1" t="str">
        <f t="shared" si="210"/>
        <v>BM 32</v>
      </c>
      <c r="AI598" s="1" t="str">
        <f t="shared" si="210"/>
        <v>BM 33</v>
      </c>
      <c r="AJ598" s="1" t="str">
        <f t="shared" si="210"/>
        <v>BM 34</v>
      </c>
      <c r="AK598" s="1" t="str">
        <f t="shared" si="210"/>
        <v>BM 35</v>
      </c>
      <c r="AL598" s="1" t="str">
        <f t="shared" si="210"/>
        <v>BM 36</v>
      </c>
      <c r="AM598" s="1" t="str">
        <f t="shared" si="210"/>
        <v>BM 37</v>
      </c>
      <c r="AO598" s="1" t="str">
        <f t="shared" ref="AO598:AR601" si="211">AO591</f>
        <v>IN BEAM</v>
      </c>
      <c r="AP598" s="1" t="str">
        <f t="shared" si="211"/>
        <v>IN BEAM</v>
      </c>
      <c r="AQ598" s="1" t="str">
        <f t="shared" si="211"/>
        <v>IN BEAM</v>
      </c>
      <c r="AR598" s="1" t="str">
        <f t="shared" si="211"/>
        <v>IN BEAM</v>
      </c>
      <c r="AT598" s="1" t="str">
        <f t="shared" ref="AT598:AW601" si="212">AT591</f>
        <v>IN BEAM</v>
      </c>
      <c r="AU598" s="1" t="str">
        <f t="shared" si="212"/>
        <v>IN BEAM</v>
      </c>
      <c r="AV598" s="1" t="str">
        <f t="shared" si="212"/>
        <v>IN BEAM</v>
      </c>
      <c r="AW598" s="1" t="str">
        <f t="shared" si="212"/>
        <v>IN BEAM</v>
      </c>
      <c r="BQ598"/>
      <c r="BR598"/>
      <c r="BS598"/>
      <c r="BT598"/>
      <c r="BU598"/>
    </row>
    <row r="599" spans="1:73" s="44" customFormat="1">
      <c r="A599" s="44" t="str">
        <f>A592</f>
        <v>length</v>
      </c>
      <c r="B599" s="1">
        <f t="shared" si="209"/>
        <v>9.7050000000000001</v>
      </c>
      <c r="C599" s="1">
        <f t="shared" si="209"/>
        <v>9.7050000000000001</v>
      </c>
      <c r="D599" s="1">
        <f t="shared" si="209"/>
        <v>9.7100000000000009</v>
      </c>
      <c r="E599" s="1">
        <f t="shared" si="209"/>
        <v>9.7100000000000009</v>
      </c>
      <c r="F599" s="1">
        <f t="shared" si="209"/>
        <v>5.99</v>
      </c>
      <c r="G599" s="1">
        <f t="shared" si="209"/>
        <v>5.08</v>
      </c>
      <c r="H599" s="1">
        <f t="shared" si="209"/>
        <v>7.5100000000000007</v>
      </c>
      <c r="I599" s="1">
        <f t="shared" si="209"/>
        <v>5.91</v>
      </c>
      <c r="J599" s="1">
        <f t="shared" si="209"/>
        <v>15.1</v>
      </c>
      <c r="K599" s="1">
        <f t="shared" si="209"/>
        <v>5.8900000000000006</v>
      </c>
      <c r="L599" s="1">
        <f t="shared" si="209"/>
        <v>5.1800000000000006</v>
      </c>
      <c r="M599" s="1">
        <f t="shared" si="209"/>
        <v>10.370000000000001</v>
      </c>
      <c r="N599" s="1">
        <f t="shared" si="209"/>
        <v>17.03</v>
      </c>
      <c r="O599" s="1">
        <f t="shared" si="209"/>
        <v>0</v>
      </c>
      <c r="P599" s="1">
        <f t="shared" si="209"/>
        <v>0</v>
      </c>
      <c r="Q599" s="1">
        <f t="shared" si="209"/>
        <v>0</v>
      </c>
      <c r="R599" s="1"/>
      <c r="S599" s="1">
        <f t="shared" si="210"/>
        <v>0</v>
      </c>
      <c r="T599" s="1">
        <f t="shared" si="210"/>
        <v>0</v>
      </c>
      <c r="U599" s="1">
        <f t="shared" si="210"/>
        <v>0</v>
      </c>
      <c r="V599" s="1">
        <f t="shared" si="210"/>
        <v>0</v>
      </c>
      <c r="W599" s="1">
        <f t="shared" si="210"/>
        <v>0</v>
      </c>
      <c r="X599" s="1">
        <f t="shared" si="210"/>
        <v>0</v>
      </c>
      <c r="Y599" s="1">
        <f t="shared" si="210"/>
        <v>0</v>
      </c>
      <c r="Z599" s="1">
        <f t="shared" si="210"/>
        <v>0</v>
      </c>
      <c r="AA599" s="1">
        <f t="shared" si="210"/>
        <v>0</v>
      </c>
      <c r="AB599" s="1">
        <f t="shared" si="210"/>
        <v>0</v>
      </c>
      <c r="AC599" s="1">
        <f t="shared" si="210"/>
        <v>0</v>
      </c>
      <c r="AD599" s="1">
        <f t="shared" si="210"/>
        <v>0</v>
      </c>
      <c r="AE599" s="1">
        <f t="shared" si="210"/>
        <v>0</v>
      </c>
      <c r="AF599" s="1">
        <f t="shared" si="210"/>
        <v>0</v>
      </c>
      <c r="AG599" s="1">
        <f t="shared" si="210"/>
        <v>0</v>
      </c>
      <c r="AH599" s="1">
        <f t="shared" si="210"/>
        <v>0</v>
      </c>
      <c r="AI599" s="1">
        <f t="shared" si="210"/>
        <v>0</v>
      </c>
      <c r="AJ599" s="1">
        <f t="shared" si="210"/>
        <v>0</v>
      </c>
      <c r="AK599" s="1">
        <f t="shared" si="210"/>
        <v>0</v>
      </c>
      <c r="AL599" s="1">
        <f t="shared" si="210"/>
        <v>0</v>
      </c>
      <c r="AM599" s="1">
        <f t="shared" si="210"/>
        <v>0</v>
      </c>
      <c r="AN599" s="1"/>
      <c r="AO599" s="1">
        <f t="shared" si="211"/>
        <v>0</v>
      </c>
      <c r="AP599" s="1">
        <f t="shared" si="211"/>
        <v>0</v>
      </c>
      <c r="AQ599" s="1">
        <f t="shared" si="211"/>
        <v>0</v>
      </c>
      <c r="AR599" s="1">
        <f t="shared" si="211"/>
        <v>0</v>
      </c>
      <c r="AS599" s="1"/>
      <c r="AT599" s="1">
        <f t="shared" si="212"/>
        <v>0</v>
      </c>
      <c r="AU599" s="1">
        <f t="shared" si="212"/>
        <v>0</v>
      </c>
      <c r="AV599" s="1">
        <f t="shared" si="212"/>
        <v>0</v>
      </c>
      <c r="AW599" s="1">
        <f t="shared" si="212"/>
        <v>0</v>
      </c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4"/>
      <c r="BQ599"/>
    </row>
    <row r="600" spans="1:73" s="1" customFormat="1">
      <c r="A600" s="44" t="str">
        <f>A593</f>
        <v>depth</v>
      </c>
      <c r="B600" s="1">
        <f t="shared" si="209"/>
        <v>0.3</v>
      </c>
      <c r="C600" s="1">
        <f t="shared" si="209"/>
        <v>0.3</v>
      </c>
      <c r="D600" s="1">
        <f t="shared" si="209"/>
        <v>0.3</v>
      </c>
      <c r="E600" s="1">
        <f t="shared" si="209"/>
        <v>0.3</v>
      </c>
      <c r="F600" s="1">
        <f t="shared" si="209"/>
        <v>0.3</v>
      </c>
      <c r="G600" s="1">
        <f t="shared" si="209"/>
        <v>0.3</v>
      </c>
      <c r="H600" s="1">
        <f t="shared" si="209"/>
        <v>0.3</v>
      </c>
      <c r="I600" s="1">
        <f t="shared" si="209"/>
        <v>0.45</v>
      </c>
      <c r="J600" s="1">
        <f t="shared" si="209"/>
        <v>0.3</v>
      </c>
      <c r="K600" s="1">
        <f t="shared" si="209"/>
        <v>0.3</v>
      </c>
      <c r="L600" s="1">
        <f t="shared" si="209"/>
        <v>0.3</v>
      </c>
      <c r="M600" s="1">
        <f t="shared" si="209"/>
        <v>0.3</v>
      </c>
      <c r="N600" s="1">
        <f t="shared" si="209"/>
        <v>0.3</v>
      </c>
      <c r="O600" s="1">
        <f t="shared" si="209"/>
        <v>0.3</v>
      </c>
      <c r="P600" s="1">
        <f t="shared" si="209"/>
        <v>0.3</v>
      </c>
      <c r="Q600" s="1">
        <f t="shared" si="209"/>
        <v>0.3</v>
      </c>
      <c r="S600" s="1">
        <f t="shared" si="210"/>
        <v>0.3</v>
      </c>
      <c r="T600" s="1">
        <f t="shared" si="210"/>
        <v>0.3</v>
      </c>
      <c r="U600" s="1">
        <f t="shared" si="210"/>
        <v>0.3</v>
      </c>
      <c r="V600" s="1">
        <f t="shared" si="210"/>
        <v>0.3</v>
      </c>
      <c r="W600" s="1">
        <f t="shared" si="210"/>
        <v>0.3</v>
      </c>
      <c r="X600" s="1">
        <f t="shared" si="210"/>
        <v>0.3</v>
      </c>
      <c r="Y600" s="1">
        <f t="shared" si="210"/>
        <v>0.3</v>
      </c>
      <c r="Z600" s="1">
        <f t="shared" si="210"/>
        <v>0.3</v>
      </c>
      <c r="AA600" s="1">
        <f t="shared" si="210"/>
        <v>0.3</v>
      </c>
      <c r="AB600" s="1">
        <f t="shared" si="210"/>
        <v>0.3</v>
      </c>
      <c r="AC600" s="1">
        <f t="shared" si="210"/>
        <v>0.3</v>
      </c>
      <c r="AD600" s="1">
        <f t="shared" si="210"/>
        <v>0.3</v>
      </c>
      <c r="AE600" s="1">
        <f t="shared" si="210"/>
        <v>0.3</v>
      </c>
      <c r="AF600" s="1">
        <f t="shared" si="210"/>
        <v>0.3</v>
      </c>
      <c r="AG600" s="1">
        <f t="shared" si="210"/>
        <v>0.3</v>
      </c>
      <c r="AH600" s="1">
        <f t="shared" si="210"/>
        <v>0.3</v>
      </c>
      <c r="AI600" s="1">
        <f t="shared" si="210"/>
        <v>0.3</v>
      </c>
      <c r="AJ600" s="1">
        <f t="shared" si="210"/>
        <v>0.3</v>
      </c>
      <c r="AK600" s="1">
        <f t="shared" si="210"/>
        <v>0.3</v>
      </c>
      <c r="AL600" s="1">
        <f t="shared" si="210"/>
        <v>0.3</v>
      </c>
      <c r="AM600" s="1">
        <f t="shared" si="210"/>
        <v>0.3</v>
      </c>
      <c r="AO600" s="1">
        <f t="shared" si="211"/>
        <v>0.45</v>
      </c>
      <c r="AP600" s="1">
        <f t="shared" si="211"/>
        <v>0.45</v>
      </c>
      <c r="AQ600" s="1">
        <f t="shared" si="211"/>
        <v>0.45</v>
      </c>
      <c r="AR600" s="1">
        <f t="shared" si="211"/>
        <v>0.45</v>
      </c>
      <c r="AT600" s="1">
        <f t="shared" si="212"/>
        <v>0.45</v>
      </c>
      <c r="AU600" s="1">
        <f t="shared" si="212"/>
        <v>0.45</v>
      </c>
      <c r="AV600" s="1">
        <f t="shared" si="212"/>
        <v>0.45</v>
      </c>
      <c r="AW600" s="1">
        <f t="shared" si="212"/>
        <v>0.45</v>
      </c>
      <c r="BQ600"/>
      <c r="BR600"/>
      <c r="BS600"/>
      <c r="BT600"/>
      <c r="BU600"/>
    </row>
    <row r="601" spans="1:73" s="1" customFormat="1">
      <c r="A601" s="44" t="str">
        <f>A594</f>
        <v>width</v>
      </c>
      <c r="B601" s="1">
        <f t="shared" si="209"/>
        <v>0.23</v>
      </c>
      <c r="C601" s="1">
        <f t="shared" si="209"/>
        <v>0.23</v>
      </c>
      <c r="D601" s="1">
        <f t="shared" si="209"/>
        <v>0.23</v>
      </c>
      <c r="E601" s="1">
        <f t="shared" si="209"/>
        <v>0.23</v>
      </c>
      <c r="F601" s="1">
        <f t="shared" si="209"/>
        <v>0.23</v>
      </c>
      <c r="G601" s="1">
        <f t="shared" si="209"/>
        <v>0.23</v>
      </c>
      <c r="H601" s="1">
        <f t="shared" si="209"/>
        <v>0.23</v>
      </c>
      <c r="I601" s="1">
        <f t="shared" si="209"/>
        <v>0.23</v>
      </c>
      <c r="J601" s="1">
        <f t="shared" si="209"/>
        <v>0.23</v>
      </c>
      <c r="K601" s="1">
        <f t="shared" si="209"/>
        <v>0.23</v>
      </c>
      <c r="L601" s="1">
        <f t="shared" si="209"/>
        <v>0.23</v>
      </c>
      <c r="M601" s="1">
        <f t="shared" si="209"/>
        <v>0.23</v>
      </c>
      <c r="N601" s="1">
        <f t="shared" si="209"/>
        <v>0.23</v>
      </c>
      <c r="O601" s="1">
        <f t="shared" si="209"/>
        <v>0.23</v>
      </c>
      <c r="P601" s="1">
        <f t="shared" si="209"/>
        <v>0.23</v>
      </c>
      <c r="Q601" s="1">
        <f t="shared" si="209"/>
        <v>0.23</v>
      </c>
      <c r="S601" s="1">
        <f t="shared" si="210"/>
        <v>0.23</v>
      </c>
      <c r="T601" s="1">
        <f t="shared" si="210"/>
        <v>0.23</v>
      </c>
      <c r="U601" s="1">
        <f t="shared" si="210"/>
        <v>0.23</v>
      </c>
      <c r="V601" s="1">
        <f t="shared" si="210"/>
        <v>0.23</v>
      </c>
      <c r="W601" s="1">
        <f t="shared" si="210"/>
        <v>0.23</v>
      </c>
      <c r="X601" s="1">
        <f t="shared" si="210"/>
        <v>0.23</v>
      </c>
      <c r="Y601" s="1">
        <f t="shared" si="210"/>
        <v>0.23</v>
      </c>
      <c r="Z601" s="1">
        <f t="shared" si="210"/>
        <v>0.23</v>
      </c>
      <c r="AA601" s="1">
        <f t="shared" si="210"/>
        <v>0.23</v>
      </c>
      <c r="AB601" s="1">
        <f t="shared" si="210"/>
        <v>0.23</v>
      </c>
      <c r="AC601" s="1">
        <f t="shared" si="210"/>
        <v>0.23</v>
      </c>
      <c r="AD601" s="1">
        <f t="shared" si="210"/>
        <v>0.23</v>
      </c>
      <c r="AE601" s="1">
        <f t="shared" si="210"/>
        <v>0.23</v>
      </c>
      <c r="AF601" s="1">
        <f t="shared" si="210"/>
        <v>0.23</v>
      </c>
      <c r="AG601" s="1">
        <f t="shared" si="210"/>
        <v>0.23</v>
      </c>
      <c r="AH601" s="1">
        <f t="shared" si="210"/>
        <v>0.23</v>
      </c>
      <c r="AI601" s="1">
        <f t="shared" si="210"/>
        <v>0.23</v>
      </c>
      <c r="AJ601" s="1">
        <f t="shared" si="210"/>
        <v>0.23</v>
      </c>
      <c r="AK601" s="1">
        <f t="shared" si="210"/>
        <v>0.23</v>
      </c>
      <c r="AL601" s="1">
        <f t="shared" si="210"/>
        <v>0.23</v>
      </c>
      <c r="AM601" s="1">
        <f t="shared" si="210"/>
        <v>0.23</v>
      </c>
      <c r="AO601" s="1">
        <f t="shared" si="211"/>
        <v>0.15</v>
      </c>
      <c r="AP601" s="1">
        <f t="shared" si="211"/>
        <v>0.15</v>
      </c>
      <c r="AQ601" s="1">
        <f t="shared" si="211"/>
        <v>0.15</v>
      </c>
      <c r="AR601" s="1">
        <f t="shared" si="211"/>
        <v>0.15</v>
      </c>
      <c r="AT601" s="1">
        <f t="shared" si="212"/>
        <v>0.15</v>
      </c>
      <c r="AU601" s="1">
        <f t="shared" si="212"/>
        <v>0.15</v>
      </c>
      <c r="AV601" s="1">
        <f t="shared" si="212"/>
        <v>0.15</v>
      </c>
      <c r="AW601" s="1">
        <f t="shared" si="212"/>
        <v>0.15</v>
      </c>
      <c r="BQ601"/>
      <c r="BR601"/>
      <c r="BS601"/>
      <c r="BT601"/>
      <c r="BU601"/>
    </row>
    <row r="602" spans="1:73" s="1" customFormat="1">
      <c r="B602" s="8">
        <f t="shared" ref="B602:Q602" si="213">(B599*B600*2)+(B599*B601)</f>
        <v>8.0551499999999994</v>
      </c>
      <c r="C602" s="8">
        <f t="shared" si="213"/>
        <v>8.0551499999999994</v>
      </c>
      <c r="D602" s="8">
        <f t="shared" si="213"/>
        <v>8.0593000000000004</v>
      </c>
      <c r="E602" s="8">
        <f t="shared" si="213"/>
        <v>8.0593000000000004</v>
      </c>
      <c r="F602" s="8">
        <f t="shared" si="213"/>
        <v>4.9717000000000002</v>
      </c>
      <c r="G602" s="8">
        <f t="shared" si="213"/>
        <v>4.2164000000000001</v>
      </c>
      <c r="H602" s="8">
        <f t="shared" si="213"/>
        <v>6.2333000000000007</v>
      </c>
      <c r="I602" s="8">
        <f t="shared" si="213"/>
        <v>6.6783000000000001</v>
      </c>
      <c r="J602" s="8">
        <f t="shared" si="213"/>
        <v>12.532999999999998</v>
      </c>
      <c r="K602" s="8">
        <f t="shared" si="213"/>
        <v>4.8887</v>
      </c>
      <c r="L602" s="8">
        <f t="shared" si="213"/>
        <v>4.2994000000000003</v>
      </c>
      <c r="M602" s="8">
        <f t="shared" si="213"/>
        <v>8.6071000000000009</v>
      </c>
      <c r="N602" s="8">
        <f t="shared" si="213"/>
        <v>14.1349</v>
      </c>
      <c r="O602" s="8">
        <f t="shared" si="213"/>
        <v>0</v>
      </c>
      <c r="P602" s="8">
        <f t="shared" si="213"/>
        <v>0</v>
      </c>
      <c r="Q602" s="8">
        <f t="shared" si="213"/>
        <v>0</v>
      </c>
      <c r="R602" s="8"/>
      <c r="S602" s="8">
        <f t="shared" ref="S602:AW602" si="214">(S599*S600*2)+(S599*S601)</f>
        <v>0</v>
      </c>
      <c r="T602" s="8">
        <f t="shared" si="214"/>
        <v>0</v>
      </c>
      <c r="U602" s="8">
        <f t="shared" si="214"/>
        <v>0</v>
      </c>
      <c r="V602" s="8">
        <f t="shared" si="214"/>
        <v>0</v>
      </c>
      <c r="W602" s="8">
        <f t="shared" si="214"/>
        <v>0</v>
      </c>
      <c r="X602" s="8">
        <f t="shared" si="214"/>
        <v>0</v>
      </c>
      <c r="Y602" s="8">
        <f t="shared" si="214"/>
        <v>0</v>
      </c>
      <c r="Z602" s="8">
        <f t="shared" si="214"/>
        <v>0</v>
      </c>
      <c r="AA602" s="8">
        <f t="shared" si="214"/>
        <v>0</v>
      </c>
      <c r="AB602" s="8">
        <f t="shared" si="214"/>
        <v>0</v>
      </c>
      <c r="AC602" s="8">
        <f t="shared" si="214"/>
        <v>0</v>
      </c>
      <c r="AD602" s="8">
        <f t="shared" si="214"/>
        <v>0</v>
      </c>
      <c r="AE602" s="8">
        <f t="shared" si="214"/>
        <v>0</v>
      </c>
      <c r="AF602" s="8">
        <f t="shared" si="214"/>
        <v>0</v>
      </c>
      <c r="AG602" s="8">
        <f t="shared" si="214"/>
        <v>0</v>
      </c>
      <c r="AH602" s="8">
        <f t="shared" si="214"/>
        <v>0</v>
      </c>
      <c r="AI602" s="8">
        <f t="shared" si="214"/>
        <v>0</v>
      </c>
      <c r="AJ602" s="8">
        <f t="shared" si="214"/>
        <v>0</v>
      </c>
      <c r="AK602" s="8">
        <f t="shared" si="214"/>
        <v>0</v>
      </c>
      <c r="AL602" s="8">
        <f t="shared" si="214"/>
        <v>0</v>
      </c>
      <c r="AM602" s="8">
        <f t="shared" si="214"/>
        <v>0</v>
      </c>
      <c r="AN602" s="8"/>
      <c r="AO602" s="8">
        <f t="shared" si="214"/>
        <v>0</v>
      </c>
      <c r="AP602" s="8">
        <f t="shared" si="214"/>
        <v>0</v>
      </c>
      <c r="AQ602" s="8">
        <f t="shared" si="214"/>
        <v>0</v>
      </c>
      <c r="AR602" s="8">
        <f t="shared" si="214"/>
        <v>0</v>
      </c>
      <c r="AS602" s="8"/>
      <c r="AT602" s="8">
        <f t="shared" si="214"/>
        <v>0</v>
      </c>
      <c r="AU602" s="8">
        <f t="shared" si="214"/>
        <v>0</v>
      </c>
      <c r="AV602" s="8">
        <f t="shared" si="214"/>
        <v>0</v>
      </c>
      <c r="AW602" s="8">
        <f t="shared" si="214"/>
        <v>0</v>
      </c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/>
      <c r="BR602"/>
      <c r="BS602"/>
      <c r="BT602"/>
      <c r="BU602"/>
    </row>
    <row r="603" spans="1:73" s="1" customFormat="1" ht="20.25" customHeight="1">
      <c r="H603" s="5"/>
      <c r="I603" s="8"/>
      <c r="BQ603"/>
      <c r="BR603"/>
      <c r="BS603"/>
      <c r="BT603"/>
      <c r="BU603"/>
    </row>
    <row r="604" spans="1:73" s="1" customFormat="1" ht="20.25" customHeight="1" thickBot="1">
      <c r="H604" s="5"/>
      <c r="I604" s="8"/>
      <c r="BQ604"/>
      <c r="BR604"/>
      <c r="BS604"/>
      <c r="BT604"/>
      <c r="BU604"/>
    </row>
    <row r="605" spans="1:73" s="1" customFormat="1" ht="19.5" thickBot="1">
      <c r="B605" s="203" t="s">
        <v>168</v>
      </c>
      <c r="C605" s="203"/>
      <c r="D605" s="203"/>
      <c r="E605" s="203"/>
      <c r="F605" s="19" t="s">
        <v>105</v>
      </c>
      <c r="G605" s="56">
        <f>ROUNDUP(L618,0)</f>
        <v>116</v>
      </c>
      <c r="BQ605"/>
      <c r="BR605"/>
      <c r="BS605"/>
      <c r="BT605"/>
      <c r="BU605"/>
    </row>
    <row r="606" spans="1:73" s="1" customFormat="1" ht="19.5" thickBot="1">
      <c r="F606" s="19" t="s">
        <v>70</v>
      </c>
      <c r="G606" s="56">
        <f>ROUNDUP(L619,0)</f>
        <v>268</v>
      </c>
      <c r="I606" s="8"/>
      <c r="BQ606"/>
      <c r="BR606"/>
      <c r="BS606"/>
      <c r="BT606"/>
      <c r="BU606"/>
    </row>
    <row r="607" spans="1:73" s="1" customFormat="1" ht="19.5" thickBot="1">
      <c r="F607" s="19" t="s">
        <v>71</v>
      </c>
      <c r="G607" s="56">
        <f>ROUNDUP(L620,0)</f>
        <v>1032</v>
      </c>
      <c r="I607" s="8"/>
      <c r="BQ607" s="42"/>
      <c r="BR607"/>
      <c r="BS607"/>
      <c r="BT607"/>
      <c r="BU607"/>
    </row>
    <row r="608" spans="1:73" s="1" customFormat="1" ht="19.5" thickBot="1">
      <c r="F608" s="19" t="s">
        <v>68</v>
      </c>
      <c r="G608" s="56">
        <f>ROUNDUP(L621,0)</f>
        <v>0</v>
      </c>
      <c r="I608" s="8"/>
      <c r="BQ608"/>
      <c r="BR608"/>
      <c r="BS608"/>
      <c r="BT608"/>
      <c r="BU608"/>
    </row>
    <row r="609" spans="1:73" s="1" customFormat="1" ht="19.5" thickBot="1">
      <c r="F609" s="19" t="s">
        <v>108</v>
      </c>
      <c r="G609" s="56">
        <f>ROUNDUP(L630,0)</f>
        <v>431</v>
      </c>
      <c r="I609" s="8"/>
      <c r="BR609"/>
      <c r="BS609"/>
      <c r="BT609"/>
      <c r="BU609"/>
    </row>
    <row r="610" spans="1:73" s="1" customFormat="1" ht="19.5" thickBot="1">
      <c r="F610" s="19" t="s">
        <v>123</v>
      </c>
      <c r="G610" s="56">
        <f>ROUNDUP(L631,0)</f>
        <v>0</v>
      </c>
      <c r="I610" s="8"/>
      <c r="BR610"/>
      <c r="BS610"/>
      <c r="BT610"/>
      <c r="BU610"/>
    </row>
    <row r="611" spans="1:73" s="1" customFormat="1" ht="15.75" thickBot="1">
      <c r="F611" s="5"/>
      <c r="G611" s="5"/>
      <c r="I611" s="8"/>
      <c r="BR611"/>
      <c r="BS611"/>
      <c r="BT611"/>
      <c r="BU611"/>
    </row>
    <row r="612" spans="1:73" s="42" customFormat="1" ht="16.5" customHeight="1" thickBot="1">
      <c r="B612" s="57" t="s">
        <v>127</v>
      </c>
      <c r="C612" s="42" t="s">
        <v>128</v>
      </c>
      <c r="D612" s="42" t="s">
        <v>129</v>
      </c>
      <c r="E612" s="42" t="s">
        <v>130</v>
      </c>
      <c r="F612" s="42" t="s">
        <v>131</v>
      </c>
      <c r="G612" s="42" t="s">
        <v>132</v>
      </c>
      <c r="H612" s="42" t="s">
        <v>133</v>
      </c>
      <c r="I612" s="42" t="s">
        <v>134</v>
      </c>
      <c r="J612" s="42" t="s">
        <v>135</v>
      </c>
      <c r="K612" s="42" t="s">
        <v>136</v>
      </c>
      <c r="L612" s="42" t="s">
        <v>137</v>
      </c>
      <c r="M612" s="42" t="s">
        <v>138</v>
      </c>
      <c r="N612" s="42" t="s">
        <v>139</v>
      </c>
      <c r="O612" s="42" t="s">
        <v>140</v>
      </c>
      <c r="P612" s="42" t="s">
        <v>141</v>
      </c>
      <c r="Q612" s="42" t="s">
        <v>142</v>
      </c>
      <c r="S612" s="42" t="str">
        <f t="shared" ref="S612:AM612" si="215">S598</f>
        <v>BM 17</v>
      </c>
      <c r="T612" s="42" t="str">
        <f t="shared" si="215"/>
        <v>BM 18</v>
      </c>
      <c r="U612" s="42" t="str">
        <f t="shared" si="215"/>
        <v>BM 19</v>
      </c>
      <c r="V612" s="42" t="str">
        <f t="shared" si="215"/>
        <v>BM 20</v>
      </c>
      <c r="W612" s="42" t="str">
        <f t="shared" si="215"/>
        <v>BM 21</v>
      </c>
      <c r="X612" s="42" t="str">
        <f t="shared" si="215"/>
        <v>BM 22</v>
      </c>
      <c r="Y612" s="42" t="str">
        <f t="shared" si="215"/>
        <v>BM 23</v>
      </c>
      <c r="Z612" s="42" t="str">
        <f t="shared" si="215"/>
        <v>BM 24</v>
      </c>
      <c r="AA612" s="42" t="str">
        <f t="shared" si="215"/>
        <v>BM 25</v>
      </c>
      <c r="AB612" s="42" t="str">
        <f t="shared" si="215"/>
        <v>BM 26</v>
      </c>
      <c r="AC612" s="42" t="str">
        <f t="shared" si="215"/>
        <v>BM 27</v>
      </c>
      <c r="AD612" s="42" t="str">
        <f t="shared" si="215"/>
        <v>BM 28</v>
      </c>
      <c r="AE612" s="42" t="str">
        <f t="shared" si="215"/>
        <v>BM 29</v>
      </c>
      <c r="AF612" s="42" t="str">
        <f t="shared" si="215"/>
        <v>BM 30</v>
      </c>
      <c r="AG612" s="42" t="str">
        <f t="shared" si="215"/>
        <v>BM 31</v>
      </c>
      <c r="AH612" s="42" t="str">
        <f t="shared" si="215"/>
        <v>BM 32</v>
      </c>
      <c r="AI612" s="42" t="str">
        <f t="shared" si="215"/>
        <v>BM 33</v>
      </c>
      <c r="AJ612" s="42" t="str">
        <f t="shared" si="215"/>
        <v>BM 34</v>
      </c>
      <c r="AK612" s="42" t="str">
        <f t="shared" si="215"/>
        <v>BM 35</v>
      </c>
      <c r="AL612" s="42" t="str">
        <f t="shared" si="215"/>
        <v>BM 36</v>
      </c>
      <c r="AM612" s="42" t="str">
        <f t="shared" si="215"/>
        <v>BM 37</v>
      </c>
      <c r="AO612" s="42" t="str">
        <f>AO598</f>
        <v>IN BEAM</v>
      </c>
      <c r="AP612" s="42" t="str">
        <f>AP598</f>
        <v>IN BEAM</v>
      </c>
      <c r="AQ612" s="42" t="str">
        <f>AQ598</f>
        <v>IN BEAM</v>
      </c>
      <c r="AR612" s="42" t="str">
        <f>AR598</f>
        <v>IN BEAM</v>
      </c>
      <c r="AT612" s="42" t="str">
        <f>AT598</f>
        <v>IN BEAM</v>
      </c>
      <c r="AU612" s="42" t="str">
        <f>AU598</f>
        <v>IN BEAM</v>
      </c>
      <c r="AV612" s="42" t="str">
        <f>AV598</f>
        <v>IN BEAM</v>
      </c>
      <c r="AW612" s="42" t="str">
        <f>AW598</f>
        <v>IN BEAM</v>
      </c>
      <c r="BQ612" s="1"/>
    </row>
    <row r="613" spans="1:73" s="1" customFormat="1" ht="16.5" customHeight="1">
      <c r="A613" s="20" t="s">
        <v>169</v>
      </c>
      <c r="E613" s="1">
        <f>9.97*3</f>
        <v>29.910000000000004</v>
      </c>
      <c r="BR613"/>
      <c r="BS613"/>
      <c r="BT613"/>
      <c r="BU613"/>
    </row>
    <row r="614" spans="1:73" s="1" customFormat="1" ht="16.5" customHeight="1">
      <c r="A614" s="20" t="s">
        <v>106</v>
      </c>
      <c r="E614" s="1">
        <f>9.97*3</f>
        <v>29.910000000000004</v>
      </c>
      <c r="I614" s="1">
        <f>6.15*4</f>
        <v>24.6</v>
      </c>
      <c r="L614" s="1">
        <f>5.44*4*2</f>
        <v>43.52</v>
      </c>
      <c r="M614" s="1">
        <f>3.42*3</f>
        <v>10.26</v>
      </c>
      <c r="BQ614" s="34"/>
    </row>
    <row r="615" spans="1:73" s="1" customFormat="1" ht="16.5" customHeight="1">
      <c r="A615" s="20" t="s">
        <v>104</v>
      </c>
      <c r="B615" s="1">
        <f>(9.96*3)+(9.96*4)</f>
        <v>69.72</v>
      </c>
      <c r="C615" s="1">
        <f t="shared" ref="C615:D615" si="216">(9.96*3)+(9.96*4)</f>
        <v>69.72</v>
      </c>
      <c r="D615" s="1">
        <f t="shared" si="216"/>
        <v>69.72</v>
      </c>
      <c r="F615" s="1">
        <f>(6.26*3)+(6.26*4)</f>
        <v>43.82</v>
      </c>
      <c r="G615" s="1">
        <f>(5.35*3)+(5.35*4)</f>
        <v>37.449999999999996</v>
      </c>
      <c r="H615" s="1">
        <f>7.73*3*2</f>
        <v>46.38</v>
      </c>
      <c r="I615" s="1">
        <f>6.15*3</f>
        <v>18.450000000000003</v>
      </c>
      <c r="J615" s="1">
        <f>(9.3*3)+(1.62*3)+(5.32*3)+(8.76*3)+(7.31*3)</f>
        <v>96.93</v>
      </c>
      <c r="K615" s="1">
        <f>6.12*3*2</f>
        <v>36.72</v>
      </c>
      <c r="M615" s="1">
        <f>(1.92*3)+(6*3)+(6.85*3)+(4.31*3)</f>
        <v>57.239999999999995</v>
      </c>
      <c r="N615" s="1">
        <f>(8.05*3)+(1.63*3)+(8.2*3)+(8.77*3)+(9.05*3)</f>
        <v>107.10000000000001</v>
      </c>
    </row>
    <row r="616" spans="1:73" s="1" customFormat="1" ht="16.5" customHeight="1">
      <c r="A616" s="20" t="s">
        <v>69</v>
      </c>
    </row>
    <row r="617" spans="1:73" s="1" customFormat="1" ht="16.5" customHeight="1"/>
    <row r="618" spans="1:73" s="1" customFormat="1" ht="16.5" customHeight="1" thickBot="1">
      <c r="I618" s="1" t="s">
        <v>169</v>
      </c>
      <c r="J618" s="5">
        <f>SUM(B613:AW613)</f>
        <v>29.910000000000004</v>
      </c>
      <c r="K618" s="1">
        <v>3.8540000000000001</v>
      </c>
      <c r="L618" s="1">
        <f>J618*K618</f>
        <v>115.27314000000001</v>
      </c>
    </row>
    <row r="619" spans="1:73" s="34" customFormat="1" ht="13.5" thickBot="1">
      <c r="A619" s="58"/>
      <c r="I619" s="5" t="s">
        <v>70</v>
      </c>
      <c r="J619" s="5">
        <f>SUM(B614:AW614)</f>
        <v>108.29</v>
      </c>
      <c r="K619" s="1">
        <v>2.4670000000000001</v>
      </c>
      <c r="L619" s="1">
        <f>J619*K619</f>
        <v>267.15143</v>
      </c>
      <c r="M619" s="1"/>
      <c r="BQ619" s="42"/>
    </row>
    <row r="620" spans="1:73" s="1" customFormat="1" ht="12.75">
      <c r="I620" s="5" t="s">
        <v>71</v>
      </c>
      <c r="J620" s="5">
        <f>SUM(B615:AW615)</f>
        <v>653.25</v>
      </c>
      <c r="K620" s="59">
        <v>1.579</v>
      </c>
      <c r="L620" s="1">
        <f>J620*K620</f>
        <v>1031.4817499999999</v>
      </c>
    </row>
    <row r="621" spans="1:73" s="1" customFormat="1" ht="12.75">
      <c r="I621" s="5" t="s">
        <v>68</v>
      </c>
      <c r="J621" s="5">
        <f>SUM(B616:AW616)</f>
        <v>0</v>
      </c>
      <c r="K621" s="1">
        <v>0.88800000000000001</v>
      </c>
      <c r="L621" s="1">
        <f>J621*K621</f>
        <v>0</v>
      </c>
      <c r="BQ621" s="52"/>
    </row>
    <row r="622" spans="1:73" s="1" customFormat="1" ht="12.75">
      <c r="I622" s="5"/>
      <c r="J622" s="5"/>
    </row>
    <row r="623" spans="1:73" s="1" customFormat="1" ht="15.75" thickBot="1">
      <c r="C623" s="204" t="s">
        <v>107</v>
      </c>
      <c r="D623" s="204"/>
      <c r="E623" s="204"/>
      <c r="F623" s="204"/>
      <c r="G623" s="204"/>
      <c r="H623" s="204"/>
      <c r="I623" s="5"/>
      <c r="J623" s="5"/>
    </row>
    <row r="624" spans="1:73" s="42" customFormat="1" ht="15.75" thickBot="1">
      <c r="A624" s="57"/>
      <c r="B624" s="42" t="str">
        <f>B612</f>
        <v>BM 1</v>
      </c>
      <c r="C624" s="42" t="str">
        <f t="shared" ref="C624:BA624" si="217">C612</f>
        <v>BM 2</v>
      </c>
      <c r="D624" s="42" t="str">
        <f t="shared" si="217"/>
        <v>BM 3</v>
      </c>
      <c r="E624" s="42" t="str">
        <f t="shared" si="217"/>
        <v>BM 4</v>
      </c>
      <c r="F624" s="42" t="str">
        <f t="shared" si="217"/>
        <v>BM 5</v>
      </c>
      <c r="G624" s="42" t="str">
        <f t="shared" si="217"/>
        <v>BM 6</v>
      </c>
      <c r="H624" s="42" t="str">
        <f t="shared" si="217"/>
        <v>BM 7</v>
      </c>
      <c r="I624" s="42" t="str">
        <f t="shared" si="217"/>
        <v>BM 8</v>
      </c>
      <c r="J624" s="42" t="str">
        <f t="shared" si="217"/>
        <v>BM 9</v>
      </c>
      <c r="K624" s="42" t="str">
        <f t="shared" si="217"/>
        <v>BM 10</v>
      </c>
      <c r="L624" s="42" t="str">
        <f t="shared" si="217"/>
        <v>BM 11</v>
      </c>
      <c r="M624" s="42" t="str">
        <f t="shared" si="217"/>
        <v>BM 12</v>
      </c>
      <c r="N624" s="42" t="str">
        <f t="shared" si="217"/>
        <v>BM 13</v>
      </c>
      <c r="O624" s="42" t="str">
        <f t="shared" si="217"/>
        <v>BM 14</v>
      </c>
      <c r="P624" s="42" t="str">
        <f t="shared" si="217"/>
        <v>BM 15</v>
      </c>
      <c r="Q624" s="42" t="str">
        <f t="shared" si="217"/>
        <v>BM 16</v>
      </c>
      <c r="R624" s="42">
        <f t="shared" si="217"/>
        <v>0</v>
      </c>
      <c r="S624" s="42" t="str">
        <f t="shared" si="217"/>
        <v>BM 17</v>
      </c>
      <c r="T624" s="42" t="str">
        <f t="shared" si="217"/>
        <v>BM 18</v>
      </c>
      <c r="U624" s="42" t="str">
        <f t="shared" si="217"/>
        <v>BM 19</v>
      </c>
      <c r="V624" s="42" t="str">
        <f t="shared" si="217"/>
        <v>BM 20</v>
      </c>
      <c r="W624" s="42" t="str">
        <f t="shared" si="217"/>
        <v>BM 21</v>
      </c>
      <c r="X624" s="42" t="str">
        <f t="shared" si="217"/>
        <v>BM 22</v>
      </c>
      <c r="Y624" s="42" t="str">
        <f t="shared" si="217"/>
        <v>BM 23</v>
      </c>
      <c r="Z624" s="42" t="str">
        <f t="shared" si="217"/>
        <v>BM 24</v>
      </c>
      <c r="AA624" s="42" t="str">
        <f t="shared" si="217"/>
        <v>BM 25</v>
      </c>
      <c r="AB624" s="42" t="str">
        <f t="shared" si="217"/>
        <v>BM 26</v>
      </c>
      <c r="AC624" s="42" t="str">
        <f t="shared" si="217"/>
        <v>BM 27</v>
      </c>
      <c r="AD624" s="42" t="str">
        <f t="shared" si="217"/>
        <v>BM 28</v>
      </c>
      <c r="AE624" s="42" t="str">
        <f t="shared" si="217"/>
        <v>BM 29</v>
      </c>
      <c r="AF624" s="42" t="str">
        <f t="shared" si="217"/>
        <v>BM 30</v>
      </c>
      <c r="AG624" s="42" t="str">
        <f t="shared" si="217"/>
        <v>BM 31</v>
      </c>
      <c r="AH624" s="42" t="str">
        <f t="shared" si="217"/>
        <v>BM 32</v>
      </c>
      <c r="AI624" s="42" t="str">
        <f t="shared" si="217"/>
        <v>BM 33</v>
      </c>
      <c r="AJ624" s="42" t="str">
        <f t="shared" si="217"/>
        <v>BM 34</v>
      </c>
      <c r="AK624" s="42" t="str">
        <f t="shared" si="217"/>
        <v>BM 35</v>
      </c>
      <c r="AL624" s="42" t="str">
        <f t="shared" si="217"/>
        <v>BM 36</v>
      </c>
      <c r="AM624" s="42" t="str">
        <f t="shared" si="217"/>
        <v>BM 37</v>
      </c>
      <c r="AN624" s="42">
        <f t="shared" si="217"/>
        <v>0</v>
      </c>
      <c r="AO624" s="42" t="str">
        <f t="shared" si="217"/>
        <v>IN BEAM</v>
      </c>
      <c r="AP624" s="42" t="str">
        <f t="shared" si="217"/>
        <v>IN BEAM</v>
      </c>
      <c r="AQ624" s="42" t="str">
        <f t="shared" si="217"/>
        <v>IN BEAM</v>
      </c>
      <c r="AR624" s="42" t="str">
        <f t="shared" si="217"/>
        <v>IN BEAM</v>
      </c>
      <c r="AS624" s="42">
        <f t="shared" si="217"/>
        <v>0</v>
      </c>
      <c r="AT624" s="42" t="str">
        <f t="shared" si="217"/>
        <v>IN BEAM</v>
      </c>
      <c r="AU624" s="42" t="str">
        <f t="shared" si="217"/>
        <v>IN BEAM</v>
      </c>
      <c r="AV624" s="42" t="str">
        <f t="shared" si="217"/>
        <v>IN BEAM</v>
      </c>
      <c r="AW624" s="42" t="str">
        <f t="shared" si="217"/>
        <v>IN BEAM</v>
      </c>
      <c r="AX624" s="42">
        <f t="shared" si="217"/>
        <v>0</v>
      </c>
      <c r="AY624" s="42">
        <f t="shared" si="217"/>
        <v>0</v>
      </c>
      <c r="AZ624" s="42">
        <f t="shared" si="217"/>
        <v>0</v>
      </c>
      <c r="BA624" s="42">
        <f t="shared" si="217"/>
        <v>0</v>
      </c>
      <c r="BQ624"/>
    </row>
    <row r="625" spans="1:73" s="1" customFormat="1">
      <c r="A625" s="1" t="s">
        <v>49</v>
      </c>
      <c r="B625" s="5">
        <v>1.38</v>
      </c>
      <c r="C625" s="5">
        <v>1.38</v>
      </c>
      <c r="D625" s="5">
        <v>1.38</v>
      </c>
      <c r="E625" s="5">
        <v>1.38</v>
      </c>
      <c r="F625" s="5">
        <v>1.38</v>
      </c>
      <c r="G625" s="5">
        <v>1.38</v>
      </c>
      <c r="H625" s="5">
        <v>1.38</v>
      </c>
      <c r="I625" s="5">
        <v>1.38</v>
      </c>
      <c r="J625" s="5">
        <v>1.38</v>
      </c>
      <c r="K625" s="5">
        <v>1.38</v>
      </c>
      <c r="L625" s="5">
        <v>1.38</v>
      </c>
      <c r="M625" s="5">
        <v>1.38</v>
      </c>
      <c r="N625" s="5">
        <v>1.38</v>
      </c>
      <c r="O625" s="5">
        <v>1.38</v>
      </c>
      <c r="P625" s="5">
        <v>1.38</v>
      </c>
      <c r="Q625" s="5">
        <v>1.38</v>
      </c>
      <c r="R625" s="5">
        <v>1.38</v>
      </c>
      <c r="S625" s="5">
        <v>1.38</v>
      </c>
      <c r="T625" s="5">
        <v>1.38</v>
      </c>
      <c r="U625" s="5">
        <v>1.38</v>
      </c>
      <c r="V625" s="5">
        <v>1.38</v>
      </c>
      <c r="W625" s="5">
        <v>1.38</v>
      </c>
      <c r="X625" s="5">
        <v>1.38</v>
      </c>
      <c r="Y625" s="5">
        <v>1.38</v>
      </c>
      <c r="Z625" s="5">
        <v>1.38</v>
      </c>
      <c r="AA625" s="5">
        <v>1.38</v>
      </c>
      <c r="AB625" s="5">
        <v>1.38</v>
      </c>
      <c r="AC625" s="5">
        <v>1.38</v>
      </c>
      <c r="AD625" s="5">
        <v>1.38</v>
      </c>
      <c r="AE625" s="5">
        <v>1.38</v>
      </c>
      <c r="AF625" s="5">
        <v>1.38</v>
      </c>
      <c r="AG625" s="5">
        <v>1.38</v>
      </c>
      <c r="AH625" s="5">
        <v>1.38</v>
      </c>
      <c r="AI625" s="5">
        <v>1.38</v>
      </c>
      <c r="AJ625" s="5">
        <v>1.38</v>
      </c>
      <c r="AK625" s="5">
        <v>1.38</v>
      </c>
      <c r="AL625" s="5">
        <v>1.38</v>
      </c>
      <c r="AM625" s="5">
        <v>1.38</v>
      </c>
      <c r="AN625" s="5"/>
      <c r="AO625" s="5">
        <v>1.23</v>
      </c>
      <c r="AP625" s="5">
        <v>1.23</v>
      </c>
      <c r="AQ625" s="5">
        <v>1.23</v>
      </c>
      <c r="AR625" s="5">
        <v>1.23</v>
      </c>
      <c r="AS625" s="5"/>
      <c r="AT625" s="5">
        <v>1.23</v>
      </c>
      <c r="AU625" s="5">
        <v>1.23</v>
      </c>
      <c r="AV625" s="5">
        <v>1.23</v>
      </c>
      <c r="AW625" s="5">
        <v>1.23</v>
      </c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Q625"/>
    </row>
    <row r="626" spans="1:73" s="44" customFormat="1">
      <c r="A626" s="44" t="s">
        <v>170</v>
      </c>
      <c r="B626" s="52">
        <v>40</v>
      </c>
      <c r="C626" s="52">
        <f>17+24</f>
        <v>41</v>
      </c>
      <c r="D626" s="52">
        <v>40</v>
      </c>
      <c r="E626" s="52">
        <v>49</v>
      </c>
      <c r="F626" s="52">
        <v>26</v>
      </c>
      <c r="G626" s="52">
        <v>20</v>
      </c>
      <c r="H626" s="52">
        <v>33</v>
      </c>
      <c r="I626" s="52">
        <v>29</v>
      </c>
      <c r="J626" s="52">
        <v>66</v>
      </c>
      <c r="K626" s="52">
        <v>25</v>
      </c>
      <c r="L626" s="52">
        <v>21</v>
      </c>
      <c r="M626" s="52">
        <v>41</v>
      </c>
      <c r="N626" s="52">
        <v>75</v>
      </c>
      <c r="O626" s="52">
        <f t="shared" ref="O626:AM626" si="218">O592/0.2</f>
        <v>0</v>
      </c>
      <c r="P626" s="52">
        <f t="shared" si="218"/>
        <v>0</v>
      </c>
      <c r="Q626" s="52">
        <f t="shared" si="218"/>
        <v>0</v>
      </c>
      <c r="R626" s="52">
        <f t="shared" si="218"/>
        <v>0</v>
      </c>
      <c r="S626" s="52">
        <f t="shared" si="218"/>
        <v>0</v>
      </c>
      <c r="T626" s="52">
        <f t="shared" si="218"/>
        <v>0</v>
      </c>
      <c r="U626" s="52">
        <f t="shared" si="218"/>
        <v>0</v>
      </c>
      <c r="V626" s="52">
        <f t="shared" si="218"/>
        <v>0</v>
      </c>
      <c r="W626" s="52">
        <f t="shared" si="218"/>
        <v>0</v>
      </c>
      <c r="X626" s="52">
        <f t="shared" si="218"/>
        <v>0</v>
      </c>
      <c r="Y626" s="52">
        <f t="shared" si="218"/>
        <v>0</v>
      </c>
      <c r="Z626" s="52">
        <f t="shared" si="218"/>
        <v>0</v>
      </c>
      <c r="AA626" s="52">
        <f t="shared" si="218"/>
        <v>0</v>
      </c>
      <c r="AB626" s="52">
        <f t="shared" si="218"/>
        <v>0</v>
      </c>
      <c r="AC626" s="52">
        <f t="shared" si="218"/>
        <v>0</v>
      </c>
      <c r="AD626" s="52">
        <f t="shared" si="218"/>
        <v>0</v>
      </c>
      <c r="AE626" s="52">
        <f t="shared" si="218"/>
        <v>0</v>
      </c>
      <c r="AF626" s="52">
        <f t="shared" si="218"/>
        <v>0</v>
      </c>
      <c r="AG626" s="52">
        <f t="shared" si="218"/>
        <v>0</v>
      </c>
      <c r="AH626" s="52">
        <f t="shared" si="218"/>
        <v>0</v>
      </c>
      <c r="AI626" s="52">
        <f t="shared" si="218"/>
        <v>0</v>
      </c>
      <c r="AJ626" s="52">
        <f t="shared" si="218"/>
        <v>0</v>
      </c>
      <c r="AK626" s="52">
        <f t="shared" si="218"/>
        <v>0</v>
      </c>
      <c r="AL626" s="60">
        <f t="shared" si="218"/>
        <v>0</v>
      </c>
      <c r="AM626" s="52">
        <f t="shared" si="218"/>
        <v>0</v>
      </c>
      <c r="AN626" s="52"/>
      <c r="AO626" s="52">
        <f>AO592/0.2</f>
        <v>0</v>
      </c>
      <c r="AP626" s="52">
        <f>AP592/0.2</f>
        <v>0</v>
      </c>
      <c r="AQ626" s="52">
        <f>AQ592/0.2</f>
        <v>0</v>
      </c>
      <c r="AR626" s="52">
        <f>AR592/0.2</f>
        <v>0</v>
      </c>
      <c r="AS626" s="52"/>
      <c r="AT626" s="52">
        <f>AT592/0.2</f>
        <v>0</v>
      </c>
      <c r="AU626" s="52">
        <f>AU592/0.2</f>
        <v>0</v>
      </c>
      <c r="AV626" s="52">
        <f>AV592/0.2</f>
        <v>0</v>
      </c>
      <c r="AW626" s="52">
        <f>AW592/0.2</f>
        <v>0</v>
      </c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/>
      <c r="BR626" s="52"/>
      <c r="BS626" s="52"/>
      <c r="BT626" s="52"/>
      <c r="BU626" s="52"/>
    </row>
    <row r="627" spans="1:73" s="1" customFormat="1">
      <c r="A627" s="1" t="s">
        <v>108</v>
      </c>
      <c r="B627" s="1">
        <f>B625*B626</f>
        <v>55.199999999999996</v>
      </c>
      <c r="C627" s="1">
        <f t="shared" ref="C627:AW627" si="219">C625*C626</f>
        <v>56.58</v>
      </c>
      <c r="D627" s="1">
        <f t="shared" si="219"/>
        <v>55.199999999999996</v>
      </c>
      <c r="E627" s="1">
        <f t="shared" si="219"/>
        <v>67.61999999999999</v>
      </c>
      <c r="F627" s="1">
        <f t="shared" si="219"/>
        <v>35.879999999999995</v>
      </c>
      <c r="G627" s="1">
        <f t="shared" si="219"/>
        <v>27.599999999999998</v>
      </c>
      <c r="H627" s="1">
        <f t="shared" si="219"/>
        <v>45.54</v>
      </c>
      <c r="I627" s="1">
        <f t="shared" si="219"/>
        <v>40.019999999999996</v>
      </c>
      <c r="J627" s="1">
        <f t="shared" si="219"/>
        <v>91.08</v>
      </c>
      <c r="K627" s="1">
        <f t="shared" si="219"/>
        <v>34.5</v>
      </c>
      <c r="L627" s="1">
        <f t="shared" si="219"/>
        <v>28.979999999999997</v>
      </c>
      <c r="M627" s="1">
        <f t="shared" si="219"/>
        <v>56.58</v>
      </c>
      <c r="N627" s="1">
        <f t="shared" si="219"/>
        <v>103.49999999999999</v>
      </c>
      <c r="O627" s="1">
        <f t="shared" si="219"/>
        <v>0</v>
      </c>
      <c r="P627" s="1">
        <f t="shared" si="219"/>
        <v>0</v>
      </c>
      <c r="Q627" s="1">
        <f t="shared" si="219"/>
        <v>0</v>
      </c>
      <c r="R627" s="1">
        <f t="shared" si="219"/>
        <v>0</v>
      </c>
      <c r="S627" s="1">
        <f t="shared" si="219"/>
        <v>0</v>
      </c>
      <c r="T627" s="1">
        <f t="shared" si="219"/>
        <v>0</v>
      </c>
      <c r="U627" s="1">
        <f t="shared" si="219"/>
        <v>0</v>
      </c>
      <c r="V627" s="1">
        <f t="shared" si="219"/>
        <v>0</v>
      </c>
      <c r="W627" s="1">
        <f t="shared" si="219"/>
        <v>0</v>
      </c>
      <c r="X627" s="1">
        <f t="shared" si="219"/>
        <v>0</v>
      </c>
      <c r="Y627" s="1">
        <f t="shared" si="219"/>
        <v>0</v>
      </c>
      <c r="Z627" s="1">
        <f t="shared" si="219"/>
        <v>0</v>
      </c>
      <c r="AA627" s="1">
        <f t="shared" si="219"/>
        <v>0</v>
      </c>
      <c r="AB627" s="1">
        <f t="shared" si="219"/>
        <v>0</v>
      </c>
      <c r="AC627" s="1">
        <f t="shared" si="219"/>
        <v>0</v>
      </c>
      <c r="AD627" s="1">
        <f t="shared" si="219"/>
        <v>0</v>
      </c>
      <c r="AE627" s="1">
        <f t="shared" si="219"/>
        <v>0</v>
      </c>
      <c r="AF627" s="1">
        <f t="shared" si="219"/>
        <v>0</v>
      </c>
      <c r="AG627" s="1">
        <f t="shared" si="219"/>
        <v>0</v>
      </c>
      <c r="AH627" s="1">
        <f t="shared" si="219"/>
        <v>0</v>
      </c>
      <c r="AI627" s="1">
        <f t="shared" si="219"/>
        <v>0</v>
      </c>
      <c r="AJ627" s="1">
        <f t="shared" si="219"/>
        <v>0</v>
      </c>
      <c r="AK627" s="1">
        <f t="shared" si="219"/>
        <v>0</v>
      </c>
      <c r="AL627" s="1">
        <f t="shared" si="219"/>
        <v>0</v>
      </c>
      <c r="AM627" s="1">
        <f t="shared" si="219"/>
        <v>0</v>
      </c>
      <c r="AO627" s="1">
        <f t="shared" si="219"/>
        <v>0</v>
      </c>
      <c r="AP627" s="1">
        <f t="shared" si="219"/>
        <v>0</v>
      </c>
      <c r="AQ627" s="1">
        <f t="shared" si="219"/>
        <v>0</v>
      </c>
      <c r="AR627" s="1">
        <f t="shared" si="219"/>
        <v>0</v>
      </c>
      <c r="AT627" s="1">
        <f t="shared" si="219"/>
        <v>0</v>
      </c>
      <c r="AU627" s="1">
        <f t="shared" si="219"/>
        <v>0</v>
      </c>
      <c r="AV627" s="1">
        <f t="shared" si="219"/>
        <v>0</v>
      </c>
      <c r="AW627" s="1">
        <f t="shared" si="219"/>
        <v>0</v>
      </c>
      <c r="BQ627"/>
    </row>
    <row r="628" spans="1:73" s="1" customFormat="1">
      <c r="A628" s="1" t="s">
        <v>123</v>
      </c>
      <c r="BQ628"/>
    </row>
    <row r="630" spans="1:73" s="1" customFormat="1">
      <c r="A630" s="4"/>
      <c r="B630" s="4"/>
      <c r="C630" s="4"/>
      <c r="D630" s="4"/>
      <c r="E630" s="4"/>
      <c r="F630" s="4"/>
      <c r="G630" s="4"/>
      <c r="H630" s="4"/>
      <c r="I630" s="5" t="s">
        <v>171</v>
      </c>
      <c r="J630" s="5">
        <f>SUM(B627:AW627)</f>
        <v>698.28</v>
      </c>
      <c r="K630" s="59">
        <v>0.61699999999999999</v>
      </c>
      <c r="L630" s="1">
        <f>J630*K630</f>
        <v>430.83875999999998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/>
      <c r="BP630"/>
      <c r="BQ630"/>
      <c r="BR630"/>
      <c r="BS630"/>
      <c r="BT630"/>
      <c r="BU630"/>
    </row>
    <row r="631" spans="1:73" s="1" customFormat="1">
      <c r="H631" s="5"/>
      <c r="I631" s="5" t="s">
        <v>172</v>
      </c>
      <c r="J631" s="5">
        <f>SUM(B628:AW628)</f>
        <v>0</v>
      </c>
      <c r="K631" s="1">
        <v>0.39500000000000002</v>
      </c>
      <c r="L631" s="1">
        <f>J631*K631</f>
        <v>0</v>
      </c>
      <c r="BO631"/>
      <c r="BP631"/>
      <c r="BQ631"/>
      <c r="BR631"/>
      <c r="BS631"/>
      <c r="BT631"/>
      <c r="BU631"/>
    </row>
    <row r="632" spans="1:73" s="1" customFormat="1" ht="26.25" thickBot="1">
      <c r="C632" s="205" t="s">
        <v>173</v>
      </c>
      <c r="D632" s="205"/>
      <c r="E632" s="205"/>
      <c r="F632" s="205"/>
      <c r="G632" s="205"/>
      <c r="H632" s="205"/>
      <c r="BO632"/>
      <c r="BP632"/>
      <c r="BQ632"/>
      <c r="BR632"/>
      <c r="BS632"/>
      <c r="BT632"/>
      <c r="BU632"/>
    </row>
    <row r="633" spans="1:73" s="1" customFormat="1" ht="21.75" thickBot="1">
      <c r="B633" s="203" t="s">
        <v>174</v>
      </c>
      <c r="C633" s="203"/>
      <c r="D633" s="203"/>
      <c r="E633" s="206"/>
      <c r="F633" s="61">
        <f>ROUNDUP(F637+L637,0)</f>
        <v>30</v>
      </c>
      <c r="G633" s="62"/>
      <c r="H633" s="62"/>
      <c r="BO633"/>
      <c r="BP633"/>
      <c r="BQ633"/>
      <c r="BR633"/>
      <c r="BS633"/>
      <c r="BT633"/>
      <c r="BU633"/>
    </row>
    <row r="634" spans="1:73" s="1" customFormat="1" ht="21">
      <c r="A634" s="14"/>
      <c r="C634" s="62"/>
      <c r="D634" s="62"/>
      <c r="E634" s="62"/>
      <c r="F634" s="62"/>
      <c r="G634" s="62"/>
      <c r="H634" s="62"/>
      <c r="BO634"/>
      <c r="BP634"/>
      <c r="BQ634"/>
      <c r="BR634"/>
      <c r="BS634"/>
      <c r="BT634"/>
      <c r="BU634"/>
    </row>
    <row r="635" spans="1:73" s="1" customFormat="1" ht="21">
      <c r="B635" s="14" t="s">
        <v>175</v>
      </c>
      <c r="I635" s="62"/>
      <c r="J635" s="62" t="s">
        <v>176</v>
      </c>
      <c r="BO635"/>
      <c r="BP635"/>
      <c r="BQ635"/>
      <c r="BR635"/>
      <c r="BS635"/>
      <c r="BT635"/>
      <c r="BU635"/>
    </row>
    <row r="636" spans="1:73" s="1" customFormat="1" ht="21">
      <c r="C636" s="1" t="s">
        <v>177</v>
      </c>
      <c r="D636" s="63">
        <v>195.66</v>
      </c>
      <c r="E636" s="62"/>
      <c r="F636" s="62"/>
      <c r="I636" s="1" t="s">
        <v>177</v>
      </c>
      <c r="J636" s="63">
        <v>0</v>
      </c>
      <c r="BO636"/>
      <c r="BP636"/>
      <c r="BQ636"/>
      <c r="BR636"/>
      <c r="BS636"/>
      <c r="BT636"/>
      <c r="BU636"/>
    </row>
    <row r="637" spans="1:73" s="1" customFormat="1" ht="15.75">
      <c r="C637" s="1" t="s">
        <v>51</v>
      </c>
      <c r="D637" s="63">
        <v>0.15</v>
      </c>
      <c r="E637" s="64" t="s">
        <v>120</v>
      </c>
      <c r="F637" s="64">
        <f>D636*D637</f>
        <v>29.348999999999997</v>
      </c>
      <c r="I637" s="1" t="s">
        <v>51</v>
      </c>
      <c r="J637" s="63">
        <v>0.15</v>
      </c>
      <c r="K637" s="64" t="s">
        <v>120</v>
      </c>
      <c r="L637" s="64">
        <f>J636*J637</f>
        <v>0</v>
      </c>
      <c r="BO637"/>
      <c r="BP637"/>
      <c r="BQ637" s="5"/>
      <c r="BR637"/>
      <c r="BS637"/>
      <c r="BT637"/>
      <c r="BU637"/>
    </row>
    <row r="638" spans="1:73" s="1" customFormat="1" ht="21">
      <c r="C638" s="1" t="s">
        <v>54</v>
      </c>
      <c r="D638" s="63">
        <v>67.53</v>
      </c>
      <c r="E638" s="62"/>
      <c r="F638" s="62"/>
      <c r="I638" s="1" t="s">
        <v>54</v>
      </c>
      <c r="J638" s="63">
        <v>13.58</v>
      </c>
      <c r="BO638"/>
      <c r="BP638"/>
      <c r="BQ638"/>
      <c r="BR638"/>
      <c r="BS638"/>
      <c r="BT638"/>
      <c r="BU638"/>
    </row>
    <row r="639" spans="1:73" s="1" customFormat="1" ht="21.75" thickBot="1">
      <c r="D639" s="63"/>
      <c r="E639" s="62"/>
      <c r="F639" s="62"/>
      <c r="G639" s="62"/>
      <c r="H639" s="62"/>
      <c r="I639" s="62"/>
      <c r="BO639"/>
      <c r="BP639"/>
      <c r="BQ639"/>
      <c r="BR639"/>
      <c r="BS639"/>
      <c r="BT639"/>
      <c r="BU639"/>
    </row>
    <row r="640" spans="1:73" s="1" customFormat="1" ht="21.75" thickBot="1">
      <c r="B640" s="203" t="s">
        <v>178</v>
      </c>
      <c r="C640" s="203"/>
      <c r="D640" s="203"/>
      <c r="E640" s="65" t="s">
        <v>179</v>
      </c>
      <c r="F640" s="61">
        <f>ROUNDUP(D636+J636,0)</f>
        <v>196</v>
      </c>
      <c r="G640" s="62"/>
      <c r="H640" s="62"/>
      <c r="I640" s="62"/>
      <c r="BO640"/>
      <c r="BP640"/>
      <c r="BQ640"/>
      <c r="BR640"/>
      <c r="BS640"/>
      <c r="BT640"/>
      <c r="BU640"/>
    </row>
    <row r="641" spans="1:73" s="1" customFormat="1" ht="21.75" thickBot="1">
      <c r="B641" s="55"/>
      <c r="C641" s="55"/>
      <c r="E641" s="65" t="s">
        <v>180</v>
      </c>
      <c r="F641" s="66">
        <f>ROUNDUP(D638+J638,0)</f>
        <v>82</v>
      </c>
      <c r="G641" s="62"/>
      <c r="H641" s="62"/>
      <c r="I641" s="62"/>
      <c r="BO641"/>
      <c r="BP641"/>
      <c r="BQ641"/>
      <c r="BR641"/>
      <c r="BS641"/>
      <c r="BT641"/>
      <c r="BU641"/>
    </row>
    <row r="642" spans="1:73" s="5" customFormat="1" ht="21.75" thickBot="1">
      <c r="E642" s="62"/>
      <c r="F642" s="62"/>
      <c r="G642" s="62"/>
      <c r="H642" s="62"/>
      <c r="I642" s="62"/>
      <c r="BQ642"/>
    </row>
    <row r="643" spans="1:73" s="1" customFormat="1" ht="21.75" thickBot="1">
      <c r="B643" s="203" t="s">
        <v>181</v>
      </c>
      <c r="C643" s="203"/>
      <c r="D643" s="203"/>
      <c r="E643" s="65" t="s">
        <v>68</v>
      </c>
      <c r="F643" s="67">
        <f>ROUNDUP(F680+M680,0)</f>
        <v>3012</v>
      </c>
      <c r="G643" s="68"/>
      <c r="H643" s="68"/>
      <c r="I643" s="68"/>
      <c r="BO643"/>
      <c r="BP643"/>
      <c r="BQ643"/>
      <c r="BR643"/>
      <c r="BS643"/>
      <c r="BT643"/>
      <c r="BU643"/>
    </row>
    <row r="644" spans="1:73" s="1" customFormat="1" ht="21.75" thickBot="1">
      <c r="B644" s="2"/>
      <c r="C644" s="55"/>
      <c r="E644" s="65" t="s">
        <v>108</v>
      </c>
      <c r="F644" s="67">
        <f>ROUNDUP(G680+N680,0)</f>
        <v>162</v>
      </c>
      <c r="G644" s="68"/>
      <c r="H644" s="68"/>
      <c r="I644" s="68"/>
      <c r="BO644"/>
      <c r="BP644"/>
      <c r="BQ644"/>
      <c r="BR644"/>
      <c r="BS644"/>
      <c r="BT644"/>
      <c r="BU644"/>
    </row>
    <row r="645" spans="1:73" s="1" customFormat="1" ht="21">
      <c r="B645" s="69" t="s">
        <v>182</v>
      </c>
      <c r="C645" s="1" t="s">
        <v>170</v>
      </c>
      <c r="D645" s="1" t="s">
        <v>49</v>
      </c>
      <c r="E645" s="1" t="s">
        <v>183</v>
      </c>
      <c r="F645" s="1" t="s">
        <v>68</v>
      </c>
      <c r="G645" s="20" t="s">
        <v>108</v>
      </c>
      <c r="H645" s="68"/>
      <c r="I645" s="14" t="s">
        <v>182</v>
      </c>
      <c r="J645" s="1" t="s">
        <v>170</v>
      </c>
      <c r="K645" s="1" t="s">
        <v>49</v>
      </c>
      <c r="L645" s="1" t="s">
        <v>183</v>
      </c>
      <c r="M645" s="1" t="s">
        <v>68</v>
      </c>
      <c r="N645" s="20" t="s">
        <v>108</v>
      </c>
      <c r="BO645"/>
      <c r="BP645"/>
      <c r="BQ645"/>
      <c r="BR645"/>
      <c r="BS645"/>
      <c r="BT645"/>
      <c r="BU645"/>
    </row>
    <row r="646" spans="1:73" s="1" customFormat="1" ht="21">
      <c r="A646"/>
      <c r="B646" s="69">
        <v>2</v>
      </c>
      <c r="C646" s="20">
        <v>12</v>
      </c>
      <c r="D646" s="1">
        <v>1.62</v>
      </c>
      <c r="E646" s="1">
        <v>2</v>
      </c>
      <c r="G646" s="1">
        <f>C646*D646*E646</f>
        <v>38.880000000000003</v>
      </c>
      <c r="H646" s="68"/>
      <c r="I646" s="70">
        <v>2</v>
      </c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</row>
    <row r="647" spans="1:73" s="1" customFormat="1" ht="21">
      <c r="A647"/>
      <c r="B647" s="69">
        <v>3</v>
      </c>
      <c r="C647" s="20">
        <v>10</v>
      </c>
      <c r="D647" s="1">
        <v>1.6</v>
      </c>
      <c r="E647" s="1">
        <v>1</v>
      </c>
      <c r="G647" s="1">
        <f>C647*D647*E647</f>
        <v>16</v>
      </c>
      <c r="H647" s="68"/>
      <c r="I647" s="69">
        <v>3</v>
      </c>
      <c r="J647" s="20"/>
      <c r="K647" s="1">
        <v>9.5</v>
      </c>
      <c r="L647" s="1">
        <v>2</v>
      </c>
      <c r="M647" s="1">
        <f t="shared" ref="M647:M678" si="220">J647*K647*L647</f>
        <v>0</v>
      </c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</row>
    <row r="648" spans="1:73" s="1" customFormat="1" ht="21">
      <c r="A648"/>
      <c r="B648" s="69">
        <v>4</v>
      </c>
      <c r="C648" s="20">
        <v>28</v>
      </c>
      <c r="D648" s="1">
        <v>9.1300000000000008</v>
      </c>
      <c r="E648" s="1">
        <v>1</v>
      </c>
      <c r="F648" s="1">
        <f t="shared" ref="F648:F675" si="221">C648*D648*E648</f>
        <v>255.64000000000001</v>
      </c>
      <c r="G648" s="68"/>
      <c r="H648" s="68"/>
      <c r="I648" s="69">
        <v>4</v>
      </c>
      <c r="J648" s="20"/>
      <c r="L648" s="1">
        <v>2</v>
      </c>
      <c r="M648" s="1">
        <f t="shared" si="220"/>
        <v>0</v>
      </c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</row>
    <row r="649" spans="1:73" s="1" customFormat="1" ht="21">
      <c r="A649"/>
      <c r="B649" s="69">
        <v>5</v>
      </c>
      <c r="C649" s="20">
        <v>17</v>
      </c>
      <c r="D649" s="1">
        <v>9.67</v>
      </c>
      <c r="E649" s="1">
        <v>1</v>
      </c>
      <c r="F649" s="1">
        <f t="shared" si="221"/>
        <v>164.39</v>
      </c>
      <c r="G649" s="68"/>
      <c r="H649" s="68"/>
      <c r="I649" s="69">
        <v>5</v>
      </c>
      <c r="J649" s="20"/>
      <c r="K649" s="1">
        <v>8.86</v>
      </c>
      <c r="L649" s="1">
        <v>2</v>
      </c>
      <c r="M649" s="1">
        <f t="shared" si="220"/>
        <v>0</v>
      </c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</row>
    <row r="650" spans="1:73" s="1" customFormat="1" ht="21">
      <c r="A650"/>
      <c r="B650" s="69">
        <v>6</v>
      </c>
      <c r="C650" s="20">
        <v>9</v>
      </c>
      <c r="D650" s="1">
        <v>1.3</v>
      </c>
      <c r="E650" s="1">
        <v>1</v>
      </c>
      <c r="G650" s="1">
        <f>C650*D650*E650</f>
        <v>11.700000000000001</v>
      </c>
      <c r="H650" s="68"/>
      <c r="I650" s="69">
        <v>6</v>
      </c>
      <c r="J650" s="20"/>
      <c r="K650" s="1">
        <v>8.1300000000000008</v>
      </c>
      <c r="L650" s="1">
        <v>2</v>
      </c>
      <c r="M650" s="1">
        <f t="shared" si="220"/>
        <v>0</v>
      </c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</row>
    <row r="651" spans="1:73" s="1" customFormat="1" ht="21">
      <c r="A651"/>
      <c r="B651" s="69">
        <v>7</v>
      </c>
      <c r="C651" s="20">
        <v>26</v>
      </c>
      <c r="D651" s="1">
        <v>12.94</v>
      </c>
      <c r="E651" s="1">
        <v>1</v>
      </c>
      <c r="F651" s="1">
        <f t="shared" si="221"/>
        <v>336.44</v>
      </c>
      <c r="G651" s="68"/>
      <c r="H651" s="68"/>
      <c r="I651" s="69">
        <v>7</v>
      </c>
      <c r="J651" s="20"/>
      <c r="K651" s="1">
        <v>7.65</v>
      </c>
      <c r="L651" s="1">
        <v>2</v>
      </c>
      <c r="M651" s="1">
        <f t="shared" si="220"/>
        <v>0</v>
      </c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</row>
    <row r="652" spans="1:73" s="1" customFormat="1" ht="21">
      <c r="A652"/>
      <c r="B652" s="69">
        <v>8</v>
      </c>
      <c r="C652" s="20">
        <v>14</v>
      </c>
      <c r="D652" s="1">
        <v>1.4</v>
      </c>
      <c r="E652" s="1">
        <v>1</v>
      </c>
      <c r="F652" s="1">
        <f t="shared" si="221"/>
        <v>19.599999999999998</v>
      </c>
      <c r="G652" s="68"/>
      <c r="H652" s="68"/>
      <c r="I652" s="69">
        <v>8</v>
      </c>
      <c r="J652" s="20"/>
      <c r="K652" s="1">
        <v>6.68</v>
      </c>
      <c r="L652" s="1">
        <v>2</v>
      </c>
      <c r="M652" s="1">
        <f t="shared" si="220"/>
        <v>0</v>
      </c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</row>
    <row r="653" spans="1:73" s="1" customFormat="1" ht="21">
      <c r="A653"/>
      <c r="B653" s="69">
        <v>9</v>
      </c>
      <c r="C653" s="20">
        <v>26</v>
      </c>
      <c r="D653" s="1">
        <v>3.01</v>
      </c>
      <c r="E653" s="1">
        <v>1</v>
      </c>
      <c r="F653" s="1">
        <f t="shared" si="221"/>
        <v>78.259999999999991</v>
      </c>
      <c r="G653" s="68"/>
      <c r="H653" s="68"/>
      <c r="I653" s="69">
        <v>9</v>
      </c>
      <c r="J653" s="20"/>
      <c r="K653" s="1">
        <v>8.31</v>
      </c>
      <c r="L653" s="1">
        <v>2</v>
      </c>
      <c r="M653" s="1">
        <f t="shared" si="220"/>
        <v>0</v>
      </c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</row>
    <row r="654" spans="1:73" s="1" customFormat="1" ht="21">
      <c r="A654"/>
      <c r="B654" s="69">
        <v>10</v>
      </c>
      <c r="C654" s="20">
        <v>23</v>
      </c>
      <c r="D654" s="1">
        <v>2.54</v>
      </c>
      <c r="E654" s="1">
        <v>1</v>
      </c>
      <c r="F654" s="1">
        <f t="shared" si="221"/>
        <v>58.42</v>
      </c>
      <c r="G654" s="68"/>
      <c r="H654" s="68"/>
      <c r="I654" s="69">
        <v>10</v>
      </c>
      <c r="J654" s="20"/>
      <c r="K654" s="1">
        <v>7.13</v>
      </c>
      <c r="L654" s="1">
        <v>2</v>
      </c>
      <c r="M654" s="1">
        <f t="shared" si="220"/>
        <v>0</v>
      </c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</row>
    <row r="655" spans="1:73" s="1" customFormat="1" ht="21">
      <c r="A655"/>
      <c r="B655" s="69">
        <v>11</v>
      </c>
      <c r="C655" s="20">
        <v>32</v>
      </c>
      <c r="D655" s="1">
        <v>1.42</v>
      </c>
      <c r="E655" s="1">
        <v>1</v>
      </c>
      <c r="F655" s="1">
        <f t="shared" si="221"/>
        <v>45.44</v>
      </c>
      <c r="G655" s="68"/>
      <c r="H655" s="68"/>
      <c r="I655" s="69">
        <v>11</v>
      </c>
      <c r="J655" s="20"/>
      <c r="K655" s="1">
        <v>7.43</v>
      </c>
      <c r="L655" s="1">
        <v>2</v>
      </c>
      <c r="M655" s="1">
        <f t="shared" si="220"/>
        <v>0</v>
      </c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</row>
    <row r="656" spans="1:73" s="1" customFormat="1" ht="21">
      <c r="A656"/>
      <c r="B656" s="69">
        <v>12</v>
      </c>
      <c r="C656" s="20">
        <v>8</v>
      </c>
      <c r="D656" s="1">
        <v>1.54</v>
      </c>
      <c r="E656" s="1">
        <v>1</v>
      </c>
      <c r="F656" s="1">
        <f t="shared" si="221"/>
        <v>12.32</v>
      </c>
      <c r="G656" s="1">
        <f>C656*D656*E656</f>
        <v>12.32</v>
      </c>
      <c r="H656" s="68"/>
      <c r="I656" s="69">
        <v>12</v>
      </c>
      <c r="J656" s="20"/>
      <c r="L656" s="1">
        <v>2</v>
      </c>
      <c r="M656" s="1">
        <f t="shared" si="220"/>
        <v>0</v>
      </c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</row>
    <row r="657" spans="1:73" s="1" customFormat="1" ht="21">
      <c r="A657"/>
      <c r="B657" s="69">
        <v>13</v>
      </c>
      <c r="C657" s="20">
        <v>23</v>
      </c>
      <c r="D657" s="1">
        <v>6.62</v>
      </c>
      <c r="E657" s="1">
        <v>1</v>
      </c>
      <c r="F657" s="1">
        <f t="shared" si="221"/>
        <v>152.26</v>
      </c>
      <c r="G657" s="68"/>
      <c r="H657" s="68"/>
      <c r="I657" s="69">
        <v>13</v>
      </c>
      <c r="J657" s="20"/>
      <c r="K657" s="1">
        <v>7.9</v>
      </c>
      <c r="L657" s="1">
        <v>2</v>
      </c>
      <c r="M657" s="1">
        <f t="shared" si="220"/>
        <v>0</v>
      </c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</row>
    <row r="658" spans="1:73" s="1" customFormat="1" ht="21">
      <c r="A658"/>
      <c r="B658" s="69">
        <v>14</v>
      </c>
      <c r="C658" s="20">
        <v>13</v>
      </c>
      <c r="D658" s="1">
        <v>8.27</v>
      </c>
      <c r="E658" s="1">
        <v>1</v>
      </c>
      <c r="F658" s="1">
        <f t="shared" si="221"/>
        <v>107.50999999999999</v>
      </c>
      <c r="G658" s="68"/>
      <c r="H658" s="68"/>
      <c r="I658" s="69">
        <v>14</v>
      </c>
      <c r="J658" s="20"/>
      <c r="K658" s="1">
        <v>5.4</v>
      </c>
      <c r="L658" s="1">
        <v>2</v>
      </c>
      <c r="M658" s="1">
        <f t="shared" si="220"/>
        <v>0</v>
      </c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</row>
    <row r="659" spans="1:73" s="1" customFormat="1" ht="21">
      <c r="A659"/>
      <c r="B659" s="69">
        <v>15</v>
      </c>
      <c r="C659" s="20">
        <v>23</v>
      </c>
      <c r="D659" s="1">
        <v>6.62</v>
      </c>
      <c r="E659" s="1">
        <v>1</v>
      </c>
      <c r="F659" s="1">
        <f t="shared" si="221"/>
        <v>152.26</v>
      </c>
      <c r="G659" s="68"/>
      <c r="H659" s="68"/>
      <c r="I659" s="69">
        <v>15</v>
      </c>
      <c r="J659" s="20"/>
      <c r="K659" s="1">
        <v>3.61</v>
      </c>
      <c r="L659" s="1">
        <v>2</v>
      </c>
      <c r="M659" s="1">
        <f t="shared" si="220"/>
        <v>0</v>
      </c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</row>
    <row r="660" spans="1:73" s="1" customFormat="1" ht="21">
      <c r="A660"/>
      <c r="B660" s="69">
        <v>16</v>
      </c>
      <c r="C660" s="20">
        <v>4</v>
      </c>
      <c r="D660" s="1">
        <v>1.62</v>
      </c>
      <c r="E660" s="1">
        <v>1</v>
      </c>
      <c r="G660" s="1">
        <f>C660*D660*E660</f>
        <v>6.48</v>
      </c>
      <c r="H660" s="68"/>
      <c r="I660" s="69">
        <v>16</v>
      </c>
      <c r="J660" s="20"/>
      <c r="K660" s="1">
        <v>5.15</v>
      </c>
      <c r="L660" s="1">
        <v>2</v>
      </c>
      <c r="M660" s="1">
        <f t="shared" si="220"/>
        <v>0</v>
      </c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</row>
    <row r="661" spans="1:73" s="1" customFormat="1" ht="21">
      <c r="A661"/>
      <c r="B661" s="69">
        <v>17</v>
      </c>
      <c r="C661" s="20">
        <v>22</v>
      </c>
      <c r="D661" s="1">
        <v>8.6300000000000008</v>
      </c>
      <c r="E661" s="1">
        <v>1</v>
      </c>
      <c r="F661" s="1">
        <f t="shared" si="221"/>
        <v>189.86</v>
      </c>
      <c r="G661" s="68"/>
      <c r="H661" s="68"/>
      <c r="I661" s="69">
        <v>17</v>
      </c>
      <c r="J661" s="20"/>
      <c r="K661" s="1">
        <v>8.4499999999999993</v>
      </c>
      <c r="L661" s="1">
        <v>2</v>
      </c>
      <c r="M661" s="1">
        <f t="shared" si="220"/>
        <v>0</v>
      </c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</row>
    <row r="662" spans="1:73" s="1" customFormat="1" ht="21">
      <c r="A662"/>
      <c r="B662" s="69">
        <v>18</v>
      </c>
      <c r="C662" s="20">
        <v>10</v>
      </c>
      <c r="D662" s="1">
        <v>1.54</v>
      </c>
      <c r="E662" s="1">
        <v>1</v>
      </c>
      <c r="F662" s="1">
        <f t="shared" si="221"/>
        <v>15.4</v>
      </c>
      <c r="G662" s="1">
        <f>C662*D662*E662</f>
        <v>15.4</v>
      </c>
      <c r="H662" s="68"/>
      <c r="I662" s="69">
        <v>18</v>
      </c>
      <c r="J662" s="20"/>
      <c r="L662" s="1">
        <v>2</v>
      </c>
      <c r="M662" s="1">
        <f t="shared" si="220"/>
        <v>0</v>
      </c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</row>
    <row r="663" spans="1:73" s="1" customFormat="1" ht="21">
      <c r="A663"/>
      <c r="B663" s="69">
        <v>19</v>
      </c>
      <c r="C663" s="20">
        <v>34</v>
      </c>
      <c r="D663" s="1">
        <v>12.94</v>
      </c>
      <c r="E663" s="1">
        <v>1</v>
      </c>
      <c r="F663" s="1">
        <f t="shared" si="221"/>
        <v>439.96</v>
      </c>
      <c r="G663" s="68"/>
      <c r="H663" s="68"/>
      <c r="I663" s="69">
        <v>19</v>
      </c>
      <c r="J663" s="20"/>
      <c r="K663" s="1">
        <v>6.72</v>
      </c>
      <c r="L663" s="1">
        <v>2</v>
      </c>
      <c r="M663" s="1">
        <f t="shared" si="220"/>
        <v>0</v>
      </c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</row>
    <row r="664" spans="1:73" s="1" customFormat="1" ht="21">
      <c r="A664"/>
      <c r="B664" s="69">
        <v>20</v>
      </c>
      <c r="C664" s="20">
        <v>43</v>
      </c>
      <c r="D664" s="10">
        <v>6.18</v>
      </c>
      <c r="E664" s="1">
        <v>1</v>
      </c>
      <c r="F664" s="1">
        <f t="shared" si="221"/>
        <v>265.74</v>
      </c>
      <c r="G664" s="68"/>
      <c r="H664" s="68"/>
      <c r="I664" s="69">
        <v>20</v>
      </c>
      <c r="J664" s="20"/>
      <c r="K664" s="10">
        <v>8</v>
      </c>
      <c r="L664" s="1">
        <v>2</v>
      </c>
      <c r="M664" s="1">
        <f t="shared" si="220"/>
        <v>0</v>
      </c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</row>
    <row r="665" spans="1:73" s="1" customFormat="1" ht="21">
      <c r="A665"/>
      <c r="B665" s="69">
        <v>21</v>
      </c>
      <c r="C665" s="20">
        <v>14</v>
      </c>
      <c r="D665" s="10">
        <v>1.4</v>
      </c>
      <c r="E665" s="1">
        <v>1</v>
      </c>
      <c r="F665" s="1">
        <f t="shared" si="221"/>
        <v>19.599999999999998</v>
      </c>
      <c r="G665" s="68"/>
      <c r="H665" s="68"/>
      <c r="I665" s="69">
        <v>21</v>
      </c>
      <c r="J665" s="20"/>
      <c r="K665" s="10"/>
      <c r="L665" s="1">
        <v>2</v>
      </c>
      <c r="M665" s="1">
        <f t="shared" si="220"/>
        <v>0</v>
      </c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</row>
    <row r="666" spans="1:73" s="1" customFormat="1" ht="21">
      <c r="A666"/>
      <c r="B666" s="69">
        <v>22</v>
      </c>
      <c r="C666" s="20">
        <v>23</v>
      </c>
      <c r="D666" s="10">
        <v>7.76</v>
      </c>
      <c r="E666" s="1">
        <v>1</v>
      </c>
      <c r="F666" s="1">
        <f t="shared" si="221"/>
        <v>178.48</v>
      </c>
      <c r="G666" s="68"/>
      <c r="H666" s="68"/>
      <c r="I666" s="69">
        <v>22</v>
      </c>
      <c r="J666" s="20"/>
      <c r="K666" s="10">
        <v>8.33</v>
      </c>
      <c r="L666" s="1">
        <v>2</v>
      </c>
      <c r="M666" s="1">
        <f t="shared" si="220"/>
        <v>0</v>
      </c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</row>
    <row r="667" spans="1:73" s="1" customFormat="1" ht="21">
      <c r="A667"/>
      <c r="B667" s="69">
        <v>23</v>
      </c>
      <c r="C667" s="20">
        <v>12</v>
      </c>
      <c r="D667" s="1">
        <v>2.06</v>
      </c>
      <c r="E667" s="1">
        <v>2</v>
      </c>
      <c r="G667" s="1">
        <f>C667*D667*E667</f>
        <v>49.44</v>
      </c>
      <c r="H667" s="68"/>
      <c r="I667" s="69">
        <v>23</v>
      </c>
      <c r="J667" s="20"/>
      <c r="K667" s="1">
        <v>7.31</v>
      </c>
      <c r="L667" s="1">
        <v>2</v>
      </c>
      <c r="M667" s="1">
        <f t="shared" si="220"/>
        <v>0</v>
      </c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</row>
    <row r="668" spans="1:73" s="1" customFormat="1" ht="21">
      <c r="A668"/>
      <c r="B668" s="69">
        <v>24</v>
      </c>
      <c r="C668" s="20">
        <v>34</v>
      </c>
      <c r="D668" s="52">
        <v>3</v>
      </c>
      <c r="E668" s="1">
        <v>1</v>
      </c>
      <c r="F668" s="1">
        <f t="shared" si="221"/>
        <v>102</v>
      </c>
      <c r="G668" s="68"/>
      <c r="H668" s="68"/>
      <c r="I668" s="69">
        <v>24</v>
      </c>
      <c r="J668" s="20"/>
      <c r="K668" s="52">
        <v>5.79</v>
      </c>
      <c r="L668" s="1">
        <v>2</v>
      </c>
      <c r="M668" s="1">
        <f t="shared" si="220"/>
        <v>0</v>
      </c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</row>
    <row r="669" spans="1:73" s="1" customFormat="1" ht="21">
      <c r="A669"/>
      <c r="B669" s="69">
        <v>25</v>
      </c>
      <c r="C669" s="20">
        <v>22</v>
      </c>
      <c r="D669" s="52">
        <v>3.06</v>
      </c>
      <c r="E669" s="1">
        <v>1</v>
      </c>
      <c r="F669" s="1">
        <f t="shared" si="221"/>
        <v>67.320000000000007</v>
      </c>
      <c r="G669" s="68"/>
      <c r="H669" s="68"/>
      <c r="I669" s="69">
        <v>25</v>
      </c>
      <c r="J669" s="20"/>
      <c r="K669" s="52">
        <v>6.38</v>
      </c>
      <c r="L669" s="1">
        <v>2</v>
      </c>
      <c r="M669" s="1">
        <f t="shared" si="220"/>
        <v>0</v>
      </c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</row>
    <row r="670" spans="1:73" s="1" customFormat="1" ht="21">
      <c r="A670"/>
      <c r="B670" s="69">
        <v>26</v>
      </c>
      <c r="C670" s="20">
        <v>6</v>
      </c>
      <c r="D670" s="52">
        <v>1.51</v>
      </c>
      <c r="E670" s="1">
        <v>1</v>
      </c>
      <c r="G670" s="1">
        <f>C670*D670*E670</f>
        <v>9.06</v>
      </c>
      <c r="H670" s="68"/>
      <c r="I670" s="69">
        <v>26</v>
      </c>
      <c r="J670" s="20"/>
      <c r="K670" s="52">
        <v>3.49</v>
      </c>
      <c r="L670" s="1">
        <v>2</v>
      </c>
      <c r="M670" s="1">
        <f t="shared" si="220"/>
        <v>0</v>
      </c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</row>
    <row r="671" spans="1:73" s="1" customFormat="1" ht="21">
      <c r="A671"/>
      <c r="B671" s="69">
        <v>27</v>
      </c>
      <c r="C671" s="20">
        <v>13</v>
      </c>
      <c r="D671" s="52">
        <v>1.42</v>
      </c>
      <c r="E671" s="1">
        <v>1</v>
      </c>
      <c r="F671" s="1">
        <f t="shared" si="221"/>
        <v>18.46</v>
      </c>
      <c r="G671" s="68"/>
      <c r="H671" s="68"/>
      <c r="I671" s="69">
        <v>27</v>
      </c>
      <c r="J671" s="20"/>
      <c r="K671" s="52">
        <v>6.18</v>
      </c>
      <c r="L671" s="1">
        <v>2</v>
      </c>
      <c r="M671" s="1">
        <f t="shared" si="220"/>
        <v>0</v>
      </c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</row>
    <row r="672" spans="1:73" s="1" customFormat="1" ht="21">
      <c r="A672"/>
      <c r="B672" s="69">
        <v>30</v>
      </c>
      <c r="C672" s="20">
        <v>7</v>
      </c>
      <c r="D672" s="52">
        <v>1.54</v>
      </c>
      <c r="E672" s="1">
        <v>2</v>
      </c>
      <c r="G672" s="1">
        <f>C672*D672*E672</f>
        <v>21.560000000000002</v>
      </c>
      <c r="H672" s="68"/>
      <c r="I672" s="69">
        <v>28</v>
      </c>
      <c r="J672" s="20"/>
      <c r="K672" s="52">
        <v>5.84</v>
      </c>
      <c r="L672" s="1">
        <v>2</v>
      </c>
      <c r="M672" s="1">
        <f t="shared" si="220"/>
        <v>0</v>
      </c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</row>
    <row r="673" spans="1:73" s="1" customFormat="1" ht="21">
      <c r="A673"/>
      <c r="B673" s="69">
        <v>31</v>
      </c>
      <c r="C673" s="20">
        <v>27</v>
      </c>
      <c r="D673" s="52">
        <v>8.3800000000000008</v>
      </c>
      <c r="E673" s="1">
        <v>1</v>
      </c>
      <c r="F673" s="1">
        <f t="shared" si="221"/>
        <v>226.26000000000002</v>
      </c>
      <c r="G673" s="68"/>
      <c r="H673" s="68"/>
      <c r="I673" s="69">
        <v>29</v>
      </c>
      <c r="J673" s="20"/>
      <c r="K673" s="52">
        <v>5.77</v>
      </c>
      <c r="L673" s="1">
        <v>2</v>
      </c>
      <c r="M673" s="1">
        <f t="shared" si="220"/>
        <v>0</v>
      </c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</row>
    <row r="674" spans="1:73" s="1" customFormat="1" ht="21">
      <c r="A674"/>
      <c r="B674" s="69">
        <v>32</v>
      </c>
      <c r="C674" s="20">
        <v>10</v>
      </c>
      <c r="D674" s="52">
        <v>7.84</v>
      </c>
      <c r="E674" s="1">
        <v>1</v>
      </c>
      <c r="F674" s="1">
        <f t="shared" si="221"/>
        <v>78.400000000000006</v>
      </c>
      <c r="G674" s="68"/>
      <c r="H674" s="68"/>
      <c r="I674" s="69">
        <v>29</v>
      </c>
      <c r="J674" s="20"/>
      <c r="K674" s="52">
        <v>5.77</v>
      </c>
      <c r="L674" s="1">
        <v>2</v>
      </c>
      <c r="M674" s="1">
        <f t="shared" si="220"/>
        <v>0</v>
      </c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</row>
    <row r="675" spans="1:73" s="1" customFormat="1" ht="21">
      <c r="A675"/>
      <c r="B675" s="69">
        <v>33</v>
      </c>
      <c r="C675" s="20">
        <v>19</v>
      </c>
      <c r="D675" s="52">
        <v>8.32</v>
      </c>
      <c r="E675" s="1">
        <v>1</v>
      </c>
      <c r="F675" s="1">
        <f t="shared" si="221"/>
        <v>158.08000000000001</v>
      </c>
      <c r="G675" s="68"/>
      <c r="H675" s="68"/>
      <c r="I675" s="69">
        <v>29</v>
      </c>
      <c r="J675" s="20"/>
      <c r="K675" s="52">
        <v>5.77</v>
      </c>
      <c r="L675" s="1">
        <v>2</v>
      </c>
      <c r="M675" s="1">
        <f t="shared" si="220"/>
        <v>0</v>
      </c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</row>
    <row r="676" spans="1:73" s="1" customFormat="1" ht="21">
      <c r="A676"/>
      <c r="B676" s="69">
        <v>34</v>
      </c>
      <c r="C676" s="20">
        <v>7</v>
      </c>
      <c r="D676" s="52">
        <v>2.06</v>
      </c>
      <c r="E676" s="1">
        <v>2</v>
      </c>
      <c r="G676" s="1">
        <f>C676*D676*E676</f>
        <v>28.84</v>
      </c>
      <c r="H676" s="68"/>
      <c r="I676" s="69">
        <v>29</v>
      </c>
      <c r="J676" s="20"/>
      <c r="K676" s="52">
        <v>5.77</v>
      </c>
      <c r="L676" s="1">
        <v>2</v>
      </c>
      <c r="M676" s="1">
        <f t="shared" si="220"/>
        <v>0</v>
      </c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</row>
    <row r="677" spans="1:73" s="1" customFormat="1" ht="21">
      <c r="A677"/>
      <c r="B677" s="71">
        <v>35</v>
      </c>
      <c r="C677" s="20">
        <v>44</v>
      </c>
      <c r="D677" s="52">
        <v>5.66</v>
      </c>
      <c r="E677" s="1">
        <v>1</v>
      </c>
      <c r="F677" s="1">
        <f t="shared" ref="F677" si="222">C677*D677*E677</f>
        <v>249.04000000000002</v>
      </c>
      <c r="G677" s="68"/>
      <c r="H677" s="68"/>
      <c r="I677" s="69">
        <v>29</v>
      </c>
      <c r="J677" s="20"/>
      <c r="K677" s="52">
        <v>5.77</v>
      </c>
      <c r="L677" s="1">
        <v>2</v>
      </c>
      <c r="M677" s="1">
        <f t="shared" si="220"/>
        <v>0</v>
      </c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</row>
    <row r="678" spans="1:73" s="1" customFormat="1" ht="26.25">
      <c r="B678" s="71">
        <v>36</v>
      </c>
      <c r="C678" s="20">
        <v>17</v>
      </c>
      <c r="D678" s="52">
        <v>1.53</v>
      </c>
      <c r="E678" s="1">
        <v>2</v>
      </c>
      <c r="G678" s="1">
        <f>C678*D678*E678</f>
        <v>52.02</v>
      </c>
      <c r="H678" s="68"/>
      <c r="I678" s="69">
        <v>29</v>
      </c>
      <c r="J678" s="20"/>
      <c r="K678" s="52">
        <v>5.77</v>
      </c>
      <c r="L678" s="1">
        <v>2</v>
      </c>
      <c r="M678" s="1">
        <f t="shared" si="220"/>
        <v>0</v>
      </c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 s="72"/>
      <c r="BR678"/>
      <c r="BS678"/>
      <c r="BT678"/>
      <c r="BU678"/>
    </row>
    <row r="679" spans="1:73" s="1" customFormat="1" ht="21">
      <c r="C679" s="20"/>
      <c r="F679" s="1">
        <f>SUM(F646:F678)</f>
        <v>3391.1400000000003</v>
      </c>
      <c r="G679" s="1">
        <f>SUM(G646:G678)</f>
        <v>261.70000000000005</v>
      </c>
      <c r="H679" s="62"/>
      <c r="I679" s="62"/>
      <c r="M679" s="1">
        <f>SUM(M647:M673)</f>
        <v>0</v>
      </c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</row>
    <row r="680" spans="1:73" s="1" customFormat="1" ht="21">
      <c r="C680" s="20"/>
      <c r="F680" s="8">
        <f>F679*0.888</f>
        <v>3011.3323200000004</v>
      </c>
      <c r="G680" s="8">
        <f>G679*0.617</f>
        <v>161.46890000000002</v>
      </c>
      <c r="H680" s="62"/>
      <c r="I680" s="62"/>
      <c r="M680" s="8">
        <f>M679*0.888</f>
        <v>0</v>
      </c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</row>
    <row r="681" spans="1:73" s="1" customFormat="1" ht="21">
      <c r="C681" s="20"/>
      <c r="F681" s="8"/>
      <c r="G681" s="62"/>
      <c r="H681" s="62"/>
      <c r="I681" s="62"/>
      <c r="M681" s="8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</row>
    <row r="682" spans="1:73" s="1" customFormat="1" ht="23.25">
      <c r="B682" s="20"/>
      <c r="D682" s="208" t="s">
        <v>27</v>
      </c>
      <c r="E682" s="208"/>
      <c r="F682" s="208"/>
      <c r="G682" s="208"/>
      <c r="H682" s="62"/>
      <c r="L682" s="8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</row>
    <row r="683" spans="1:73" s="72" customFormat="1" ht="10.5" customHeight="1" thickBot="1">
      <c r="BQ683"/>
    </row>
    <row r="684" spans="1:73" s="1" customFormat="1" ht="19.5" thickBot="1">
      <c r="B684" s="73" t="s">
        <v>174</v>
      </c>
      <c r="C684" s="74"/>
      <c r="D684" s="50">
        <f>B691+B704+B711+D711+B719+D719+D704+D691+B698+D698</f>
        <v>2.654656699299653</v>
      </c>
      <c r="E684" s="75"/>
      <c r="G684" s="203" t="s">
        <v>178</v>
      </c>
      <c r="H684" s="206"/>
      <c r="I684" s="76"/>
      <c r="K684" s="77" t="s">
        <v>181</v>
      </c>
      <c r="L684" s="19" t="s">
        <v>71</v>
      </c>
      <c r="M684" s="78">
        <f>ROUNDUP(M695*1.579,0)</f>
        <v>55</v>
      </c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</row>
    <row r="685" spans="1:73" s="1" customFormat="1" ht="19.5" thickBot="1">
      <c r="C685" s="75"/>
      <c r="D685" s="79"/>
      <c r="E685" s="75"/>
      <c r="F685" s="75"/>
      <c r="G685" s="75"/>
      <c r="H685" s="75"/>
      <c r="I685" s="80"/>
      <c r="L685" s="19" t="s">
        <v>68</v>
      </c>
      <c r="M685" s="78">
        <f>ROUNDUP(R698*0.888,0)</f>
        <v>103</v>
      </c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</row>
    <row r="686" spans="1:73" s="1" customFormat="1" ht="19.5" thickBot="1">
      <c r="C686" s="75"/>
      <c r="D686" s="79"/>
      <c r="E686" s="75"/>
      <c r="F686" s="75"/>
      <c r="G686" s="75"/>
      <c r="H686" s="75"/>
      <c r="I686" s="80"/>
      <c r="L686" s="19" t="s">
        <v>108</v>
      </c>
      <c r="M686" s="78">
        <f>ROUNDUP(L692,0)</f>
        <v>11</v>
      </c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</row>
    <row r="687" spans="1:73" s="1" customFormat="1" ht="15.75">
      <c r="A687" s="5" t="s">
        <v>184</v>
      </c>
      <c r="E687" s="75"/>
      <c r="F687" s="5"/>
      <c r="N687" s="14" t="s">
        <v>182</v>
      </c>
      <c r="O687" s="1" t="s">
        <v>170</v>
      </c>
      <c r="P687" s="1" t="s">
        <v>49</v>
      </c>
      <c r="Q687" s="1" t="s">
        <v>183</v>
      </c>
      <c r="R687" s="1" t="s">
        <v>68</v>
      </c>
      <c r="S687" s="20" t="s">
        <v>108</v>
      </c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</row>
    <row r="688" spans="1:73" s="1" customFormat="1" ht="15.75">
      <c r="A688" s="1" t="s">
        <v>49</v>
      </c>
      <c r="B688" s="4">
        <v>1.2</v>
      </c>
      <c r="D688" s="4">
        <v>0</v>
      </c>
      <c r="E688" s="81"/>
      <c r="G688" s="4"/>
      <c r="M688" s="5" t="s">
        <v>71</v>
      </c>
      <c r="N688" s="14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</row>
    <row r="689" spans="1:73" s="1" customFormat="1" ht="15.75">
      <c r="A689" s="1" t="s">
        <v>50</v>
      </c>
      <c r="B689" s="4">
        <v>0.6</v>
      </c>
      <c r="D689" s="4">
        <v>0.6</v>
      </c>
      <c r="E689" s="81"/>
      <c r="G689" s="4"/>
      <c r="L689" s="5" t="s">
        <v>108</v>
      </c>
      <c r="M689" s="1">
        <v>3.43</v>
      </c>
      <c r="N689" s="69">
        <v>1</v>
      </c>
      <c r="O689" s="20">
        <v>5</v>
      </c>
      <c r="P689" s="1">
        <v>2.33</v>
      </c>
      <c r="Q689" s="1">
        <v>1</v>
      </c>
      <c r="R689" s="1">
        <f>O689*P689*Q689</f>
        <v>11.65</v>
      </c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</row>
    <row r="690" spans="1:73" s="1" customFormat="1" ht="15.75">
      <c r="A690" s="1" t="s">
        <v>51</v>
      </c>
      <c r="B690" s="4">
        <v>0.3</v>
      </c>
      <c r="D690" s="4">
        <v>0.3</v>
      </c>
      <c r="E690" s="81"/>
      <c r="G690" s="4"/>
      <c r="L690" s="1">
        <v>1.38</v>
      </c>
      <c r="M690" s="1">
        <v>2.65</v>
      </c>
      <c r="N690" s="69">
        <v>2</v>
      </c>
      <c r="O690" s="20">
        <v>6</v>
      </c>
      <c r="P690" s="1">
        <v>3</v>
      </c>
      <c r="Q690" s="1">
        <v>1</v>
      </c>
      <c r="R690" s="1">
        <f t="shared" ref="R690:R697" si="223">O690*P690*Q690</f>
        <v>18</v>
      </c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</row>
    <row r="691" spans="1:73" s="1" customFormat="1" ht="15.75">
      <c r="B691" s="5">
        <f>B688*B689*B690</f>
        <v>0.216</v>
      </c>
      <c r="D691" s="5">
        <f>D688*D689*D690*6</f>
        <v>0</v>
      </c>
      <c r="E691" s="81"/>
      <c r="F691" s="1">
        <f>1288-112.5</f>
        <v>1175.5</v>
      </c>
      <c r="L691" s="1">
        <v>12</v>
      </c>
      <c r="M691" s="1">
        <v>1.5</v>
      </c>
      <c r="N691" s="69">
        <v>3</v>
      </c>
      <c r="O691" s="20">
        <v>6</v>
      </c>
      <c r="P691" s="1">
        <v>3.05</v>
      </c>
      <c r="Q691" s="1">
        <v>1</v>
      </c>
      <c r="R691" s="1">
        <f t="shared" si="223"/>
        <v>18.299999999999997</v>
      </c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</row>
    <row r="692" spans="1:73" s="1" customFormat="1" ht="15.75">
      <c r="A692" s="5"/>
      <c r="E692" s="81"/>
      <c r="L692" s="5">
        <f>L690*L691*0.617</f>
        <v>10.217519999999999</v>
      </c>
      <c r="M692" s="1">
        <v>5.61</v>
      </c>
      <c r="N692" s="69">
        <v>4</v>
      </c>
      <c r="O692" s="20">
        <v>11</v>
      </c>
      <c r="P692" s="1">
        <v>1.1299999999999999</v>
      </c>
      <c r="Q692" s="1">
        <v>1</v>
      </c>
      <c r="R692" s="1">
        <f t="shared" si="223"/>
        <v>12.43</v>
      </c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</row>
    <row r="693" spans="1:73" s="1" customFormat="1" ht="15.75">
      <c r="A693" s="5" t="s">
        <v>185</v>
      </c>
      <c r="C693" s="5" t="s">
        <v>186</v>
      </c>
      <c r="D693" s="5"/>
      <c r="E693" s="81"/>
      <c r="F693" s="5" t="s">
        <v>185</v>
      </c>
      <c r="I693" s="4">
        <f>D694</f>
        <v>2.4</v>
      </c>
      <c r="J693" s="4"/>
      <c r="M693" s="1">
        <v>2.34</v>
      </c>
      <c r="N693" s="69">
        <v>5</v>
      </c>
      <c r="O693" s="20">
        <v>6</v>
      </c>
      <c r="P693" s="1">
        <v>2.29</v>
      </c>
      <c r="Q693" s="1">
        <v>1</v>
      </c>
      <c r="R693" s="1">
        <f t="shared" si="223"/>
        <v>13.74</v>
      </c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</row>
    <row r="694" spans="1:73" s="1" customFormat="1" ht="15.75">
      <c r="A694" s="1" t="s">
        <v>49</v>
      </c>
      <c r="B694" s="4">
        <v>2.4</v>
      </c>
      <c r="C694" s="1" t="s">
        <v>49</v>
      </c>
      <c r="D694" s="4">
        <f>B694</f>
        <v>2.4</v>
      </c>
      <c r="E694" s="82"/>
      <c r="F694" s="1" t="s">
        <v>49</v>
      </c>
      <c r="G694" s="4">
        <f>D694</f>
        <v>2.4</v>
      </c>
      <c r="I694" s="4">
        <f>D695</f>
        <v>0.45</v>
      </c>
      <c r="J694" s="4"/>
      <c r="M694" s="1">
        <f>3.2*3*2</f>
        <v>19.200000000000003</v>
      </c>
      <c r="N694" s="69">
        <v>6</v>
      </c>
      <c r="O694" s="20">
        <v>6</v>
      </c>
      <c r="P694" s="1">
        <v>2.04</v>
      </c>
      <c r="Q694" s="1">
        <v>1</v>
      </c>
      <c r="R694" s="1">
        <f t="shared" si="223"/>
        <v>12.24</v>
      </c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</row>
    <row r="695" spans="1:73" s="1" customFormat="1" ht="15.75">
      <c r="A695" s="1" t="s">
        <v>50</v>
      </c>
      <c r="B695" s="4">
        <v>1.18</v>
      </c>
      <c r="C695" s="1" t="s">
        <v>50</v>
      </c>
      <c r="D695" s="4">
        <v>0.45</v>
      </c>
      <c r="E695" s="82"/>
      <c r="F695" s="1" t="s">
        <v>50</v>
      </c>
      <c r="G695" s="4">
        <f>B695</f>
        <v>1.18</v>
      </c>
      <c r="I695" s="4">
        <f>D696</f>
        <v>0.23</v>
      </c>
      <c r="J695" s="4"/>
      <c r="M695" s="5">
        <f>SUM(M689:M694)</f>
        <v>34.730000000000004</v>
      </c>
      <c r="N695" s="69">
        <v>7</v>
      </c>
      <c r="O695" s="20">
        <v>11</v>
      </c>
      <c r="P695" s="1">
        <v>1.1200000000000001</v>
      </c>
      <c r="Q695" s="1">
        <v>1</v>
      </c>
      <c r="R695" s="1">
        <f t="shared" si="223"/>
        <v>12.32</v>
      </c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</row>
    <row r="696" spans="1:73" s="1" customFormat="1" ht="15.75">
      <c r="A696" s="1" t="s">
        <v>51</v>
      </c>
      <c r="B696" s="4">
        <v>0.15</v>
      </c>
      <c r="C696" s="1" t="s">
        <v>51</v>
      </c>
      <c r="D696" s="4">
        <v>0.23</v>
      </c>
      <c r="E696" s="82"/>
      <c r="F696" s="1" t="s">
        <v>170</v>
      </c>
      <c r="G696" s="1">
        <f>B697</f>
        <v>1</v>
      </c>
      <c r="I696" s="1">
        <f>D697</f>
        <v>1</v>
      </c>
      <c r="J696" s="1">
        <v>2</v>
      </c>
      <c r="N696" s="69">
        <v>8</v>
      </c>
      <c r="O696" s="20">
        <v>6</v>
      </c>
      <c r="P696" s="1">
        <v>1.1599999999999999</v>
      </c>
      <c r="Q696" s="1">
        <v>1</v>
      </c>
      <c r="R696" s="1">
        <f t="shared" si="223"/>
        <v>6.9599999999999991</v>
      </c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</row>
    <row r="697" spans="1:73" s="1" customFormat="1" ht="15.75">
      <c r="A697" s="1" t="s">
        <v>170</v>
      </c>
      <c r="B697" s="1">
        <v>1</v>
      </c>
      <c r="C697" s="1" t="s">
        <v>170</v>
      </c>
      <c r="D697" s="1">
        <f>B697</f>
        <v>1</v>
      </c>
      <c r="E697" s="81"/>
      <c r="G697" s="1" t="s">
        <v>179</v>
      </c>
      <c r="H697" s="5">
        <f>G694*G695*G696</f>
        <v>2.8319999999999999</v>
      </c>
      <c r="I697" s="8">
        <f>(I694*I693*I696*2)+(I695*I693*I696)</f>
        <v>2.7120000000000002</v>
      </c>
      <c r="J697" s="5">
        <f>(J693*J694*2)+(J693*J695)*J696*2</f>
        <v>0</v>
      </c>
      <c r="N697" s="69">
        <v>9</v>
      </c>
      <c r="O697" s="20">
        <v>6</v>
      </c>
      <c r="P697" s="1">
        <v>1.59</v>
      </c>
      <c r="Q697" s="1">
        <v>1</v>
      </c>
      <c r="R697" s="1">
        <f t="shared" si="223"/>
        <v>9.5400000000000009</v>
      </c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</row>
    <row r="698" spans="1:73" s="1" customFormat="1" ht="21">
      <c r="B698" s="5">
        <f>B694*B695*B696*B697</f>
        <v>0.42479999999999996</v>
      </c>
      <c r="D698" s="5">
        <f>D694*D695*D696*D697</f>
        <v>0.24840000000000004</v>
      </c>
      <c r="E698" s="81"/>
      <c r="G698" s="1" t="s">
        <v>187</v>
      </c>
      <c r="H698" s="5">
        <f>(G694+G695)*2*G696</f>
        <v>7.16</v>
      </c>
      <c r="N698" s="62"/>
      <c r="R698" s="8">
        <f>SUM(R689:R697)</f>
        <v>115.17999999999998</v>
      </c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</row>
    <row r="699" spans="1:73" s="1" customFormat="1" ht="21">
      <c r="A699" s="5" t="s">
        <v>185</v>
      </c>
      <c r="C699" s="5" t="s">
        <v>186</v>
      </c>
      <c r="D699" s="5"/>
      <c r="E699" s="81"/>
      <c r="F699" s="5" t="s">
        <v>185</v>
      </c>
      <c r="J699" s="4"/>
      <c r="N699" s="62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</row>
    <row r="700" spans="1:73" s="1" customFormat="1">
      <c r="A700" s="1" t="s">
        <v>49</v>
      </c>
      <c r="B700" s="4">
        <v>0</v>
      </c>
      <c r="C700" s="1" t="s">
        <v>49</v>
      </c>
      <c r="D700" s="4">
        <f>B700</f>
        <v>0</v>
      </c>
      <c r="E700" s="82"/>
      <c r="F700" s="1" t="s">
        <v>49</v>
      </c>
      <c r="G700" s="4">
        <f>D700</f>
        <v>0</v>
      </c>
      <c r="J700" s="4">
        <v>0.3</v>
      </c>
      <c r="N700" s="2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</row>
    <row r="701" spans="1:73" s="1" customFormat="1">
      <c r="A701" s="1" t="s">
        <v>50</v>
      </c>
      <c r="B701" s="4">
        <v>0</v>
      </c>
      <c r="C701" s="1" t="s">
        <v>50</v>
      </c>
      <c r="D701" s="4">
        <v>0.45</v>
      </c>
      <c r="E701" s="82"/>
      <c r="F701" s="1" t="s">
        <v>50</v>
      </c>
      <c r="G701" s="4">
        <f>B701</f>
        <v>0</v>
      </c>
      <c r="J701" s="4">
        <v>0.15</v>
      </c>
      <c r="N701" s="20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</row>
    <row r="702" spans="1:73" s="1" customFormat="1">
      <c r="A702" s="1" t="s">
        <v>51</v>
      </c>
      <c r="B702" s="4">
        <v>0.15</v>
      </c>
      <c r="C702" s="1" t="s">
        <v>51</v>
      </c>
      <c r="D702" s="4">
        <v>0.23</v>
      </c>
      <c r="E702" s="82"/>
      <c r="F702" s="1" t="s">
        <v>170</v>
      </c>
      <c r="G702" s="1">
        <f>B703</f>
        <v>3</v>
      </c>
      <c r="J702" s="1">
        <v>1</v>
      </c>
      <c r="N702" s="20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</row>
    <row r="703" spans="1:73" s="1" customFormat="1">
      <c r="A703" s="1" t="s">
        <v>170</v>
      </c>
      <c r="B703" s="1">
        <v>3</v>
      </c>
      <c r="C703" s="1" t="s">
        <v>170</v>
      </c>
      <c r="D703" s="1">
        <f>B703</f>
        <v>3</v>
      </c>
      <c r="E703" s="81"/>
      <c r="G703" s="1" t="s">
        <v>179</v>
      </c>
      <c r="H703" s="5">
        <f>G700*G701*G702</f>
        <v>0</v>
      </c>
      <c r="J703" s="5">
        <f>(J699*J700*2)+(J699*J701)*J702*2</f>
        <v>0</v>
      </c>
      <c r="N703" s="20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</row>
    <row r="704" spans="1:73" s="1" customFormat="1">
      <c r="B704" s="5">
        <f>B700*B701*B702*B703</f>
        <v>0</v>
      </c>
      <c r="D704" s="5">
        <f>D700*D701*D702*D703</f>
        <v>0</v>
      </c>
      <c r="E704" s="81"/>
      <c r="G704" s="1" t="s">
        <v>187</v>
      </c>
      <c r="H704" s="5">
        <f>(G700+G701)*2*G702</f>
        <v>0</v>
      </c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</row>
    <row r="705" spans="1:73" s="1" customFormat="1">
      <c r="E705" s="81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</row>
    <row r="706" spans="1:73" s="1" customFormat="1">
      <c r="A706" s="5" t="s">
        <v>188</v>
      </c>
      <c r="C706" s="5" t="s">
        <v>189</v>
      </c>
      <c r="E706" s="81"/>
      <c r="F706" s="5" t="s">
        <v>190</v>
      </c>
      <c r="T706" s="1">
        <f>S706</f>
        <v>0</v>
      </c>
      <c r="U706" s="1">
        <f>S706*T706</f>
        <v>0</v>
      </c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</row>
    <row r="707" spans="1:73" s="1" customFormat="1">
      <c r="A707" s="1" t="s">
        <v>49</v>
      </c>
      <c r="B707" s="4">
        <f>(SQRT((3.03*3.03)+(1.88*1.88)))</f>
        <v>3.5658519318670536</v>
      </c>
      <c r="D707" s="4">
        <f>(SQRT((2.75*2.75)+(1.73*1.73)))</f>
        <v>3.2489075086865737</v>
      </c>
      <c r="E707" s="81"/>
      <c r="F707" s="1" t="s">
        <v>49</v>
      </c>
      <c r="G707" s="4">
        <f>B707</f>
        <v>3.5658519318670536</v>
      </c>
      <c r="I707" s="4">
        <f>D707</f>
        <v>3.2489075086865737</v>
      </c>
      <c r="T707" s="1">
        <f>S707</f>
        <v>0</v>
      </c>
      <c r="U707" s="1">
        <f>S707*T707</f>
        <v>0</v>
      </c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</row>
    <row r="708" spans="1:73" s="1" customFormat="1">
      <c r="A708" s="1" t="s">
        <v>50</v>
      </c>
      <c r="B708" s="4">
        <v>1.2</v>
      </c>
      <c r="D708" s="4">
        <f>B708</f>
        <v>1.2</v>
      </c>
      <c r="E708" s="81"/>
      <c r="F708" s="1" t="s">
        <v>50</v>
      </c>
      <c r="G708" s="4">
        <f>B708</f>
        <v>1.2</v>
      </c>
      <c r="I708" s="4">
        <f>D708</f>
        <v>1.2</v>
      </c>
      <c r="U708" s="1">
        <f>SUM(U706:U707)</f>
        <v>0</v>
      </c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</row>
    <row r="709" spans="1:73" s="1" customFormat="1">
      <c r="A709" s="1" t="s">
        <v>51</v>
      </c>
      <c r="B709" s="4">
        <v>0.15</v>
      </c>
      <c r="D709" s="4">
        <f>B709</f>
        <v>0.15</v>
      </c>
      <c r="E709" s="81"/>
      <c r="F709" s="1" t="s">
        <v>170</v>
      </c>
      <c r="G709" s="1">
        <f>B710</f>
        <v>1</v>
      </c>
      <c r="I709" s="1">
        <f>D710</f>
        <v>1</v>
      </c>
      <c r="U709" s="4">
        <f>SQRT(U708)</f>
        <v>0</v>
      </c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</row>
    <row r="710" spans="1:73" s="1" customFormat="1">
      <c r="A710" s="1" t="s">
        <v>170</v>
      </c>
      <c r="B710" s="1">
        <v>1</v>
      </c>
      <c r="D710" s="1">
        <v>1</v>
      </c>
      <c r="E710" s="81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</row>
    <row r="711" spans="1:73" s="1" customFormat="1">
      <c r="B711" s="5">
        <f>B707*B708*B709*B710</f>
        <v>0.64185334773606961</v>
      </c>
      <c r="D711" s="5">
        <f>D707*D708*D709*D710</f>
        <v>0.58480335156358321</v>
      </c>
      <c r="E711" s="81"/>
      <c r="G711" s="1" t="s">
        <v>179</v>
      </c>
      <c r="H711" s="1">
        <f>G708*G709*G707</f>
        <v>4.2790223182404645</v>
      </c>
      <c r="I711" s="1" t="s">
        <v>179</v>
      </c>
      <c r="J711" s="1">
        <f>I708*I709*I707</f>
        <v>3.8986890104238885</v>
      </c>
      <c r="K711" s="83">
        <f>H711+J711</f>
        <v>8.177711328664353</v>
      </c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</row>
    <row r="712" spans="1:73" s="1" customFormat="1">
      <c r="E712" s="81"/>
      <c r="G712" s="5" t="s">
        <v>187</v>
      </c>
      <c r="H712" s="1">
        <f>(G708+G707)*2*G709</f>
        <v>9.5317038637341067</v>
      </c>
      <c r="I712" s="5" t="s">
        <v>187</v>
      </c>
      <c r="J712" s="1">
        <f>(I708+I707)*2*I709</f>
        <v>8.8978150173731478</v>
      </c>
      <c r="K712" s="52">
        <f>(H712+J712)*0.15</f>
        <v>2.7644278321660885</v>
      </c>
      <c r="L712" s="83">
        <f>H712+J712</f>
        <v>18.429518881107256</v>
      </c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</row>
    <row r="713" spans="1:73" s="1" customFormat="1">
      <c r="A713" s="5" t="s">
        <v>191</v>
      </c>
      <c r="E713" s="81"/>
      <c r="F713" s="5" t="s">
        <v>191</v>
      </c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</row>
    <row r="714" spans="1:73" s="1" customFormat="1">
      <c r="A714" s="1" t="s">
        <v>49</v>
      </c>
      <c r="B714" s="4">
        <v>1.2</v>
      </c>
      <c r="D714" s="4">
        <f>B714</f>
        <v>1.2</v>
      </c>
      <c r="E714" s="81"/>
      <c r="F714" s="1" t="s">
        <v>49</v>
      </c>
      <c r="G714" s="4"/>
      <c r="I714" s="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</row>
    <row r="715" spans="1:73" s="1" customFormat="1">
      <c r="A715" s="1" t="s">
        <v>50</v>
      </c>
      <c r="B715" s="4">
        <v>0.28000000000000003</v>
      </c>
      <c r="D715" s="4">
        <v>0.3</v>
      </c>
      <c r="E715" s="81"/>
      <c r="F715" s="1" t="s">
        <v>50</v>
      </c>
      <c r="G715" s="4">
        <v>0.3</v>
      </c>
      <c r="I715" s="4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</row>
    <row r="716" spans="1:73" s="1" customFormat="1">
      <c r="A716" s="1" t="s">
        <v>51</v>
      </c>
      <c r="B716" s="4">
        <v>0.16</v>
      </c>
      <c r="D716" s="4">
        <v>0.15</v>
      </c>
      <c r="E716" s="81"/>
      <c r="F716" s="1" t="s">
        <v>51</v>
      </c>
      <c r="G716" s="4">
        <v>0.15</v>
      </c>
      <c r="I716" s="4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</row>
    <row r="717" spans="1:73" s="1" customFormat="1">
      <c r="A717" s="1" t="s">
        <v>170</v>
      </c>
      <c r="B717" s="1">
        <v>0.5</v>
      </c>
      <c r="D717" s="1">
        <v>0.5</v>
      </c>
      <c r="E717" s="81"/>
      <c r="F717" s="1" t="s">
        <v>170</v>
      </c>
      <c r="G717" s="1">
        <v>0.5</v>
      </c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</row>
    <row r="718" spans="1:73" s="1" customFormat="1">
      <c r="A718" s="1" t="s">
        <v>170</v>
      </c>
      <c r="B718" s="1">
        <v>10</v>
      </c>
      <c r="D718" s="1">
        <v>10</v>
      </c>
      <c r="E718" s="81"/>
      <c r="F718" s="1" t="s">
        <v>170</v>
      </c>
      <c r="G718" s="1">
        <f>B718</f>
        <v>10</v>
      </c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</row>
    <row r="719" spans="1:73" s="1" customFormat="1">
      <c r="B719" s="5">
        <f>B714*B715*B716*B717*B718</f>
        <v>0.26880000000000004</v>
      </c>
      <c r="D719" s="5">
        <f>D714*D715*D716*D717*D718</f>
        <v>0.27</v>
      </c>
      <c r="E719" s="81"/>
      <c r="G719" s="5">
        <f>G716*G715*G717*2*G718</f>
        <v>0.44999999999999996</v>
      </c>
      <c r="I719" s="5"/>
      <c r="K719" s="1">
        <f>G719+I719</f>
        <v>0.44999999999999996</v>
      </c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</row>
    <row r="720" spans="1:73" s="1" customFormat="1">
      <c r="E720" s="81"/>
      <c r="K720" s="83">
        <f>SUM(K712:K719)</f>
        <v>3.2144278321660886</v>
      </c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</row>
    <row r="721" spans="1:73" s="1" customFormat="1">
      <c r="E721" s="81"/>
      <c r="F721" s="5" t="s">
        <v>192</v>
      </c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</row>
    <row r="722" spans="1:73" s="1" customFormat="1">
      <c r="E722" s="81"/>
      <c r="F722" s="1" t="s">
        <v>49</v>
      </c>
      <c r="G722" s="4">
        <v>1.2</v>
      </c>
      <c r="I722" s="4">
        <v>1.1499999999999999</v>
      </c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</row>
    <row r="723" spans="1:73" s="1" customFormat="1">
      <c r="E723" s="81"/>
      <c r="F723" s="1" t="s">
        <v>170</v>
      </c>
      <c r="G723" s="1">
        <v>22</v>
      </c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</row>
    <row r="724" spans="1:73" s="1" customFormat="1">
      <c r="G724" s="1">
        <f>G722*G723</f>
        <v>26.4</v>
      </c>
      <c r="I724" s="1">
        <f>I722*I723</f>
        <v>0</v>
      </c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</row>
    <row r="725" spans="1:73" s="1" customFormat="1">
      <c r="H725" s="5">
        <f>G724+I724</f>
        <v>26.4</v>
      </c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</row>
    <row r="726" spans="1:73" s="1" customFormat="1">
      <c r="A726"/>
      <c r="H726" s="1" t="s">
        <v>193</v>
      </c>
      <c r="I726" s="1">
        <f>H725*0.15</f>
        <v>3.9599999999999995</v>
      </c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</row>
    <row r="728" spans="1:73" s="1" customFormat="1">
      <c r="A728"/>
      <c r="F728" s="5" t="s">
        <v>194</v>
      </c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</row>
    <row r="729" spans="1:73" s="1" customFormat="1">
      <c r="A729"/>
      <c r="F729" s="1" t="s">
        <v>49</v>
      </c>
      <c r="G729" s="4">
        <f>G722</f>
        <v>1.2</v>
      </c>
      <c r="I729" s="4">
        <v>1.1499999999999999</v>
      </c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</row>
    <row r="730" spans="1:73" s="1" customFormat="1">
      <c r="A730"/>
      <c r="F730" s="1" t="s">
        <v>170</v>
      </c>
      <c r="G730" s="1">
        <v>20</v>
      </c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</row>
    <row r="731" spans="1:73" s="1" customFormat="1">
      <c r="A731"/>
      <c r="G731" s="1">
        <f>G729*G730</f>
        <v>24</v>
      </c>
      <c r="I731" s="1">
        <f>I729*I730</f>
        <v>0</v>
      </c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</row>
    <row r="732" spans="1:73" s="1" customFormat="1">
      <c r="A732"/>
      <c r="G732" s="1">
        <f>G731*0.25</f>
        <v>6</v>
      </c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</row>
    <row r="733" spans="1:73" s="1" customFormat="1">
      <c r="A733"/>
      <c r="H733" s="5">
        <f>G731+I731</f>
        <v>24</v>
      </c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</row>
    <row r="734" spans="1:73" s="1" customFormat="1">
      <c r="A734"/>
      <c r="H734" s="1" t="s">
        <v>195</v>
      </c>
      <c r="I734" s="1">
        <f>H733*0.3</f>
        <v>7.1999999999999993</v>
      </c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</row>
    <row r="736" spans="1:73" s="1" customFormat="1">
      <c r="A736"/>
      <c r="K736" s="1">
        <v>573.9</v>
      </c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</row>
    <row r="737" spans="1:73" s="1" customFormat="1">
      <c r="A737"/>
      <c r="K737" s="1">
        <v>601.6</v>
      </c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</row>
    <row r="738" spans="1:73" s="1" customFormat="1" ht="26.25">
      <c r="A738"/>
      <c r="D738" s="209" t="s">
        <v>196</v>
      </c>
      <c r="E738" s="209"/>
      <c r="F738" s="209"/>
      <c r="G738" s="209"/>
      <c r="H738" s="84"/>
      <c r="I738" s="4"/>
      <c r="K738" s="1">
        <v>602.5</v>
      </c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</row>
    <row r="739" spans="1:73" s="1" customFormat="1" ht="18.75" customHeight="1" thickBot="1">
      <c r="A739"/>
      <c r="D739" s="85"/>
      <c r="E739" s="85"/>
      <c r="F739" s="85"/>
      <c r="G739" s="85"/>
      <c r="H739" s="86"/>
      <c r="I739" s="4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</row>
    <row r="740" spans="1:73" s="1" customFormat="1" ht="19.5" thickBot="1">
      <c r="A740"/>
      <c r="B740" s="1">
        <v>42.2</v>
      </c>
      <c r="C740" s="1">
        <v>55</v>
      </c>
      <c r="D740" s="1">
        <v>20.9</v>
      </c>
      <c r="E740" s="1">
        <f>C740</f>
        <v>55</v>
      </c>
      <c r="F740" s="1">
        <f>B740</f>
        <v>42.2</v>
      </c>
      <c r="G740" s="1">
        <f>D740</f>
        <v>20.9</v>
      </c>
      <c r="H740" s="86"/>
      <c r="I740" s="4"/>
      <c r="K740" s="5">
        <f>SUM(K736:K738)</f>
        <v>1778</v>
      </c>
      <c r="M740" s="19" t="s">
        <v>71</v>
      </c>
      <c r="N740" s="87">
        <f>N746+K746</f>
        <v>787.93822545454532</v>
      </c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</row>
    <row r="741" spans="1:73" s="1" customFormat="1" ht="19.5" thickBot="1">
      <c r="A741"/>
      <c r="B741" s="4">
        <v>0.45</v>
      </c>
      <c r="C741" s="4">
        <v>0.3</v>
      </c>
      <c r="D741" s="4">
        <v>0.3</v>
      </c>
      <c r="E741" s="4">
        <v>0.3</v>
      </c>
      <c r="F741" s="4">
        <v>0.3</v>
      </c>
      <c r="G741" s="4">
        <f>D741</f>
        <v>0.3</v>
      </c>
      <c r="H741" s="86" t="s">
        <v>197</v>
      </c>
      <c r="I741" s="4">
        <f>(H742*I742)/2</f>
        <v>70.86</v>
      </c>
      <c r="M741" s="19" t="s">
        <v>68</v>
      </c>
      <c r="N741" s="88">
        <f>P745</f>
        <v>37.118400000000001</v>
      </c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</row>
    <row r="742" spans="1:73" s="1" customFormat="1" ht="19.5" thickBot="1">
      <c r="A742"/>
      <c r="B742" s="1">
        <v>0.23</v>
      </c>
      <c r="C742" s="1">
        <v>0.23</v>
      </c>
      <c r="D742" s="1">
        <v>0.15</v>
      </c>
      <c r="E742" s="1">
        <v>0.23</v>
      </c>
      <c r="F742" s="1">
        <v>0.23</v>
      </c>
      <c r="G742" s="1">
        <f>D742</f>
        <v>0.15</v>
      </c>
      <c r="H742" s="86">
        <f>B740+C740+D740</f>
        <v>118.1</v>
      </c>
      <c r="I742" s="4">
        <v>1.2</v>
      </c>
      <c r="M742" s="19" t="s">
        <v>108</v>
      </c>
      <c r="N742" s="89">
        <f>N749+K749+Q747</f>
        <v>381.33685000000003</v>
      </c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</row>
    <row r="743" spans="1:73" s="1" customFormat="1">
      <c r="A743"/>
      <c r="B743" s="8">
        <f>B740*B741*B742</f>
        <v>4.367700000000001</v>
      </c>
      <c r="C743" s="8">
        <f>C740*C741*C742</f>
        <v>3.7950000000000004</v>
      </c>
      <c r="D743" s="8">
        <f>D740*D741*D742</f>
        <v>0.94049999999999989</v>
      </c>
      <c r="E743" s="8">
        <f>(E740*E741*2)+(E740*E742)</f>
        <v>45.65</v>
      </c>
      <c r="F743" s="8">
        <f>(F740*F741*2)+(F740*F742)</f>
        <v>35.026000000000003</v>
      </c>
      <c r="G743" s="8">
        <f>(G740*G741*2)+(G740*G742)</f>
        <v>15.674999999999999</v>
      </c>
      <c r="H743" s="86"/>
      <c r="I743" s="4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</row>
    <row r="744" spans="1:73" s="1" customFormat="1">
      <c r="A744"/>
      <c r="E744" s="5"/>
      <c r="G744" s="83"/>
      <c r="H744" s="86"/>
      <c r="I744" s="5" t="s">
        <v>198</v>
      </c>
      <c r="P744" s="1" t="s">
        <v>199</v>
      </c>
      <c r="Q744" s="1">
        <v>1.46</v>
      </c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</row>
    <row r="745" spans="1:73" s="1" customFormat="1">
      <c r="A745"/>
      <c r="B745" s="12">
        <f>E746*G745</f>
        <v>519.53125</v>
      </c>
      <c r="C745" s="1" t="s">
        <v>200</v>
      </c>
      <c r="E745" s="1">
        <v>45.674999999999997</v>
      </c>
      <c r="F745" s="1">
        <v>1.2</v>
      </c>
      <c r="G745" s="1">
        <f>(E745/F745)+1</f>
        <v>39.0625</v>
      </c>
      <c r="I745" s="1">
        <f>C740*4</f>
        <v>220</v>
      </c>
      <c r="J745" s="1">
        <f>(I745/11)*0.6</f>
        <v>12</v>
      </c>
      <c r="K745" s="90"/>
      <c r="L745" s="1">
        <f>B740*6</f>
        <v>253.20000000000002</v>
      </c>
      <c r="M745" s="1">
        <f>(L745/11)*0.6</f>
        <v>13.810909090909091</v>
      </c>
      <c r="N745" s="90"/>
      <c r="P745" s="1">
        <f>D740*2*0.888</f>
        <v>37.118400000000001</v>
      </c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</row>
    <row r="746" spans="1:73" s="1" customFormat="1">
      <c r="A746"/>
      <c r="E746" s="1">
        <v>13.3</v>
      </c>
      <c r="J746" s="1">
        <f>J745+I745</f>
        <v>232</v>
      </c>
      <c r="K746" s="90">
        <f>J746*1.579</f>
        <v>366.32799999999997</v>
      </c>
      <c r="M746" s="1">
        <f>M745+L745</f>
        <v>267.01090909090908</v>
      </c>
      <c r="N746" s="90">
        <f>M746*1.579</f>
        <v>421.6102254545454</v>
      </c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</row>
    <row r="747" spans="1:73" s="1" customFormat="1">
      <c r="A747"/>
      <c r="P747" s="1">
        <f>G740/0.2</f>
        <v>104.49999999999999</v>
      </c>
      <c r="Q747" s="1">
        <f>1.46*P747*0.617</f>
        <v>94.135689999999983</v>
      </c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</row>
    <row r="748" spans="1:73" s="1" customFormat="1">
      <c r="A748"/>
      <c r="B748" s="12">
        <f>C750*G745</f>
        <v>522.65625</v>
      </c>
      <c r="C748" s="1" t="s">
        <v>201</v>
      </c>
      <c r="E748" s="1">
        <v>1.43</v>
      </c>
      <c r="F748" s="1">
        <v>1.43</v>
      </c>
      <c r="G748" s="1">
        <f>F748*E748</f>
        <v>2.0448999999999997</v>
      </c>
      <c r="I748" s="1">
        <f>C740/0.25</f>
        <v>220</v>
      </c>
      <c r="J748" s="1">
        <v>1.08</v>
      </c>
      <c r="L748" s="1">
        <f>B740/0.2</f>
        <v>211</v>
      </c>
      <c r="M748" s="1">
        <v>1.08</v>
      </c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</row>
    <row r="749" spans="1:73" s="1" customFormat="1">
      <c r="A749"/>
      <c r="E749" s="1">
        <v>13.3</v>
      </c>
      <c r="F749" s="1">
        <v>13.3</v>
      </c>
      <c r="G749" s="1">
        <f>F749*E749</f>
        <v>176.89000000000001</v>
      </c>
      <c r="J749" s="1">
        <f>J748*I748</f>
        <v>237.60000000000002</v>
      </c>
      <c r="K749" s="90">
        <f>J749*0.617</f>
        <v>146.59920000000002</v>
      </c>
      <c r="M749" s="1">
        <f>M748*L748</f>
        <v>227.88000000000002</v>
      </c>
      <c r="N749" s="90">
        <f>M749*0.617</f>
        <v>140.60196000000002</v>
      </c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</row>
    <row r="750" spans="1:73" s="1" customFormat="1">
      <c r="A750"/>
      <c r="C750" s="1">
        <v>13.38</v>
      </c>
      <c r="G750" s="1">
        <f>SUM(G748:G749)</f>
        <v>178.93490000000003</v>
      </c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</row>
    <row r="751" spans="1:73" s="1" customFormat="1">
      <c r="A751"/>
      <c r="G751" s="1">
        <f>SQRT(G750)</f>
        <v>13.376655037788783</v>
      </c>
      <c r="N751" s="8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</row>
    <row r="752" spans="1:73" s="1" customFormat="1">
      <c r="A752"/>
      <c r="B752" s="12">
        <f>E754*G752</f>
        <v>724.70999999999992</v>
      </c>
      <c r="C752" s="1" t="s">
        <v>202</v>
      </c>
      <c r="E752" s="1">
        <f>C750</f>
        <v>13.38</v>
      </c>
      <c r="F752" s="1">
        <v>0.9</v>
      </c>
      <c r="G752" s="1">
        <f>(E752/F752)+1</f>
        <v>15.866666666666667</v>
      </c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</row>
    <row r="754" spans="1:73" s="1" customFormat="1">
      <c r="A754"/>
      <c r="E754" s="1">
        <v>45.674999999999997</v>
      </c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</row>
    <row r="755" spans="1:73" s="1" customFormat="1">
      <c r="A755"/>
      <c r="B755" s="1">
        <f>G745*L769</f>
        <v>777.34375</v>
      </c>
      <c r="C755" s="1" t="s">
        <v>203</v>
      </c>
      <c r="E755" s="1">
        <v>1.43</v>
      </c>
      <c r="F755" s="1">
        <v>1.43</v>
      </c>
      <c r="G755" s="1">
        <f>F755*E755</f>
        <v>2.0448999999999997</v>
      </c>
      <c r="K755" s="1">
        <v>13.3</v>
      </c>
      <c r="L755" s="1">
        <v>1.43</v>
      </c>
      <c r="M755" s="1">
        <v>1.87</v>
      </c>
      <c r="P755" s="1" t="s">
        <v>181</v>
      </c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</row>
    <row r="756" spans="1:73" s="1" customFormat="1">
      <c r="A756"/>
      <c r="E756" s="1">
        <v>1.2</v>
      </c>
      <c r="F756" s="1">
        <v>1.2</v>
      </c>
      <c r="G756" s="1">
        <f>F756*E756</f>
        <v>1.44</v>
      </c>
      <c r="K756" s="1">
        <v>12.1</v>
      </c>
      <c r="L756" s="1">
        <v>1.3</v>
      </c>
      <c r="M756" s="1">
        <v>1.7</v>
      </c>
      <c r="N756" s="1" t="s">
        <v>178</v>
      </c>
      <c r="P756" s="4">
        <f>(N757/11)*0.6</f>
        <v>5.6867083636363631</v>
      </c>
      <c r="R756" s="1">
        <v>0.94</v>
      </c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</row>
    <row r="757" spans="1:73" s="1" customFormat="1">
      <c r="A757"/>
      <c r="G757" s="1">
        <f>SUM(G755:G756)</f>
        <v>3.4848999999999997</v>
      </c>
      <c r="K757" s="1">
        <v>10.9</v>
      </c>
      <c r="L757" s="1">
        <v>1.17</v>
      </c>
      <c r="M757" s="1">
        <v>1.53</v>
      </c>
      <c r="N757" s="1">
        <f>L780</f>
        <v>104.25631999999999</v>
      </c>
      <c r="P757" s="4">
        <f>N757+P756</f>
        <v>109.94302836363636</v>
      </c>
      <c r="Q757" s="1" t="s">
        <v>170</v>
      </c>
      <c r="R757" s="12">
        <f>(N757/0.3)+1</f>
        <v>348.52106666666663</v>
      </c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</row>
    <row r="758" spans="1:73" s="1" customFormat="1">
      <c r="G758" s="1">
        <f>SQRT(G757)</f>
        <v>1.8667886864881091</v>
      </c>
      <c r="K758" s="1">
        <v>9.6999999999999993</v>
      </c>
      <c r="L758" s="1">
        <v>1.04</v>
      </c>
      <c r="M758" s="1">
        <v>1.36</v>
      </c>
      <c r="N758" s="1">
        <f>L781</f>
        <v>0.23</v>
      </c>
      <c r="P758" s="8">
        <f>P757*4*0.888</f>
        <v>390.51763674763635</v>
      </c>
      <c r="R758" s="91">
        <f>R756*R757*0.617</f>
        <v>202.13524824533329</v>
      </c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</row>
    <row r="759" spans="1:73" s="1" customFormat="1">
      <c r="K759" s="1">
        <v>8.5</v>
      </c>
      <c r="L759" s="1">
        <v>0.91</v>
      </c>
      <c r="M759" s="1">
        <v>1.19</v>
      </c>
      <c r="N759" s="1">
        <f>L782</f>
        <v>0.23</v>
      </c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</row>
    <row r="760" spans="1:73" s="1" customFormat="1">
      <c r="E760" s="1">
        <v>1.43</v>
      </c>
      <c r="F760" s="1">
        <v>1.87</v>
      </c>
      <c r="K760" s="1">
        <v>7.2999999999999901</v>
      </c>
      <c r="L760" s="1">
        <v>0.78</v>
      </c>
      <c r="M760" s="1">
        <v>1.02</v>
      </c>
      <c r="N760" s="91">
        <f>(N757*N758*2)+(N757*N759)</f>
        <v>71.936860799999991</v>
      </c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</row>
    <row r="761" spans="1:73" s="1" customFormat="1">
      <c r="E761" s="1">
        <v>0.14000000000000001</v>
      </c>
      <c r="F761" s="4">
        <f>(E761*F760)/E760</f>
        <v>0.18307692307692311</v>
      </c>
      <c r="K761" s="1">
        <v>6.0999999999999899</v>
      </c>
      <c r="L761" s="1">
        <v>0.66</v>
      </c>
      <c r="M761" s="1">
        <v>0.86</v>
      </c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</row>
    <row r="762" spans="1:73" s="1" customFormat="1">
      <c r="K762" s="1">
        <v>4.8999999999999897</v>
      </c>
      <c r="L762" s="1">
        <v>0.53</v>
      </c>
      <c r="M762" s="1">
        <v>0.69</v>
      </c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</row>
    <row r="763" spans="1:73" s="1" customFormat="1">
      <c r="K763" s="1">
        <v>3.69999999999999</v>
      </c>
      <c r="L763" s="1">
        <v>0.4</v>
      </c>
      <c r="M763" s="1">
        <v>0.52</v>
      </c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</row>
    <row r="764" spans="1:73" s="1" customFormat="1">
      <c r="K764" s="1">
        <v>2.5</v>
      </c>
      <c r="L764" s="1">
        <v>0.27</v>
      </c>
      <c r="M764" s="1">
        <v>0.35</v>
      </c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</row>
    <row r="765" spans="1:73" s="1" customFormat="1">
      <c r="I765" s="1">
        <f>13.3/1.2</f>
        <v>11.083333333333334</v>
      </c>
      <c r="K765" s="1">
        <v>1.3</v>
      </c>
      <c r="L765" s="1">
        <v>0.14000000000000001</v>
      </c>
      <c r="M765" s="1">
        <v>0.18</v>
      </c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</row>
    <row r="766" spans="1:73" s="1" customFormat="1">
      <c r="L766" s="1">
        <f>SUM(L755:L765)</f>
        <v>8.6300000000000008</v>
      </c>
      <c r="M766" s="1">
        <f>SUM(M755:M765)</f>
        <v>11.269999999999998</v>
      </c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</row>
    <row r="769" spans="1:73" s="1" customFormat="1">
      <c r="L769" s="1">
        <f>L766+M766</f>
        <v>19.899999999999999</v>
      </c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</row>
    <row r="770" spans="1:73" s="1" customFormat="1" ht="15.75" thickBot="1"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</row>
    <row r="771" spans="1:73" s="1" customFormat="1" ht="19.5" thickBot="1">
      <c r="B771" s="203" t="s">
        <v>204</v>
      </c>
      <c r="C771" s="203"/>
      <c r="D771" s="203"/>
      <c r="E771" s="203"/>
      <c r="F771" s="50">
        <f>E777-I802</f>
        <v>383.40620000000001</v>
      </c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</row>
    <row r="772" spans="1:73" s="1" customFormat="1" ht="17.45" customHeight="1">
      <c r="L772" s="5"/>
      <c r="M772" s="5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</row>
    <row r="773" spans="1:73" s="1" customFormat="1">
      <c r="A773" s="1" t="s">
        <v>205</v>
      </c>
      <c r="C773" s="5" t="s">
        <v>49</v>
      </c>
      <c r="E773" s="1">
        <v>69.7</v>
      </c>
      <c r="F773" s="1">
        <v>70.099999999999994</v>
      </c>
      <c r="G773" s="1">
        <v>0</v>
      </c>
      <c r="H773" s="1">
        <v>0</v>
      </c>
      <c r="M773" s="5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</row>
    <row r="774" spans="1:73" s="1" customFormat="1">
      <c r="A774" s="1" t="s">
        <v>206</v>
      </c>
      <c r="C774" s="5" t="s">
        <v>206</v>
      </c>
      <c r="E774" s="1">
        <v>3.2</v>
      </c>
      <c r="F774" s="1">
        <v>3.35</v>
      </c>
      <c r="G774" s="1">
        <v>3.3</v>
      </c>
      <c r="H774" s="1">
        <v>3.3</v>
      </c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</row>
    <row r="775" spans="1:73" s="1" customFormat="1">
      <c r="E775" s="8">
        <f>E773*E774</f>
        <v>223.04000000000002</v>
      </c>
      <c r="F775" s="8">
        <f>F773*F774</f>
        <v>234.83499999999998</v>
      </c>
      <c r="G775" s="8">
        <f>G773*G774</f>
        <v>0</v>
      </c>
      <c r="H775" s="8">
        <f>H773*H774</f>
        <v>0</v>
      </c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</row>
    <row r="776" spans="1:73" s="1" customFormat="1">
      <c r="A776" s="5" t="s">
        <v>207</v>
      </c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</row>
    <row r="777" spans="1:73" s="1" customFormat="1">
      <c r="A777" s="1" t="s">
        <v>174</v>
      </c>
      <c r="E777" s="92">
        <f>SUM(E775:H775)</f>
        <v>457.875</v>
      </c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</row>
    <row r="779" spans="1:73" s="1" customFormat="1">
      <c r="A779" s="1" t="s">
        <v>50</v>
      </c>
      <c r="F779" s="1" t="s">
        <v>208</v>
      </c>
      <c r="G779" s="1" t="s">
        <v>209</v>
      </c>
      <c r="H779" s="1" t="s">
        <v>52</v>
      </c>
      <c r="K779" s="77" t="s">
        <v>207</v>
      </c>
      <c r="L779" s="93" t="s">
        <v>120</v>
      </c>
      <c r="N779" s="1">
        <v>58.5</v>
      </c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</row>
    <row r="780" spans="1:73" s="1" customFormat="1">
      <c r="A780" s="1" t="s">
        <v>210</v>
      </c>
      <c r="B780" s="1" t="s">
        <v>211</v>
      </c>
      <c r="E780" s="1" t="s">
        <v>212</v>
      </c>
      <c r="F780" s="4">
        <v>0.8</v>
      </c>
      <c r="G780" s="4">
        <v>1.8</v>
      </c>
      <c r="H780" s="1">
        <v>5</v>
      </c>
      <c r="I780" s="4">
        <f t="shared" ref="I780:I799" si="224">F780*G780*H780</f>
        <v>7.2000000000000011</v>
      </c>
      <c r="J780" s="1">
        <f t="shared" ref="J780:J786" si="225">(F780+G780)*2</f>
        <v>5.2</v>
      </c>
      <c r="K780" s="1" t="s">
        <v>49</v>
      </c>
      <c r="L780" s="4">
        <f>I802+(0.4*I802)</f>
        <v>104.25631999999999</v>
      </c>
      <c r="N780" s="1">
        <v>1.2749999999999999</v>
      </c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</row>
    <row r="781" spans="1:73" s="1" customFormat="1">
      <c r="B781" s="1" t="s">
        <v>213</v>
      </c>
      <c r="E781" s="1" t="s">
        <v>214</v>
      </c>
      <c r="F781" s="4">
        <v>0.8</v>
      </c>
      <c r="G781" s="4">
        <v>1.8</v>
      </c>
      <c r="H781" s="1">
        <v>4</v>
      </c>
      <c r="I781" s="4">
        <f t="shared" si="224"/>
        <v>5.7600000000000007</v>
      </c>
      <c r="J781" s="1">
        <f t="shared" si="225"/>
        <v>5.2</v>
      </c>
      <c r="K781" s="1" t="s">
        <v>50</v>
      </c>
      <c r="L781" s="1">
        <v>0.23</v>
      </c>
      <c r="N781" s="8">
        <f>N779*N780</f>
        <v>74.587499999999991</v>
      </c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</row>
    <row r="782" spans="1:73" s="1" customFormat="1">
      <c r="B782" s="1" t="s">
        <v>215</v>
      </c>
      <c r="E782" s="1" t="s">
        <v>216</v>
      </c>
      <c r="F782" s="4">
        <v>2</v>
      </c>
      <c r="G782" s="4">
        <v>1.8</v>
      </c>
      <c r="H782" s="1">
        <v>1</v>
      </c>
      <c r="I782" s="4">
        <f t="shared" si="224"/>
        <v>3.6</v>
      </c>
      <c r="J782" s="1">
        <f t="shared" si="225"/>
        <v>7.6</v>
      </c>
      <c r="K782" s="1" t="s">
        <v>51</v>
      </c>
      <c r="L782" s="1">
        <v>0.23</v>
      </c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</row>
    <row r="783" spans="1:73" s="1" customFormat="1">
      <c r="B783" s="1" t="s">
        <v>217</v>
      </c>
      <c r="E783" s="1" t="s">
        <v>218</v>
      </c>
      <c r="F783" s="4">
        <v>2.4</v>
      </c>
      <c r="G783" s="4">
        <v>1.8</v>
      </c>
      <c r="H783" s="1">
        <v>1</v>
      </c>
      <c r="I783" s="4">
        <f t="shared" si="224"/>
        <v>4.32</v>
      </c>
      <c r="J783" s="1">
        <f t="shared" si="225"/>
        <v>8.4</v>
      </c>
      <c r="L783" s="94">
        <f>ROUNDUP(L780*L781*L782,0)</f>
        <v>6</v>
      </c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</row>
    <row r="784" spans="1:73" s="1" customFormat="1">
      <c r="E784" s="1" t="s">
        <v>219</v>
      </c>
      <c r="F784" s="4">
        <v>1.2</v>
      </c>
      <c r="G784" s="4">
        <v>1.8</v>
      </c>
      <c r="H784" s="1">
        <v>2</v>
      </c>
      <c r="I784" s="4">
        <f t="shared" si="224"/>
        <v>4.32</v>
      </c>
      <c r="J784" s="1">
        <f t="shared" si="225"/>
        <v>6</v>
      </c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</row>
    <row r="785" spans="1:73" s="1" customFormat="1">
      <c r="E785" s="1" t="s">
        <v>220</v>
      </c>
      <c r="F785" s="4">
        <v>1.2</v>
      </c>
      <c r="G785" s="4">
        <v>1.8</v>
      </c>
      <c r="H785" s="1">
        <v>3</v>
      </c>
      <c r="I785" s="4">
        <f t="shared" si="224"/>
        <v>6.48</v>
      </c>
      <c r="J785" s="1">
        <f t="shared" si="225"/>
        <v>6</v>
      </c>
      <c r="P785" s="202" t="s">
        <v>181</v>
      </c>
      <c r="Q785" s="202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</row>
    <row r="786" spans="1:73" s="1" customFormat="1" ht="15" customHeight="1">
      <c r="E786" s="1" t="s">
        <v>221</v>
      </c>
      <c r="F786" s="4">
        <v>1.2</v>
      </c>
      <c r="G786" s="4">
        <v>1.8</v>
      </c>
      <c r="H786" s="1">
        <v>1</v>
      </c>
      <c r="I786" s="4">
        <f t="shared" si="224"/>
        <v>2.16</v>
      </c>
      <c r="J786" s="1">
        <f t="shared" si="225"/>
        <v>6</v>
      </c>
      <c r="M786" s="202" t="s">
        <v>178</v>
      </c>
      <c r="N786" s="202"/>
      <c r="O786" s="202"/>
      <c r="P786" s="4">
        <f>(N787/11)*0.6</f>
        <v>5.6867083636363631</v>
      </c>
      <c r="R786" s="1">
        <v>0.92</v>
      </c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</row>
    <row r="787" spans="1:73" s="1" customFormat="1">
      <c r="F787" s="4">
        <v>0.9</v>
      </c>
      <c r="G787" s="4">
        <v>1.2</v>
      </c>
      <c r="H787" s="1">
        <v>1</v>
      </c>
      <c r="I787" s="4">
        <f t="shared" si="224"/>
        <v>1.08</v>
      </c>
      <c r="N787" s="4">
        <f>L780</f>
        <v>104.25631999999999</v>
      </c>
      <c r="P787" s="4">
        <f>N787+P786</f>
        <v>109.94302836363636</v>
      </c>
      <c r="Q787" s="1" t="s">
        <v>170</v>
      </c>
      <c r="R787" s="12">
        <f>(N787/0.3)+1</f>
        <v>348.52106666666663</v>
      </c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</row>
    <row r="788" spans="1:73" s="1" customFormat="1">
      <c r="E788" s="1" t="s">
        <v>222</v>
      </c>
      <c r="F788" s="4">
        <v>1.5</v>
      </c>
      <c r="G788" s="4">
        <v>0.9</v>
      </c>
      <c r="H788" s="1">
        <v>1</v>
      </c>
      <c r="I788" s="4">
        <f t="shared" si="224"/>
        <v>1.35</v>
      </c>
      <c r="N788" s="1">
        <f>L815</f>
        <v>0.23</v>
      </c>
      <c r="P788" s="8">
        <f>P787*4*0.888</f>
        <v>390.51763674763635</v>
      </c>
      <c r="R788" s="91">
        <f>R786*R787*0.617</f>
        <v>197.83449828266663</v>
      </c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</row>
    <row r="789" spans="1:73" s="1" customFormat="1">
      <c r="E789" s="1" t="s">
        <v>223</v>
      </c>
      <c r="F789" s="4">
        <v>0.91</v>
      </c>
      <c r="G789" s="4">
        <v>2.1</v>
      </c>
      <c r="H789" s="1">
        <v>1</v>
      </c>
      <c r="I789" s="4">
        <f t="shared" si="224"/>
        <v>1.9110000000000003</v>
      </c>
      <c r="N789" s="1">
        <f>L816</f>
        <v>0.23</v>
      </c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</row>
    <row r="790" spans="1:73" s="1" customFormat="1">
      <c r="A790"/>
      <c r="E790" s="1" t="s">
        <v>223</v>
      </c>
      <c r="F790" s="4">
        <v>0.3</v>
      </c>
      <c r="G790" s="4">
        <v>3</v>
      </c>
      <c r="H790" s="1">
        <v>1</v>
      </c>
      <c r="I790" s="4">
        <f t="shared" si="224"/>
        <v>0.89999999999999991</v>
      </c>
      <c r="N790" s="91">
        <f>(N787*N788*2)+(N787*N789)</f>
        <v>71.936860799999991</v>
      </c>
      <c r="P790" s="8"/>
      <c r="R790" s="91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</row>
    <row r="791" spans="1:73" s="1" customFormat="1">
      <c r="A791"/>
      <c r="F791" s="4">
        <v>0.45</v>
      </c>
      <c r="G791" s="4">
        <v>0.9</v>
      </c>
      <c r="H791" s="1">
        <v>1</v>
      </c>
      <c r="I791" s="4">
        <f t="shared" si="224"/>
        <v>0.40500000000000003</v>
      </c>
      <c r="P791" s="8"/>
      <c r="R791" s="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</row>
    <row r="792" spans="1:73" s="1" customFormat="1">
      <c r="A792"/>
      <c r="F792" s="4">
        <v>0.45</v>
      </c>
      <c r="G792" s="4">
        <v>0.9</v>
      </c>
      <c r="H792" s="1">
        <v>2</v>
      </c>
      <c r="I792" s="4">
        <f t="shared" si="224"/>
        <v>0.81</v>
      </c>
      <c r="P792" s="8"/>
      <c r="R792" s="91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</row>
    <row r="793" spans="1:73" s="1" customFormat="1">
      <c r="A793"/>
      <c r="F793" s="4">
        <v>0.61</v>
      </c>
      <c r="G793" s="4">
        <v>1.22</v>
      </c>
      <c r="H793" s="1">
        <v>2</v>
      </c>
      <c r="I793" s="4">
        <f t="shared" si="224"/>
        <v>1.4883999999999999</v>
      </c>
      <c r="P793" s="8"/>
      <c r="R793" s="91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</row>
    <row r="794" spans="1:73" s="1" customFormat="1">
      <c r="A794"/>
      <c r="F794" s="4">
        <v>0.61</v>
      </c>
      <c r="G794" s="4">
        <v>1.22</v>
      </c>
      <c r="H794" s="1">
        <v>2</v>
      </c>
      <c r="I794" s="4">
        <f t="shared" si="224"/>
        <v>1.4883999999999999</v>
      </c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</row>
    <row r="795" spans="1:73" s="1" customFormat="1">
      <c r="A795"/>
      <c r="F795" s="4">
        <v>0.38</v>
      </c>
      <c r="G795" s="4">
        <v>1.1000000000000001</v>
      </c>
      <c r="H795" s="1">
        <v>2</v>
      </c>
      <c r="I795" s="4">
        <f t="shared" si="224"/>
        <v>0.83600000000000008</v>
      </c>
      <c r="N795" s="91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</row>
    <row r="796" spans="1:73" s="1" customFormat="1">
      <c r="A796"/>
      <c r="F796" s="4">
        <v>2.8</v>
      </c>
      <c r="G796" s="4">
        <v>2.4</v>
      </c>
      <c r="H796" s="1">
        <v>3</v>
      </c>
      <c r="I796" s="4">
        <f t="shared" si="224"/>
        <v>20.16</v>
      </c>
      <c r="N796" s="91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</row>
    <row r="797" spans="1:73" s="1" customFormat="1">
      <c r="A797"/>
      <c r="F797" s="4">
        <v>0.75</v>
      </c>
      <c r="G797" s="4">
        <v>2.4</v>
      </c>
      <c r="H797" s="1">
        <v>2</v>
      </c>
      <c r="I797" s="4">
        <f t="shared" si="224"/>
        <v>3.5999999999999996</v>
      </c>
      <c r="N797" s="91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</row>
    <row r="798" spans="1:73" s="1" customFormat="1">
      <c r="A798"/>
      <c r="F798" s="4">
        <v>1.2</v>
      </c>
      <c r="G798" s="4">
        <v>2.35</v>
      </c>
      <c r="H798" s="1">
        <v>1</v>
      </c>
      <c r="I798" s="4">
        <f t="shared" si="224"/>
        <v>2.82</v>
      </c>
      <c r="N798" s="91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</row>
    <row r="799" spans="1:73" s="1" customFormat="1">
      <c r="A799"/>
      <c r="F799" s="4">
        <v>0.9</v>
      </c>
      <c r="G799" s="4">
        <v>2.1</v>
      </c>
      <c r="H799" s="1">
        <v>2</v>
      </c>
      <c r="I799" s="4">
        <f t="shared" si="224"/>
        <v>3.7800000000000002</v>
      </c>
      <c r="N799" s="91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</row>
    <row r="800" spans="1:73" s="1" customFormat="1">
      <c r="A800"/>
      <c r="F800" s="4"/>
      <c r="G800" s="4"/>
      <c r="I800" s="4"/>
      <c r="N800" s="91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</row>
    <row r="801" spans="1:73" s="1" customFormat="1">
      <c r="A801"/>
      <c r="N801" s="9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</row>
    <row r="802" spans="1:73" s="1" customFormat="1">
      <c r="A802"/>
      <c r="I802" s="8">
        <f>SUM(I780:I799)</f>
        <v>74.468799999999987</v>
      </c>
      <c r="N802" s="91"/>
      <c r="P802" s="8"/>
      <c r="R802" s="91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</row>
    <row r="804" spans="1:73" s="1" customFormat="1" ht="15.75" thickBot="1">
      <c r="A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</row>
    <row r="805" spans="1:73" s="1" customFormat="1" ht="19.5" thickBot="1">
      <c r="A805"/>
      <c r="B805" s="203" t="s">
        <v>224</v>
      </c>
      <c r="C805" s="203"/>
      <c r="D805" s="203"/>
      <c r="E805" s="203"/>
      <c r="F805" s="50">
        <f>E811-I826</f>
        <v>54.265000000000001</v>
      </c>
      <c r="N805" s="1">
        <v>58.5</v>
      </c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</row>
    <row r="806" spans="1:73" s="1" customFormat="1">
      <c r="A806"/>
      <c r="L806" s="5" t="s">
        <v>225</v>
      </c>
      <c r="M806" s="5" t="s">
        <v>49</v>
      </c>
      <c r="N806" s="1">
        <v>1.2749999999999999</v>
      </c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</row>
    <row r="807" spans="1:73" s="1" customFormat="1">
      <c r="A807"/>
      <c r="C807" s="5" t="s">
        <v>49</v>
      </c>
      <c r="E807" s="1">
        <v>16.899999999999999</v>
      </c>
      <c r="F807" s="1">
        <v>2.5</v>
      </c>
      <c r="G807" s="1">
        <v>0</v>
      </c>
      <c r="H807" s="1">
        <v>0</v>
      </c>
      <c r="M807" s="5" t="s">
        <v>206</v>
      </c>
      <c r="N807" s="8">
        <f>N805*N806</f>
        <v>74.587499999999991</v>
      </c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</row>
    <row r="808" spans="1:73" s="1" customFormat="1">
      <c r="A808"/>
      <c r="C808" s="5" t="s">
        <v>206</v>
      </c>
      <c r="E808" s="1">
        <f>E774</f>
        <v>3.2</v>
      </c>
      <c r="F808" s="1">
        <f>F774</f>
        <v>3.35</v>
      </c>
      <c r="G808" s="1">
        <f>G774</f>
        <v>3.3</v>
      </c>
      <c r="H808" s="1">
        <f>H774</f>
        <v>3.3</v>
      </c>
      <c r="I808" s="95" t="s">
        <v>226</v>
      </c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</row>
    <row r="809" spans="1:73" s="1" customFormat="1">
      <c r="A809"/>
      <c r="E809" s="8">
        <f>E807*E808</f>
        <v>54.08</v>
      </c>
      <c r="F809" s="8">
        <f>F807*F808</f>
        <v>8.375</v>
      </c>
      <c r="G809" s="8">
        <f>G807*G808</f>
        <v>0</v>
      </c>
      <c r="H809" s="8">
        <f>H807*H808</f>
        <v>0</v>
      </c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</row>
    <row r="811" spans="1:73" s="1" customFormat="1">
      <c r="A811"/>
      <c r="E811" s="92">
        <f>SUM(E809:H809)</f>
        <v>62.454999999999998</v>
      </c>
      <c r="P811" s="1" t="s">
        <v>181</v>
      </c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</row>
    <row r="812" spans="1:73" s="1" customFormat="1">
      <c r="A812"/>
      <c r="N812" s="93" t="s">
        <v>178</v>
      </c>
      <c r="P812" s="4">
        <f>(N813/11)*0.6</f>
        <v>0.62541818181818176</v>
      </c>
      <c r="R812" s="1">
        <v>0.92</v>
      </c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</row>
    <row r="813" spans="1:73" s="1" customFormat="1">
      <c r="A813"/>
      <c r="F813" s="1" t="s">
        <v>208</v>
      </c>
      <c r="G813" s="1" t="s">
        <v>209</v>
      </c>
      <c r="H813" s="1" t="s">
        <v>52</v>
      </c>
      <c r="K813" s="77" t="s">
        <v>207</v>
      </c>
      <c r="L813" s="93" t="s">
        <v>120</v>
      </c>
      <c r="N813" s="4">
        <f>L814</f>
        <v>11.466000000000001</v>
      </c>
      <c r="P813" s="4">
        <f>N813+P812</f>
        <v>12.091418181818183</v>
      </c>
      <c r="Q813" s="1" t="s">
        <v>170</v>
      </c>
      <c r="R813" s="12">
        <f>(N813/0.3)+1</f>
        <v>39.220000000000006</v>
      </c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</row>
    <row r="814" spans="1:73" s="1" customFormat="1">
      <c r="A814"/>
      <c r="B814" s="1" t="s">
        <v>211</v>
      </c>
      <c r="E814" s="1" t="s">
        <v>227</v>
      </c>
      <c r="F814" s="4">
        <v>0.9</v>
      </c>
      <c r="G814" s="4">
        <v>2.1</v>
      </c>
      <c r="H814" s="1">
        <v>1</v>
      </c>
      <c r="I814" s="4">
        <f t="shared" ref="I814:I825" si="226">F814*G814*H814</f>
        <v>1.8900000000000001</v>
      </c>
      <c r="K814" s="1" t="s">
        <v>49</v>
      </c>
      <c r="L814" s="4">
        <f>I826+(0.4*I826)</f>
        <v>11.466000000000001</v>
      </c>
      <c r="N814" s="1">
        <f>L837</f>
        <v>0.23</v>
      </c>
      <c r="P814" s="4"/>
      <c r="R814" s="12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</row>
    <row r="815" spans="1:73" s="1" customFormat="1">
      <c r="A815"/>
      <c r="B815" s="1" t="s">
        <v>213</v>
      </c>
      <c r="E815" s="1" t="s">
        <v>228</v>
      </c>
      <c r="F815" s="4">
        <v>0.75</v>
      </c>
      <c r="G815" s="4">
        <v>2.1</v>
      </c>
      <c r="H815" s="1">
        <v>4</v>
      </c>
      <c r="I815" s="4">
        <f t="shared" si="226"/>
        <v>6.3000000000000007</v>
      </c>
      <c r="K815" s="1" t="s">
        <v>50</v>
      </c>
      <c r="L815" s="1">
        <v>0.23</v>
      </c>
      <c r="N815" s="1">
        <f>L838</f>
        <v>0.23</v>
      </c>
      <c r="P815" s="4"/>
      <c r="R815" s="12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</row>
    <row r="816" spans="1:73" s="1" customFormat="1">
      <c r="A816"/>
      <c r="B816" s="1" t="s">
        <v>215</v>
      </c>
      <c r="E816" s="1" t="s">
        <v>229</v>
      </c>
      <c r="F816" s="4">
        <v>0.9</v>
      </c>
      <c r="G816" s="4">
        <v>2.1</v>
      </c>
      <c r="I816" s="4">
        <f t="shared" si="226"/>
        <v>0</v>
      </c>
      <c r="K816" s="1" t="s">
        <v>51</v>
      </c>
      <c r="L816" s="1">
        <v>0.23</v>
      </c>
      <c r="N816" s="91">
        <f>(N813*N814*2)+(N813*N815)</f>
        <v>7.9115400000000005</v>
      </c>
      <c r="P816" s="4"/>
      <c r="R816" s="12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</row>
    <row r="817" spans="1:73" s="1" customFormat="1">
      <c r="A817"/>
      <c r="B817" s="1" t="s">
        <v>215</v>
      </c>
      <c r="E817" s="1" t="s">
        <v>229</v>
      </c>
      <c r="F817" s="4">
        <v>1.2</v>
      </c>
      <c r="G817" s="4">
        <v>2.4</v>
      </c>
      <c r="I817" s="4">
        <f t="shared" si="226"/>
        <v>0</v>
      </c>
      <c r="L817" s="94">
        <f>ROUNDUP(L814*L815*L816,0)</f>
        <v>1</v>
      </c>
      <c r="P817" s="8">
        <f>P813*4</f>
        <v>48.365672727272731</v>
      </c>
      <c r="R817" s="91">
        <f>R812*R813</f>
        <v>36.082400000000007</v>
      </c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</row>
    <row r="818" spans="1:73" s="1" customFormat="1">
      <c r="A818"/>
      <c r="B818" s="1" t="s">
        <v>215</v>
      </c>
      <c r="E818" s="1" t="s">
        <v>229</v>
      </c>
      <c r="F818" s="4">
        <v>1.28</v>
      </c>
      <c r="G818" s="4">
        <v>2.33</v>
      </c>
      <c r="I818" s="4">
        <f t="shared" si="226"/>
        <v>0</v>
      </c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</row>
    <row r="819" spans="1:73" s="1" customFormat="1">
      <c r="A819"/>
      <c r="B819" s="1" t="s">
        <v>215</v>
      </c>
      <c r="E819" s="1" t="s">
        <v>229</v>
      </c>
      <c r="F819" s="4">
        <v>4.29</v>
      </c>
      <c r="G819" s="4">
        <v>2.33</v>
      </c>
      <c r="I819" s="4">
        <f t="shared" si="226"/>
        <v>0</v>
      </c>
      <c r="N819" s="91"/>
      <c r="O819" s="1" t="s">
        <v>68</v>
      </c>
      <c r="P819" s="8">
        <f>P817*0.888</f>
        <v>42.948717381818184</v>
      </c>
      <c r="Q819" s="1" t="s">
        <v>108</v>
      </c>
      <c r="R819" s="91">
        <f>R817*0.617</f>
        <v>22.262840800000003</v>
      </c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</row>
    <row r="820" spans="1:73" s="1" customFormat="1">
      <c r="A820"/>
      <c r="B820" s="1" t="s">
        <v>215</v>
      </c>
      <c r="E820" s="1" t="s">
        <v>229</v>
      </c>
      <c r="F820" s="4">
        <v>2.4</v>
      </c>
      <c r="G820" s="4">
        <v>2.33</v>
      </c>
      <c r="I820" s="4">
        <f t="shared" si="226"/>
        <v>0</v>
      </c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</row>
    <row r="821" spans="1:73" s="1" customFormat="1">
      <c r="A821"/>
      <c r="F821" s="4">
        <v>1.2</v>
      </c>
      <c r="G821" s="4">
        <v>2.33</v>
      </c>
      <c r="I821" s="4">
        <f t="shared" si="226"/>
        <v>0</v>
      </c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</row>
    <row r="822" spans="1:73" s="1" customFormat="1">
      <c r="A822"/>
      <c r="B822" s="1" t="s">
        <v>217</v>
      </c>
      <c r="E822" s="1" t="s">
        <v>223</v>
      </c>
      <c r="F822" s="4">
        <v>0.97</v>
      </c>
      <c r="G822" s="4">
        <v>2.33</v>
      </c>
      <c r="I822" s="4">
        <f t="shared" si="226"/>
        <v>0</v>
      </c>
      <c r="L822" s="8">
        <f>ROUNDUP(L814*L815*L816,0)</f>
        <v>1</v>
      </c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</row>
    <row r="823" spans="1:73" s="1" customFormat="1">
      <c r="A823"/>
      <c r="F823" s="4">
        <v>1.27</v>
      </c>
      <c r="G823" s="4">
        <v>2.33</v>
      </c>
      <c r="I823" s="4">
        <f t="shared" si="226"/>
        <v>0</v>
      </c>
      <c r="L823" s="8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</row>
    <row r="824" spans="1:73" s="1" customFormat="1">
      <c r="A824"/>
      <c r="F824" s="4">
        <v>1.2</v>
      </c>
      <c r="G824" s="4">
        <v>1.8</v>
      </c>
      <c r="I824" s="4">
        <f t="shared" si="226"/>
        <v>0</v>
      </c>
      <c r="L824" s="8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</row>
    <row r="825" spans="1:73" s="1" customFormat="1">
      <c r="A825"/>
      <c r="F825" s="4">
        <v>0.6</v>
      </c>
      <c r="G825" s="4">
        <v>0.9</v>
      </c>
      <c r="I825" s="4">
        <f t="shared" si="226"/>
        <v>0</v>
      </c>
      <c r="L825" s="8"/>
      <c r="P825" s="4">
        <f>P819+P837</f>
        <v>173.05815963927273</v>
      </c>
      <c r="R825" s="4">
        <f>R819+R837</f>
        <v>89.995341116000006</v>
      </c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</row>
    <row r="826" spans="1:73" s="1" customFormat="1" ht="15.75" thickBot="1">
      <c r="A826"/>
      <c r="I826" s="8">
        <f>SUM(I814:I825)</f>
        <v>8.1900000000000013</v>
      </c>
      <c r="N826" s="1">
        <v>58.5</v>
      </c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</row>
    <row r="827" spans="1:73" s="1" customFormat="1" ht="19.5" thickBot="1">
      <c r="A827"/>
      <c r="B827" s="203" t="s">
        <v>230</v>
      </c>
      <c r="C827" s="203"/>
      <c r="D827" s="203"/>
      <c r="E827" s="203"/>
      <c r="F827" s="50">
        <f>E833-I843</f>
        <v>254.78910000000002</v>
      </c>
      <c r="G827" s="4"/>
      <c r="I827" s="4"/>
      <c r="N827" s="1">
        <v>1.2749999999999999</v>
      </c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</row>
    <row r="828" spans="1:73" s="1" customFormat="1">
      <c r="A828"/>
      <c r="L828" s="5" t="s">
        <v>225</v>
      </c>
      <c r="M828" s="5" t="s">
        <v>49</v>
      </c>
      <c r="N828" s="8">
        <f>N826*N827</f>
        <v>74.587499999999991</v>
      </c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</row>
    <row r="829" spans="1:73" s="1" customFormat="1">
      <c r="A829"/>
      <c r="C829" s="5" t="s">
        <v>49</v>
      </c>
      <c r="E829" s="1">
        <v>38.799999999999997</v>
      </c>
      <c r="F829" s="1">
        <v>46.4</v>
      </c>
      <c r="G829" s="1">
        <v>0</v>
      </c>
      <c r="H829" s="1">
        <v>0</v>
      </c>
      <c r="M829" s="5" t="s">
        <v>206</v>
      </c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</row>
    <row r="830" spans="1:73" s="1" customFormat="1">
      <c r="A830"/>
      <c r="C830" s="5" t="s">
        <v>206</v>
      </c>
      <c r="E830" s="1">
        <f>E774</f>
        <v>3.2</v>
      </c>
      <c r="F830" s="1">
        <f>F774</f>
        <v>3.35</v>
      </c>
      <c r="G830" s="1">
        <v>3</v>
      </c>
      <c r="H830" s="1">
        <v>3</v>
      </c>
      <c r="I830" s="95" t="s">
        <v>226</v>
      </c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</row>
    <row r="831" spans="1:73" s="1" customFormat="1">
      <c r="A831"/>
      <c r="E831" s="8">
        <f>E829*E830</f>
        <v>124.16</v>
      </c>
      <c r="F831" s="8">
        <f>F829*F830</f>
        <v>155.44</v>
      </c>
      <c r="G831" s="8">
        <f>G829*G830</f>
        <v>0</v>
      </c>
      <c r="H831" s="8">
        <f>H829*H830</f>
        <v>0</v>
      </c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</row>
    <row r="832" spans="1:73" s="1" customFormat="1">
      <c r="A832"/>
      <c r="P832" s="1" t="s">
        <v>181</v>
      </c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</row>
    <row r="833" spans="1:73" s="1" customFormat="1">
      <c r="A833"/>
      <c r="E833" s="92">
        <f>SUM(E831:H831)</f>
        <v>279.60000000000002</v>
      </c>
      <c r="N833" s="93" t="s">
        <v>178</v>
      </c>
      <c r="P833" s="4">
        <f>(N834/11)*0.6</f>
        <v>1.8946505454545455</v>
      </c>
      <c r="R833" s="1">
        <v>0.94</v>
      </c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</row>
    <row r="834" spans="1:73" s="1" customFormat="1">
      <c r="A834"/>
      <c r="N834" s="4">
        <f>L836</f>
        <v>34.735260000000004</v>
      </c>
      <c r="P834" s="4">
        <f>N834+P833</f>
        <v>36.62991054545455</v>
      </c>
      <c r="Q834" s="1" t="s">
        <v>170</v>
      </c>
      <c r="R834" s="12">
        <f>(N834/0.3)+1</f>
        <v>116.78420000000001</v>
      </c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</row>
    <row r="835" spans="1:73" s="1" customFormat="1">
      <c r="A835"/>
      <c r="F835" s="1" t="s">
        <v>208</v>
      </c>
      <c r="G835" s="1" t="s">
        <v>209</v>
      </c>
      <c r="H835" s="1" t="s">
        <v>52</v>
      </c>
      <c r="K835" s="77" t="s">
        <v>207</v>
      </c>
      <c r="L835" s="93" t="s">
        <v>120</v>
      </c>
      <c r="N835" s="1">
        <f>L858</f>
        <v>0.23</v>
      </c>
      <c r="P835" s="8">
        <f>P834*4</f>
        <v>146.5196421818182</v>
      </c>
      <c r="R835" s="91">
        <f>R833*R834</f>
        <v>109.77714800000001</v>
      </c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</row>
    <row r="836" spans="1:73" s="1" customFormat="1">
      <c r="A836"/>
      <c r="B836" s="1" t="s">
        <v>211</v>
      </c>
      <c r="E836" s="1" t="s">
        <v>227</v>
      </c>
      <c r="F836" s="4">
        <v>2.8</v>
      </c>
      <c r="G836" s="4">
        <v>2.4</v>
      </c>
      <c r="I836" s="4">
        <f t="shared" ref="I836:I842" si="227">F836*G836*H836</f>
        <v>0</v>
      </c>
      <c r="K836" s="1" t="s">
        <v>49</v>
      </c>
      <c r="L836" s="4">
        <f>I843+(0.4*I843)</f>
        <v>34.735260000000004</v>
      </c>
      <c r="N836" s="1">
        <f>L859</f>
        <v>0.23</v>
      </c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</row>
    <row r="837" spans="1:73" s="1" customFormat="1">
      <c r="A837"/>
      <c r="B837" s="1" t="s">
        <v>213</v>
      </c>
      <c r="E837" s="1" t="s">
        <v>228</v>
      </c>
      <c r="F837" s="4">
        <v>0.75</v>
      </c>
      <c r="G837" s="4">
        <v>2.4</v>
      </c>
      <c r="H837" s="1">
        <v>5</v>
      </c>
      <c r="I837" s="4">
        <f t="shared" si="227"/>
        <v>9</v>
      </c>
      <c r="K837" s="1" t="s">
        <v>50</v>
      </c>
      <c r="L837" s="1">
        <v>0.23</v>
      </c>
      <c r="N837" s="91">
        <f>(N834*N835*2)+(N834*N836)</f>
        <v>23.967329400000004</v>
      </c>
      <c r="O837" s="1" t="s">
        <v>68</v>
      </c>
      <c r="P837" s="8">
        <f>P835*0.888</f>
        <v>130.10944225745456</v>
      </c>
      <c r="Q837" s="1" t="s">
        <v>108</v>
      </c>
      <c r="R837" s="91">
        <f>R835*0.617</f>
        <v>67.732500315999999</v>
      </c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</row>
    <row r="838" spans="1:73" s="1" customFormat="1">
      <c r="A838"/>
      <c r="F838" s="4">
        <v>1.2</v>
      </c>
      <c r="G838" s="4">
        <v>2.35</v>
      </c>
      <c r="I838" s="4">
        <f t="shared" si="227"/>
        <v>0</v>
      </c>
      <c r="K838" s="1" t="s">
        <v>51</v>
      </c>
      <c r="L838" s="1">
        <v>0.23</v>
      </c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</row>
    <row r="839" spans="1:73" s="1" customFormat="1">
      <c r="A839"/>
      <c r="F839" s="4">
        <v>0.9</v>
      </c>
      <c r="G839" s="4">
        <v>2.1</v>
      </c>
      <c r="H839" s="1">
        <v>5</v>
      </c>
      <c r="I839" s="4">
        <f t="shared" si="227"/>
        <v>9.4500000000000011</v>
      </c>
      <c r="L839" s="94">
        <f>ROUNDUP(L836*L837*L838,0)</f>
        <v>2</v>
      </c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</row>
    <row r="840" spans="1:73" s="1" customFormat="1">
      <c r="A840"/>
      <c r="F840" s="4">
        <v>1.83</v>
      </c>
      <c r="G840" s="4">
        <v>2.33</v>
      </c>
      <c r="H840" s="1">
        <v>1</v>
      </c>
      <c r="I840" s="4">
        <f t="shared" si="227"/>
        <v>4.2639000000000005</v>
      </c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</row>
    <row r="841" spans="1:73" s="1" customFormat="1">
      <c r="A841"/>
      <c r="B841" s="1" t="s">
        <v>215</v>
      </c>
      <c r="E841" s="1" t="s">
        <v>229</v>
      </c>
      <c r="F841" s="4">
        <v>0.9</v>
      </c>
      <c r="G841" s="4">
        <v>2.33</v>
      </c>
      <c r="H841" s="1">
        <v>1</v>
      </c>
      <c r="I841" s="4">
        <f t="shared" si="227"/>
        <v>2.097</v>
      </c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</row>
    <row r="842" spans="1:73" s="1" customFormat="1">
      <c r="A842"/>
      <c r="B842" s="1" t="s">
        <v>217</v>
      </c>
      <c r="E842" s="1" t="s">
        <v>223</v>
      </c>
      <c r="F842" s="4">
        <v>0.75</v>
      </c>
      <c r="G842" s="4">
        <v>2.1</v>
      </c>
      <c r="I842" s="4">
        <f t="shared" si="227"/>
        <v>0</v>
      </c>
      <c r="L842" s="8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</row>
    <row r="843" spans="1:73" s="1" customFormat="1">
      <c r="A843"/>
      <c r="I843" s="8">
        <f>SUM(I836:I842)</f>
        <v>24.810900000000004</v>
      </c>
      <c r="R843" s="1">
        <v>457.8</v>
      </c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</row>
    <row r="844" spans="1:73" s="1" customFormat="1">
      <c r="A844"/>
      <c r="F844" s="4"/>
      <c r="G844" s="4"/>
      <c r="I844" s="4"/>
      <c r="R844" s="1">
        <v>7.56</v>
      </c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</row>
    <row r="845" spans="1:73" s="1" customFormat="1">
      <c r="A845"/>
      <c r="F845" s="4"/>
      <c r="G845" s="4"/>
      <c r="I845" s="4"/>
      <c r="R845" s="1">
        <v>28.35</v>
      </c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</row>
    <row r="846" spans="1:73" s="1" customFormat="1">
      <c r="A846"/>
      <c r="G846" s="5" t="s">
        <v>231</v>
      </c>
      <c r="I846" s="1" t="s">
        <v>232</v>
      </c>
      <c r="R846" s="1">
        <v>5.4</v>
      </c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</row>
    <row r="847" spans="1:73" s="1" customFormat="1">
      <c r="A847"/>
      <c r="C847" s="5" t="s">
        <v>233</v>
      </c>
      <c r="D847" s="4">
        <f>F827*2</f>
        <v>509.57820000000004</v>
      </c>
      <c r="E847" s="91">
        <f>D847+D848</f>
        <v>509.57820000000004</v>
      </c>
      <c r="R847" s="1">
        <f>R843-R844-R845-R846</f>
        <v>416.49</v>
      </c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</row>
    <row r="849" spans="1:73" s="1" customFormat="1">
      <c r="A849"/>
      <c r="G849" s="5" t="s">
        <v>230</v>
      </c>
      <c r="I849" s="84">
        <f>E854-I861</f>
        <v>189.7</v>
      </c>
      <c r="L849" s="5" t="s">
        <v>225</v>
      </c>
      <c r="M849" s="5" t="s">
        <v>49</v>
      </c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</row>
    <row r="850" spans="1:73" s="1" customFormat="1">
      <c r="A850"/>
      <c r="C850" s="5" t="s">
        <v>49</v>
      </c>
      <c r="E850" s="1">
        <v>32.6</v>
      </c>
      <c r="F850" s="1">
        <v>30</v>
      </c>
      <c r="G850" s="1">
        <v>0</v>
      </c>
      <c r="H850" s="1">
        <v>0</v>
      </c>
      <c r="M850" s="5" t="s">
        <v>206</v>
      </c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</row>
    <row r="851" spans="1:73" s="1" customFormat="1">
      <c r="A851"/>
      <c r="C851" s="5" t="s">
        <v>206</v>
      </c>
      <c r="E851" s="1">
        <f>E830</f>
        <v>3.2</v>
      </c>
      <c r="F851" s="1">
        <f>F830</f>
        <v>3.35</v>
      </c>
      <c r="G851" s="1">
        <v>3</v>
      </c>
      <c r="H851" s="1">
        <v>3</v>
      </c>
      <c r="N851" s="1">
        <v>9.15</v>
      </c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</row>
    <row r="852" spans="1:73" s="1" customFormat="1">
      <c r="A852"/>
      <c r="E852" s="8">
        <f>E850*E851</f>
        <v>104.32000000000001</v>
      </c>
      <c r="F852" s="8">
        <f>F850*F851</f>
        <v>100.5</v>
      </c>
      <c r="G852" s="8">
        <f>G850*G851</f>
        <v>0</v>
      </c>
      <c r="H852" s="8">
        <f>H850*H851</f>
        <v>0</v>
      </c>
      <c r="N852" s="1">
        <v>7.79</v>
      </c>
      <c r="P852" s="1">
        <v>21.85</v>
      </c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</row>
    <row r="853" spans="1:73" s="1" customFormat="1">
      <c r="A853"/>
      <c r="N853" s="1">
        <v>10.11</v>
      </c>
      <c r="P853" s="1">
        <v>3</v>
      </c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</row>
    <row r="854" spans="1:73" s="1" customFormat="1">
      <c r="A854"/>
      <c r="E854" s="92">
        <f>SUM(E852:H852)</f>
        <v>204.82</v>
      </c>
      <c r="N854" s="1">
        <v>9.43</v>
      </c>
      <c r="P854" s="5">
        <f>P852*P853</f>
        <v>65.550000000000011</v>
      </c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</row>
    <row r="855" spans="1:73" s="1" customFormat="1">
      <c r="A855"/>
      <c r="N855" s="1">
        <v>7.15</v>
      </c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</row>
    <row r="856" spans="1:73" s="1" customFormat="1">
      <c r="A856"/>
      <c r="F856" s="1" t="s">
        <v>208</v>
      </c>
      <c r="G856" s="1" t="s">
        <v>209</v>
      </c>
      <c r="H856" s="1" t="s">
        <v>52</v>
      </c>
      <c r="K856" s="77" t="s">
        <v>207</v>
      </c>
      <c r="L856" s="93" t="s">
        <v>120</v>
      </c>
      <c r="N856" s="1">
        <v>6.31</v>
      </c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</row>
    <row r="857" spans="1:73" s="1" customFormat="1">
      <c r="A857"/>
      <c r="B857" s="1" t="s">
        <v>211</v>
      </c>
      <c r="E857" s="1" t="s">
        <v>227</v>
      </c>
      <c r="F857" s="4">
        <v>1.5</v>
      </c>
      <c r="G857" s="4">
        <v>2.1</v>
      </c>
      <c r="H857" s="1">
        <v>0</v>
      </c>
      <c r="I857" s="4">
        <f>F857*G857*H857</f>
        <v>0</v>
      </c>
      <c r="K857" s="1" t="s">
        <v>49</v>
      </c>
      <c r="L857" s="1">
        <f>(8*F859)</f>
        <v>7.2</v>
      </c>
      <c r="N857" s="1">
        <f>SUM(N851:N856)</f>
        <v>49.940000000000005</v>
      </c>
      <c r="O857" s="1" t="s">
        <v>229</v>
      </c>
      <c r="P857" s="4">
        <v>0.9</v>
      </c>
      <c r="Q857" s="4">
        <v>2.1</v>
      </c>
      <c r="R857" s="1">
        <v>2</v>
      </c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</row>
    <row r="858" spans="1:73" s="1" customFormat="1">
      <c r="A858"/>
      <c r="B858" s="1" t="s">
        <v>213</v>
      </c>
      <c r="E858" s="1" t="s">
        <v>228</v>
      </c>
      <c r="F858" s="4">
        <v>1.5</v>
      </c>
      <c r="G858" s="4">
        <v>2.5</v>
      </c>
      <c r="H858" s="1">
        <v>0</v>
      </c>
      <c r="I858" s="4">
        <f>F858*G858*H858</f>
        <v>0</v>
      </c>
      <c r="K858" s="1" t="s">
        <v>50</v>
      </c>
      <c r="L858" s="1">
        <v>0.23</v>
      </c>
      <c r="N858" s="1">
        <v>3</v>
      </c>
      <c r="O858" s="1" t="s">
        <v>216</v>
      </c>
      <c r="P858" s="4">
        <v>1.2</v>
      </c>
      <c r="Q858" s="4">
        <v>0.9</v>
      </c>
      <c r="R858" s="1">
        <v>1</v>
      </c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</row>
    <row r="859" spans="1:73" s="1" customFormat="1">
      <c r="A859"/>
      <c r="B859" s="1" t="s">
        <v>215</v>
      </c>
      <c r="E859" s="1" t="s">
        <v>229</v>
      </c>
      <c r="F859" s="4">
        <v>0.9</v>
      </c>
      <c r="G859" s="4">
        <v>2.1</v>
      </c>
      <c r="H859" s="1">
        <v>8</v>
      </c>
      <c r="I859" s="4">
        <f>F859*G859*H859</f>
        <v>15.120000000000001</v>
      </c>
      <c r="K859" s="1" t="s">
        <v>51</v>
      </c>
      <c r="L859" s="1">
        <v>0.23</v>
      </c>
      <c r="N859" s="5">
        <f>N857*N858</f>
        <v>149.82000000000002</v>
      </c>
      <c r="O859" s="1" t="s">
        <v>212</v>
      </c>
      <c r="P859" s="4">
        <v>0.6</v>
      </c>
      <c r="Q859" s="4">
        <v>0.6</v>
      </c>
      <c r="R859" s="1">
        <v>6</v>
      </c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</row>
    <row r="860" spans="1:73" s="1" customFormat="1">
      <c r="A860"/>
      <c r="B860" s="1" t="s">
        <v>217</v>
      </c>
      <c r="E860" s="1" t="s">
        <v>223</v>
      </c>
      <c r="F860" s="4">
        <v>0.75</v>
      </c>
      <c r="G860" s="4">
        <v>2.1</v>
      </c>
      <c r="H860" s="1">
        <v>0</v>
      </c>
      <c r="I860" s="4">
        <f>F860*G860*H860</f>
        <v>0</v>
      </c>
      <c r="L860" s="8">
        <f>ROUNDUP(L857*L858*L859,0)</f>
        <v>1</v>
      </c>
      <c r="O860" s="1" t="s">
        <v>223</v>
      </c>
      <c r="P860" s="4">
        <v>0.75</v>
      </c>
      <c r="Q860" s="4">
        <v>2.1</v>
      </c>
      <c r="R860" s="1">
        <v>6</v>
      </c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</row>
    <row r="861" spans="1:73" s="1" customFormat="1">
      <c r="A861"/>
      <c r="I861" s="8">
        <f>SUM(I857:I860)</f>
        <v>15.120000000000001</v>
      </c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</row>
    <row r="862" spans="1:73" s="1" customFormat="1">
      <c r="A862"/>
      <c r="F862" s="4"/>
      <c r="G862" s="4"/>
      <c r="I862" s="4"/>
      <c r="P862" s="1">
        <f>N859+P854</f>
        <v>215.37000000000003</v>
      </c>
      <c r="V862" s="1">
        <v>1.2</v>
      </c>
      <c r="W862" s="1">
        <v>2.85</v>
      </c>
      <c r="X862" s="1">
        <f>W862*V862*3</f>
        <v>10.26</v>
      </c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</row>
    <row r="863" spans="1:73" s="1" customFormat="1">
      <c r="A863"/>
      <c r="F863" s="4"/>
      <c r="G863" s="4"/>
      <c r="I863" s="4"/>
      <c r="P863" s="1">
        <f>P862-S885</f>
        <v>198.90000000000003</v>
      </c>
      <c r="V863" s="1">
        <v>1.2</v>
      </c>
      <c r="W863" s="1">
        <v>4.5</v>
      </c>
      <c r="X863" s="1">
        <f>W863*V863*3</f>
        <v>16.2</v>
      </c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</row>
    <row r="864" spans="1:73" s="1" customFormat="1">
      <c r="A864"/>
      <c r="G864" s="5" t="s">
        <v>231</v>
      </c>
      <c r="I864" s="1" t="s">
        <v>232</v>
      </c>
      <c r="P864" s="1">
        <f>P863*6</f>
        <v>1193.4000000000001</v>
      </c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</row>
    <row r="865" spans="1:73" s="1" customFormat="1">
      <c r="A865"/>
      <c r="C865" s="5" t="s">
        <v>233</v>
      </c>
      <c r="D865" s="4">
        <f>I849*2</f>
        <v>379.4</v>
      </c>
      <c r="E865" s="91">
        <f>D865+D867+D866</f>
        <v>1272.3843999999999</v>
      </c>
      <c r="X865" s="1">
        <f>SUM(X862:X863)</f>
        <v>26.46</v>
      </c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</row>
    <row r="866" spans="1:73" s="1" customFormat="1">
      <c r="A866"/>
      <c r="C866" s="5"/>
      <c r="D866" s="4">
        <f>F827*2</f>
        <v>509.57820000000004</v>
      </c>
      <c r="E866" s="91"/>
      <c r="T866" s="1">
        <v>0.5</v>
      </c>
      <c r="U866" s="1">
        <v>0.15</v>
      </c>
      <c r="V866" s="1">
        <v>0.3</v>
      </c>
      <c r="W866" s="1">
        <v>37</v>
      </c>
      <c r="X866" s="1">
        <v>3</v>
      </c>
      <c r="Y866" s="1">
        <f>X866*W866*V866*T866*U866</f>
        <v>2.4974999999999996</v>
      </c>
      <c r="Z866" s="1">
        <f>Y866*0.3</f>
        <v>0.74924999999999986</v>
      </c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</row>
    <row r="867" spans="1:73" s="1" customFormat="1">
      <c r="A867"/>
      <c r="D867" s="4">
        <f>F771</f>
        <v>383.40620000000001</v>
      </c>
      <c r="V867" s="1">
        <v>1.28</v>
      </c>
      <c r="W867" s="1">
        <v>39</v>
      </c>
      <c r="X867" s="1">
        <v>3</v>
      </c>
      <c r="Y867" s="1">
        <f>X867*W867*V867</f>
        <v>149.76</v>
      </c>
      <c r="Z867" s="1">
        <f>Y867*0.15</f>
        <v>22.463999999999999</v>
      </c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</row>
    <row r="868" spans="1:73" s="1" customFormat="1">
      <c r="A868"/>
      <c r="D868" s="8"/>
      <c r="E868" s="5" t="s">
        <v>36</v>
      </c>
      <c r="N868" s="8">
        <f>M889-M893</f>
        <v>64.2</v>
      </c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</row>
    <row r="869" spans="1:73" s="1" customFormat="1">
      <c r="A869"/>
      <c r="F869" s="1" t="str">
        <f t="shared" ref="F869:I875" si="228">E780</f>
        <v>W1</v>
      </c>
      <c r="G869" s="4">
        <f t="shared" si="228"/>
        <v>0.8</v>
      </c>
      <c r="H869" s="4">
        <f t="shared" si="228"/>
        <v>1.8</v>
      </c>
      <c r="I869" s="1">
        <f t="shared" si="228"/>
        <v>5</v>
      </c>
      <c r="J869" s="4">
        <f t="shared" ref="J869:J875" si="229">((G869+H869)*2)*I869</f>
        <v>26</v>
      </c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</row>
    <row r="870" spans="1:73" s="1" customFormat="1">
      <c r="A870"/>
      <c r="B870"/>
      <c r="F870" s="1" t="str">
        <f t="shared" si="228"/>
        <v>W2</v>
      </c>
      <c r="G870" s="4">
        <f t="shared" si="228"/>
        <v>0.8</v>
      </c>
      <c r="H870" s="4">
        <f t="shared" si="228"/>
        <v>1.8</v>
      </c>
      <c r="I870" s="1">
        <f t="shared" si="228"/>
        <v>4</v>
      </c>
      <c r="J870" s="4">
        <f t="shared" si="229"/>
        <v>20.8</v>
      </c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</row>
    <row r="871" spans="1:73" s="1" customFormat="1">
      <c r="A871"/>
      <c r="B871"/>
      <c r="F871" s="1" t="str">
        <f t="shared" si="228"/>
        <v>W3</v>
      </c>
      <c r="G871" s="4">
        <f t="shared" si="228"/>
        <v>2</v>
      </c>
      <c r="H871" s="4">
        <f t="shared" si="228"/>
        <v>1.8</v>
      </c>
      <c r="I871" s="1">
        <f t="shared" si="228"/>
        <v>1</v>
      </c>
      <c r="J871" s="4">
        <f t="shared" si="229"/>
        <v>7.6</v>
      </c>
      <c r="U871" s="1" t="s">
        <v>234</v>
      </c>
      <c r="W871" s="1">
        <v>9</v>
      </c>
      <c r="X871" s="1">
        <v>0.23</v>
      </c>
      <c r="Y871" s="1">
        <v>0.35</v>
      </c>
      <c r="Z871" s="1">
        <f>(W871*X871*2)+(W871*Y871*2)</f>
        <v>10.440000000000001</v>
      </c>
      <c r="AA871" s="1">
        <f>Z871*17</f>
        <v>177.48000000000002</v>
      </c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</row>
    <row r="872" spans="1:73" s="1" customFormat="1">
      <c r="A872"/>
      <c r="B872"/>
      <c r="F872" s="1" t="str">
        <f t="shared" si="228"/>
        <v>W4</v>
      </c>
      <c r="G872" s="4">
        <f t="shared" si="228"/>
        <v>2.4</v>
      </c>
      <c r="H872" s="4">
        <f t="shared" si="228"/>
        <v>1.8</v>
      </c>
      <c r="I872" s="1">
        <f t="shared" si="228"/>
        <v>1</v>
      </c>
      <c r="J872" s="4">
        <f t="shared" si="229"/>
        <v>8.4</v>
      </c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</row>
    <row r="873" spans="1:73" s="1" customFormat="1">
      <c r="A873"/>
      <c r="B873"/>
      <c r="F873" s="1" t="str">
        <f t="shared" si="228"/>
        <v>W5</v>
      </c>
      <c r="G873" s="4">
        <f t="shared" si="228"/>
        <v>1.2</v>
      </c>
      <c r="H873" s="4">
        <f t="shared" si="228"/>
        <v>1.8</v>
      </c>
      <c r="I873" s="1">
        <f t="shared" si="228"/>
        <v>2</v>
      </c>
      <c r="J873" s="4">
        <f t="shared" si="229"/>
        <v>12</v>
      </c>
      <c r="U873" s="1" t="s">
        <v>235</v>
      </c>
      <c r="V873" s="1">
        <v>33</v>
      </c>
      <c r="W873" s="1">
        <v>0.45</v>
      </c>
      <c r="X873" s="1">
        <v>4</v>
      </c>
      <c r="Y873" s="1">
        <f>V873*W873*X873</f>
        <v>59.4</v>
      </c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</row>
    <row r="874" spans="1:73" s="1" customFormat="1">
      <c r="A874"/>
      <c r="B874"/>
      <c r="F874" s="1" t="str">
        <f t="shared" si="228"/>
        <v>W6</v>
      </c>
      <c r="G874" s="4">
        <f t="shared" si="228"/>
        <v>1.2</v>
      </c>
      <c r="H874" s="4">
        <f t="shared" si="228"/>
        <v>1.8</v>
      </c>
      <c r="I874" s="1">
        <f t="shared" si="228"/>
        <v>3</v>
      </c>
      <c r="J874" s="4">
        <f t="shared" si="229"/>
        <v>18</v>
      </c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</row>
    <row r="875" spans="1:73" s="1" customFormat="1">
      <c r="A875"/>
      <c r="B875"/>
      <c r="F875" s="1" t="str">
        <f t="shared" si="228"/>
        <v>W7</v>
      </c>
      <c r="G875" s="4">
        <f t="shared" si="228"/>
        <v>1.2</v>
      </c>
      <c r="H875" s="4">
        <f t="shared" si="228"/>
        <v>1.8</v>
      </c>
      <c r="I875" s="1">
        <f t="shared" si="228"/>
        <v>1</v>
      </c>
      <c r="J875" s="4">
        <f t="shared" si="229"/>
        <v>6</v>
      </c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</row>
    <row r="876" spans="1:73" s="1" customFormat="1">
      <c r="A876"/>
      <c r="B876"/>
      <c r="F876" s="1" t="str">
        <f>E788</f>
        <v>D3</v>
      </c>
      <c r="G876" s="4">
        <f>F787</f>
        <v>0.9</v>
      </c>
      <c r="H876" s="4">
        <f>G787</f>
        <v>1.2</v>
      </c>
      <c r="I876" s="1">
        <f>H787</f>
        <v>1</v>
      </c>
      <c r="J876" s="4">
        <f>((G876*2)+H876)*I876</f>
        <v>3</v>
      </c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</row>
    <row r="877" spans="1:73" s="1" customFormat="1">
      <c r="A877"/>
      <c r="B877"/>
      <c r="F877" s="1" t="str">
        <f>E789</f>
        <v>D1</v>
      </c>
      <c r="G877" s="4">
        <f>F788</f>
        <v>1.5</v>
      </c>
      <c r="H877" s="4">
        <f>G789</f>
        <v>2.1</v>
      </c>
      <c r="J877" s="4">
        <f>((G877*2)+H877)*I877</f>
        <v>0</v>
      </c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</row>
    <row r="878" spans="1:73" s="1" customFormat="1">
      <c r="A878"/>
      <c r="B878"/>
      <c r="F878" s="1">
        <f>E802</f>
        <v>0</v>
      </c>
      <c r="G878" s="4">
        <f>F802</f>
        <v>0</v>
      </c>
      <c r="H878" s="4">
        <f>G802</f>
        <v>0</v>
      </c>
      <c r="I878" s="1">
        <f>H802</f>
        <v>0</v>
      </c>
      <c r="J878" s="4">
        <f>((G878*2)+H878)*I878</f>
        <v>0</v>
      </c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</row>
    <row r="879" spans="1:73" s="1" customFormat="1">
      <c r="A879"/>
      <c r="B879"/>
      <c r="F879" s="1">
        <f>E803</f>
        <v>0</v>
      </c>
      <c r="G879" s="4">
        <v>0.75</v>
      </c>
      <c r="H879" s="4">
        <f>G803</f>
        <v>0</v>
      </c>
      <c r="I879" s="1">
        <f>H803</f>
        <v>0</v>
      </c>
      <c r="J879" s="4">
        <f>((G879*2)+H879)*I879</f>
        <v>0</v>
      </c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</row>
    <row r="880" spans="1:73" s="1" customFormat="1">
      <c r="A880"/>
      <c r="B880"/>
      <c r="F880" s="1">
        <f>E804</f>
        <v>0</v>
      </c>
      <c r="J880" s="96">
        <f>SUM(J869:J879)</f>
        <v>101.8</v>
      </c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</row>
    <row r="881" spans="1:73" s="1" customFormat="1">
      <c r="A881"/>
      <c r="B881"/>
      <c r="F881" s="1">
        <f>E848</f>
        <v>0</v>
      </c>
      <c r="S881" s="1">
        <f>P857*Q857*R857</f>
        <v>3.7800000000000002</v>
      </c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</row>
    <row r="882" spans="1:73" s="1" customFormat="1">
      <c r="A882"/>
      <c r="B882"/>
      <c r="F882" s="1" t="s">
        <v>236</v>
      </c>
      <c r="S882" s="1">
        <f>P858*Q858*R858</f>
        <v>1.08</v>
      </c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</row>
    <row r="883" spans="1:73" s="1" customFormat="1">
      <c r="A883"/>
      <c r="B883"/>
      <c r="F883" s="1">
        <v>8.9</v>
      </c>
      <c r="S883" s="1">
        <f>P859*Q859*R859</f>
        <v>2.16</v>
      </c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</row>
    <row r="884" spans="1:73" s="1" customFormat="1">
      <c r="A884"/>
      <c r="B884"/>
      <c r="F884" s="1">
        <v>3.15</v>
      </c>
      <c r="S884" s="1">
        <f>P860*Q860*R860</f>
        <v>9.4500000000000011</v>
      </c>
      <c r="V884" s="1">
        <v>1.75</v>
      </c>
      <c r="W884" s="1">
        <v>86.2</v>
      </c>
      <c r="X884" s="1">
        <f>W884*V884</f>
        <v>150.85</v>
      </c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</row>
    <row r="885" spans="1:73" s="1" customFormat="1">
      <c r="A885"/>
      <c r="B885"/>
      <c r="C885" s="4">
        <v>0.9</v>
      </c>
      <c r="D885" s="4">
        <v>2.1</v>
      </c>
      <c r="F885" s="1">
        <f>F883*F884</f>
        <v>28.035</v>
      </c>
      <c r="S885" s="1">
        <f>SUM(S880:S884)</f>
        <v>16.470000000000002</v>
      </c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</row>
    <row r="886" spans="1:73" s="1" customFormat="1">
      <c r="A886"/>
      <c r="B886" s="1" t="s">
        <v>229</v>
      </c>
      <c r="C886" s="4">
        <v>0.9</v>
      </c>
      <c r="D886" s="4">
        <v>2.1</v>
      </c>
      <c r="E886" s="1">
        <v>0</v>
      </c>
      <c r="F886" s="4">
        <f>C886*D886*E886</f>
        <v>0</v>
      </c>
      <c r="M886" s="1" t="s">
        <v>236</v>
      </c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</row>
    <row r="887" spans="1:73" s="1" customFormat="1">
      <c r="A887"/>
      <c r="B887" s="1" t="s">
        <v>223</v>
      </c>
      <c r="C887" s="4">
        <v>1.2</v>
      </c>
      <c r="D887" s="4">
        <v>0.9</v>
      </c>
      <c r="E887" s="1">
        <v>1</v>
      </c>
      <c r="F887" s="4">
        <f>C887*D887*E887</f>
        <v>1.08</v>
      </c>
      <c r="G887" s="8">
        <f>F885-F889</f>
        <v>26.954999999999998</v>
      </c>
      <c r="M887" s="1">
        <v>31.12</v>
      </c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</row>
    <row r="888" spans="1:73" s="1" customFormat="1">
      <c r="A888"/>
      <c r="B888" s="1" t="s">
        <v>214</v>
      </c>
      <c r="C888" s="4">
        <v>0.6</v>
      </c>
      <c r="D888" s="4">
        <v>0.6</v>
      </c>
      <c r="F888" s="4">
        <f>C888*D888*E888</f>
        <v>0</v>
      </c>
      <c r="M888" s="1">
        <v>3</v>
      </c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</row>
    <row r="889" spans="1:73" s="1" customFormat="1">
      <c r="A889"/>
      <c r="C889" s="4">
        <v>0.6</v>
      </c>
      <c r="D889" s="4">
        <v>0.6</v>
      </c>
      <c r="F889" s="4">
        <f>SUM(F886:F888)</f>
        <v>1.08</v>
      </c>
      <c r="J889" s="4">
        <v>0.9</v>
      </c>
      <c r="K889" s="4">
        <v>2.1</v>
      </c>
      <c r="M889" s="1">
        <f>M887*M888</f>
        <v>93.36</v>
      </c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</row>
    <row r="890" spans="1:73" s="1" customFormat="1">
      <c r="A890"/>
      <c r="I890" s="1" t="s">
        <v>229</v>
      </c>
      <c r="J890" s="4">
        <v>0.9</v>
      </c>
      <c r="K890" s="4">
        <v>2.1</v>
      </c>
      <c r="L890" s="1">
        <v>12</v>
      </c>
      <c r="M890" s="4">
        <f>J890*K890*L890</f>
        <v>22.68</v>
      </c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</row>
    <row r="891" spans="1:73" s="1" customFormat="1">
      <c r="A891"/>
      <c r="F891" s="1">
        <v>27.85</v>
      </c>
      <c r="I891" s="1" t="s">
        <v>223</v>
      </c>
      <c r="J891" s="4">
        <v>1.2</v>
      </c>
      <c r="K891" s="4">
        <v>0.9</v>
      </c>
      <c r="L891" s="1">
        <v>6</v>
      </c>
      <c r="M891" s="4">
        <f>J891*K891*L891</f>
        <v>6.48</v>
      </c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</row>
    <row r="892" spans="1:73" s="1" customFormat="1">
      <c r="A892"/>
      <c r="F892" s="1">
        <v>27.8</v>
      </c>
      <c r="I892" s="1" t="s">
        <v>214</v>
      </c>
      <c r="J892" s="4">
        <v>0.6</v>
      </c>
      <c r="K892" s="4">
        <v>0.6</v>
      </c>
      <c r="M892" s="4">
        <f>J892*K892*L892</f>
        <v>0</v>
      </c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</row>
    <row r="893" spans="1:73" s="1" customFormat="1">
      <c r="A893"/>
      <c r="F893" s="1">
        <f>F891+F892</f>
        <v>55.650000000000006</v>
      </c>
      <c r="J893" s="4">
        <v>0.6</v>
      </c>
      <c r="K893" s="4">
        <v>0.6</v>
      </c>
      <c r="M893" s="4">
        <f>SUM(M890:M892)</f>
        <v>29.16</v>
      </c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</row>
    <row r="894" spans="1:73" s="1" customFormat="1">
      <c r="A894"/>
      <c r="F894" s="1">
        <v>3</v>
      </c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</row>
    <row r="895" spans="1:73" s="1" customFormat="1">
      <c r="A895"/>
      <c r="C895" s="4">
        <v>0.9</v>
      </c>
      <c r="D895" s="4">
        <v>2.1</v>
      </c>
      <c r="F895" s="1">
        <f>F893*F894</f>
        <v>166.95000000000002</v>
      </c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</row>
    <row r="896" spans="1:73" s="1" customFormat="1">
      <c r="A896"/>
      <c r="B896" s="1" t="s">
        <v>229</v>
      </c>
      <c r="C896" s="4">
        <v>0.75</v>
      </c>
      <c r="D896" s="4">
        <v>2.1</v>
      </c>
      <c r="E896" s="1">
        <v>9</v>
      </c>
      <c r="F896" s="4">
        <f>C896*D896*E896</f>
        <v>14.175000000000001</v>
      </c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</row>
    <row r="897" spans="1:73" s="1" customFormat="1">
      <c r="A897"/>
      <c r="B897" s="1" t="s">
        <v>223</v>
      </c>
      <c r="C897" s="4">
        <v>1.2</v>
      </c>
      <c r="D897" s="4">
        <v>0.9</v>
      </c>
      <c r="F897" s="4">
        <f>C897*D897*E897</f>
        <v>0</v>
      </c>
      <c r="G897" s="8">
        <f>F895-F899</f>
        <v>149.53500000000003</v>
      </c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</row>
    <row r="898" spans="1:73" s="1" customFormat="1">
      <c r="A898"/>
      <c r="B898" s="1" t="s">
        <v>214</v>
      </c>
      <c r="C898" s="4">
        <v>0.6</v>
      </c>
      <c r="D898" s="4">
        <v>0.6</v>
      </c>
      <c r="E898" s="1">
        <v>9</v>
      </c>
      <c r="F898" s="4">
        <f>C898*D898*E898</f>
        <v>3.2399999999999998</v>
      </c>
      <c r="J898" s="8">
        <f>G887+G897+N868</f>
        <v>240.69</v>
      </c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</row>
    <row r="899" spans="1:73" s="1" customFormat="1">
      <c r="A899"/>
      <c r="C899" s="4">
        <v>0.6</v>
      </c>
      <c r="D899" s="4">
        <v>0.6</v>
      </c>
      <c r="F899" s="4">
        <f>SUM(F896:F898)</f>
        <v>17.414999999999999</v>
      </c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</row>
    <row r="900" spans="1:73" s="1" customFormat="1">
      <c r="A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</row>
    <row r="901" spans="1:73" s="1" customFormat="1">
      <c r="A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</row>
    <row r="902" spans="1:73" s="1" customFormat="1">
      <c r="A902"/>
      <c r="B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</row>
    <row r="903" spans="1:73" s="1" customFormat="1">
      <c r="A903"/>
      <c r="B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</row>
    <row r="904" spans="1:73" s="1" customFormat="1">
      <c r="A904"/>
      <c r="B904"/>
      <c r="M904" s="1">
        <f>I909+I910</f>
        <v>247.2</v>
      </c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</row>
    <row r="905" spans="1:73" s="1" customFormat="1">
      <c r="A905"/>
      <c r="B905"/>
      <c r="C905" s="1" t="s">
        <v>237</v>
      </c>
      <c r="D905" s="1">
        <v>42.5</v>
      </c>
      <c r="E905" s="1">
        <v>8</v>
      </c>
      <c r="F905" s="1">
        <v>23.3</v>
      </c>
      <c r="G905" s="1">
        <f t="shared" ref="G905:G911" si="230">SUM(D905:F905)</f>
        <v>73.8</v>
      </c>
      <c r="H905" s="1">
        <v>6</v>
      </c>
      <c r="I905" s="1">
        <f t="shared" ref="I905:I911" si="231">G905*H905</f>
        <v>442.79999999999995</v>
      </c>
      <c r="K905" s="52">
        <f>I905+I908</f>
        <v>526.19999999999993</v>
      </c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</row>
    <row r="906" spans="1:73" s="1" customFormat="1">
      <c r="A906"/>
      <c r="B906"/>
      <c r="C906" s="1" t="s">
        <v>238</v>
      </c>
      <c r="D906" s="1">
        <v>6</v>
      </c>
      <c r="E906" s="1">
        <v>45.2</v>
      </c>
      <c r="F906" s="1">
        <v>36.5</v>
      </c>
      <c r="G906" s="1">
        <f t="shared" si="230"/>
        <v>87.7</v>
      </c>
      <c r="H906" s="1">
        <v>6</v>
      </c>
      <c r="I906" s="1">
        <f t="shared" si="231"/>
        <v>526.20000000000005</v>
      </c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</row>
    <row r="907" spans="1:73" s="1" customFormat="1">
      <c r="A907"/>
      <c r="B907"/>
      <c r="C907" s="1" t="s">
        <v>239</v>
      </c>
      <c r="E907" s="1">
        <v>6</v>
      </c>
      <c r="F907" s="1">
        <v>3.5</v>
      </c>
      <c r="G907" s="1">
        <f t="shared" si="230"/>
        <v>9.5</v>
      </c>
      <c r="H907" s="1">
        <v>6</v>
      </c>
      <c r="I907" s="1">
        <f t="shared" si="231"/>
        <v>57</v>
      </c>
      <c r="M907" s="1">
        <f>I911+I907</f>
        <v>78</v>
      </c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</row>
    <row r="908" spans="1:73" s="1" customFormat="1">
      <c r="A908"/>
      <c r="B908"/>
      <c r="C908" s="1" t="s">
        <v>240</v>
      </c>
      <c r="D908" s="1">
        <v>5.6</v>
      </c>
      <c r="F908" s="1">
        <v>8.3000000000000007</v>
      </c>
      <c r="G908" s="1">
        <f t="shared" si="230"/>
        <v>13.9</v>
      </c>
      <c r="H908" s="1">
        <v>6</v>
      </c>
      <c r="I908" s="1">
        <f t="shared" si="231"/>
        <v>83.4</v>
      </c>
      <c r="K908" s="1">
        <f>I906</f>
        <v>526.20000000000005</v>
      </c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</row>
    <row r="909" spans="1:73" s="1" customFormat="1">
      <c r="A909"/>
      <c r="B909"/>
      <c r="C909" s="1" t="s">
        <v>241</v>
      </c>
      <c r="D909" s="1">
        <v>4.5</v>
      </c>
      <c r="E909" s="1">
        <v>11.7</v>
      </c>
      <c r="F909" s="1">
        <v>9</v>
      </c>
      <c r="G909" s="1">
        <f t="shared" si="230"/>
        <v>25.2</v>
      </c>
      <c r="H909" s="1">
        <v>6</v>
      </c>
      <c r="I909" s="1">
        <f t="shared" si="231"/>
        <v>151.19999999999999</v>
      </c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</row>
    <row r="910" spans="1:73" s="1" customFormat="1">
      <c r="A910"/>
      <c r="B910"/>
      <c r="C910" s="1" t="s">
        <v>242</v>
      </c>
      <c r="D910" s="1">
        <v>16</v>
      </c>
      <c r="G910" s="1">
        <f t="shared" si="230"/>
        <v>16</v>
      </c>
      <c r="H910" s="1">
        <v>6</v>
      </c>
      <c r="I910" s="1">
        <f t="shared" si="231"/>
        <v>96</v>
      </c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</row>
    <row r="911" spans="1:73" s="1" customFormat="1">
      <c r="A911"/>
      <c r="B911"/>
      <c r="C911" s="1" t="s">
        <v>243</v>
      </c>
      <c r="D911" s="1">
        <v>3.5</v>
      </c>
      <c r="G911" s="1">
        <f t="shared" si="230"/>
        <v>3.5</v>
      </c>
      <c r="H911" s="1">
        <v>6</v>
      </c>
      <c r="I911" s="1">
        <f t="shared" si="231"/>
        <v>21</v>
      </c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</row>
    <row r="912" spans="1:73" s="1" customFormat="1">
      <c r="A912"/>
      <c r="B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</row>
    <row r="913" spans="1:73" s="1" customFormat="1">
      <c r="A913"/>
      <c r="B913"/>
      <c r="F913" s="1">
        <f>SUM(F905:F912)</f>
        <v>80.599999999999994</v>
      </c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</row>
    <row r="914" spans="1:73" s="1" customFormat="1">
      <c r="A914"/>
      <c r="B914"/>
      <c r="F914" s="1">
        <v>6</v>
      </c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</row>
    <row r="915" spans="1:73" s="1" customFormat="1">
      <c r="A915"/>
      <c r="B915"/>
      <c r="F915" s="1">
        <f>F913*F914</f>
        <v>483.59999999999997</v>
      </c>
      <c r="G915" s="1">
        <f>F915*4</f>
        <v>1934.3999999999999</v>
      </c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</row>
    <row r="916" spans="1:73" s="1" customFormat="1">
      <c r="A916"/>
      <c r="B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</row>
    <row r="917" spans="1:73" s="1" customFormat="1">
      <c r="A917"/>
      <c r="B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</row>
    <row r="918" spans="1:73" s="1" customForma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</row>
    <row r="919" spans="1:73" s="1" customForma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</row>
    <row r="920" spans="1:73" s="1" customForma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</row>
    <row r="921" spans="1:73" s="1" customForma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</row>
    <row r="922" spans="1:73" s="1" customForma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</row>
    <row r="923" spans="1:73" s="1" customForma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</row>
    <row r="924" spans="1:73" s="1" customForma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</row>
    <row r="925" spans="1:73" s="1" customForma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</row>
    <row r="926" spans="1:73" s="1" customForma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</row>
    <row r="927" spans="1:73" s="1" customForma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</row>
    <row r="928" spans="1:73" s="1" customForma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</row>
    <row r="929" spans="1:73" s="1" customForma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</row>
    <row r="930" spans="1:73" s="1" customForma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</row>
    <row r="931" spans="1:73" s="1" customForma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</row>
    <row r="932" spans="1:73" s="1" customForma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</row>
    <row r="933" spans="1:73" s="1" customForma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</row>
    <row r="934" spans="1:73" s="1" customForma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</row>
    <row r="935" spans="1:73" s="1" customForma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</row>
    <row r="936" spans="1:73" s="1" customForma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</row>
    <row r="937" spans="1:73" s="1" customForma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</row>
    <row r="938" spans="1:73" s="1" customForma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</row>
    <row r="939" spans="1:73" s="1" customForma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</row>
    <row r="940" spans="1:73" s="1" customForma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</row>
    <row r="941" spans="1:73" s="1" customForma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</row>
    <row r="942" spans="1:73" s="1" customForma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</row>
    <row r="943" spans="1:73" s="1" customForma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</row>
    <row r="944" spans="1:73" s="1" customForma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</row>
    <row r="945" spans="1:73" s="1" customForma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</row>
    <row r="946" spans="1:73" s="1" customForma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</row>
    <row r="947" spans="1:73" s="1" customForma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</row>
    <row r="948" spans="1:73" s="1" customForma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</row>
    <row r="949" spans="1:73" s="1" customForma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</row>
    <row r="950" spans="1:73" s="1" customForma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</row>
    <row r="951" spans="1:73" s="1" customForma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</row>
    <row r="952" spans="1:73" s="1" customForma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</row>
    <row r="953" spans="1:73" s="1" customForma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</row>
    <row r="954" spans="1:73" s="1" customForma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</row>
    <row r="955" spans="1:73" s="1" customForma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</row>
    <row r="956" spans="1:73" s="1" customForma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</row>
    <row r="957" spans="1:73" s="1" customFormat="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</row>
    <row r="958" spans="1:73" s="1" customForma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</row>
    <row r="959" spans="1:73" s="1" customForma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</row>
    <row r="960" spans="1:73" s="1" customForma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</row>
    <row r="961" spans="1:73" s="1" customForma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</row>
    <row r="962" spans="1:73" s="1" customForma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</row>
    <row r="963" spans="1:73" s="1" customForma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</row>
    <row r="964" spans="1:73" s="1" customForma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</row>
    <row r="965" spans="1:73" s="1" customForma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</row>
    <row r="966" spans="1:73" s="1" customForma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</row>
    <row r="967" spans="1:73" s="1" customForma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</row>
    <row r="968" spans="1:73" s="1" customForma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</row>
    <row r="969" spans="1:73" s="1" customForma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</row>
    <row r="970" spans="1:73" s="1" customForma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</row>
    <row r="971" spans="1:73" s="1" customForma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</row>
    <row r="972" spans="1:73" s="1" customForma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</row>
    <row r="973" spans="1:73" s="1" customForma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</row>
    <row r="974" spans="1:73" s="1" customForma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</row>
    <row r="975" spans="1:73" s="1" customForma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</row>
    <row r="976" spans="1:73" s="1" customForma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</row>
    <row r="977" spans="1:73" s="1" customForma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</row>
    <row r="978" spans="1:73" s="1" customForma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</row>
    <row r="979" spans="1:73" s="1" customForma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</row>
    <row r="980" spans="1:73" s="1" customForma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</row>
    <row r="981" spans="1:73" s="1" customForma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</row>
    <row r="982" spans="1:73" s="1" customForma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</row>
    <row r="983" spans="1:73" s="1" customForma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</row>
    <row r="984" spans="1:73" s="1" customForma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</row>
    <row r="985" spans="1:73" s="1" customForma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</row>
    <row r="986" spans="1:73" s="1" customForma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</row>
    <row r="987" spans="1:73" s="1" customForma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</row>
    <row r="988" spans="1:73" s="1" customForma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</row>
    <row r="989" spans="1:73" s="1" customForma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</row>
    <row r="990" spans="1:73" s="1" customForma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</row>
    <row r="991" spans="1:73" s="1" customForma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</row>
    <row r="992" spans="1:73" s="1" customForma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</row>
    <row r="993" spans="1:73" s="1" customForma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</row>
    <row r="994" spans="1:73" s="1" customForma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</row>
    <row r="995" spans="1:73" s="1" customForma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</row>
  </sheetData>
  <mergeCells count="83">
    <mergeCell ref="K52:M52"/>
    <mergeCell ref="K73:M73"/>
    <mergeCell ref="F73:I73"/>
    <mergeCell ref="K68:M68"/>
    <mergeCell ref="A58:C58"/>
    <mergeCell ref="K58:M58"/>
    <mergeCell ref="A63:C63"/>
    <mergeCell ref="F63:H63"/>
    <mergeCell ref="K63:M63"/>
    <mergeCell ref="D1:F1"/>
    <mergeCell ref="G3:J3"/>
    <mergeCell ref="F58:H58"/>
    <mergeCell ref="A24:C24"/>
    <mergeCell ref="F24:H24"/>
    <mergeCell ref="A52:C52"/>
    <mergeCell ref="F52:H52"/>
    <mergeCell ref="A40:C40"/>
    <mergeCell ref="F40:H40"/>
    <mergeCell ref="A45:C45"/>
    <mergeCell ref="F45:H45"/>
    <mergeCell ref="M3:P3"/>
    <mergeCell ref="F18:I18"/>
    <mergeCell ref="K24:M24"/>
    <mergeCell ref="A34:C34"/>
    <mergeCell ref="F34:H34"/>
    <mergeCell ref="B305:D305"/>
    <mergeCell ref="B311:D311"/>
    <mergeCell ref="B315:D315"/>
    <mergeCell ref="F68:H68"/>
    <mergeCell ref="G80:H80"/>
    <mergeCell ref="B132:E132"/>
    <mergeCell ref="B155:E155"/>
    <mergeCell ref="B162:E162"/>
    <mergeCell ref="B169:E169"/>
    <mergeCell ref="D78:G78"/>
    <mergeCell ref="B139:E139"/>
    <mergeCell ref="B254:E254"/>
    <mergeCell ref="B261:E261"/>
    <mergeCell ref="B318:D318"/>
    <mergeCell ref="A3:D3"/>
    <mergeCell ref="A68:C68"/>
    <mergeCell ref="A73:C73"/>
    <mergeCell ref="B146:E146"/>
    <mergeCell ref="B178:E178"/>
    <mergeCell ref="B185:E185"/>
    <mergeCell ref="B192:E192"/>
    <mergeCell ref="B201:E201"/>
    <mergeCell ref="B208:E208"/>
    <mergeCell ref="B215:E215"/>
    <mergeCell ref="B224:E224"/>
    <mergeCell ref="B231:E231"/>
    <mergeCell ref="B238:E238"/>
    <mergeCell ref="B247:E247"/>
    <mergeCell ref="B296:E296"/>
    <mergeCell ref="M786:O786"/>
    <mergeCell ref="B805:E805"/>
    <mergeCell ref="B827:E827"/>
    <mergeCell ref="B633:E633"/>
    <mergeCell ref="B640:D640"/>
    <mergeCell ref="B643:D643"/>
    <mergeCell ref="D682:G682"/>
    <mergeCell ref="G684:H684"/>
    <mergeCell ref="D738:G738"/>
    <mergeCell ref="B771:E771"/>
    <mergeCell ref="B495:E495"/>
    <mergeCell ref="B327:D327"/>
    <mergeCell ref="B336:E336"/>
    <mergeCell ref="B343:D343"/>
    <mergeCell ref="B348:E348"/>
    <mergeCell ref="B357:E357"/>
    <mergeCell ref="B383:D383"/>
    <mergeCell ref="B393:D393"/>
    <mergeCell ref="A401:C401"/>
    <mergeCell ref="C466:E466"/>
    <mergeCell ref="B468:D468"/>
    <mergeCell ref="B372:E372"/>
    <mergeCell ref="P785:Q785"/>
    <mergeCell ref="B521:D521"/>
    <mergeCell ref="B590:E590"/>
    <mergeCell ref="B597:E597"/>
    <mergeCell ref="B605:E605"/>
    <mergeCell ref="C623:H623"/>
    <mergeCell ref="C632:H6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995"/>
  <sheetViews>
    <sheetView topLeftCell="A454" zoomScaleNormal="100" workbookViewId="0">
      <selection activeCell="D446" sqref="D446"/>
    </sheetView>
  </sheetViews>
  <sheetFormatPr defaultColWidth="8.7109375" defaultRowHeight="15"/>
  <cols>
    <col min="1" max="1" width="22.140625" bestFit="1" customWidth="1"/>
    <col min="3" max="3" width="9.7109375" bestFit="1" customWidth="1"/>
    <col min="4" max="4" width="11.42578125" bestFit="1" customWidth="1"/>
    <col min="5" max="5" width="9.5703125" customWidth="1"/>
    <col min="6" max="6" width="12" bestFit="1" customWidth="1"/>
    <col min="7" max="7" width="12.28515625" customWidth="1"/>
    <col min="8" max="8" width="10" bestFit="1" customWidth="1"/>
    <col min="9" max="9" width="11.140625" bestFit="1" customWidth="1"/>
    <col min="11" max="11" width="14.140625" bestFit="1" customWidth="1"/>
    <col min="12" max="12" width="9.7109375" bestFit="1" customWidth="1"/>
  </cols>
  <sheetData>
    <row r="1" spans="1:73" ht="28.5">
      <c r="A1" s="1"/>
      <c r="B1" s="1"/>
      <c r="C1" s="1"/>
      <c r="D1" s="207" t="s">
        <v>0</v>
      </c>
      <c r="E1" s="207"/>
      <c r="F1" s="20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73" s="1" customFormat="1" ht="15.75" thickBot="1"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73" s="1" customFormat="1" ht="19.5" thickBot="1">
      <c r="A3" s="203" t="s">
        <v>245</v>
      </c>
      <c r="B3" s="203"/>
      <c r="C3" s="203"/>
      <c r="D3" s="206"/>
      <c r="E3" s="3">
        <f>ROUNDUP(C8+C12,0)</f>
        <v>126</v>
      </c>
      <c r="G3" s="203" t="s">
        <v>250</v>
      </c>
      <c r="H3" s="203"/>
      <c r="I3" s="203"/>
      <c r="J3" s="206"/>
      <c r="K3" s="3">
        <f>ROUNDUP(I8+I12+I16,0)</f>
        <v>250</v>
      </c>
      <c r="M3" s="203" t="s">
        <v>247</v>
      </c>
      <c r="N3" s="203"/>
      <c r="O3" s="203"/>
      <c r="P3" s="206"/>
      <c r="Q3" s="3">
        <f>ROUNDUP(O8+O12+O16,0)</f>
        <v>933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</row>
    <row r="4" spans="1:73" s="1" customFormat="1"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</row>
    <row r="5" spans="1:73" s="1" customFormat="1">
      <c r="B5" s="1" t="s">
        <v>49</v>
      </c>
      <c r="C5" s="1">
        <v>116</v>
      </c>
      <c r="G5" s="1" t="s">
        <v>246</v>
      </c>
      <c r="H5" s="1" t="s">
        <v>49</v>
      </c>
      <c r="I5" s="1">
        <f>C5</f>
        <v>116</v>
      </c>
      <c r="M5" s="1" t="s">
        <v>246</v>
      </c>
      <c r="N5" s="1" t="s">
        <v>49</v>
      </c>
      <c r="O5" s="1">
        <f>I5</f>
        <v>116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</row>
    <row r="6" spans="1:73" s="1" customFormat="1">
      <c r="B6" s="1" t="s">
        <v>50</v>
      </c>
      <c r="C6" s="1">
        <v>2.4</v>
      </c>
      <c r="H6" s="1" t="s">
        <v>50</v>
      </c>
      <c r="I6" s="1">
        <v>2.2000000000000002</v>
      </c>
      <c r="N6" s="1" t="s">
        <v>50</v>
      </c>
      <c r="O6" s="1">
        <v>2.2000000000000002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73" s="1" customFormat="1">
      <c r="B7" s="1" t="s">
        <v>51</v>
      </c>
      <c r="C7" s="1">
        <v>0.4</v>
      </c>
      <c r="H7" s="1" t="s">
        <v>51</v>
      </c>
      <c r="I7" s="1">
        <v>0.4</v>
      </c>
      <c r="N7" s="1" t="s">
        <v>51</v>
      </c>
      <c r="O7" s="1">
        <v>0.4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</row>
    <row r="8" spans="1:73" s="1" customFormat="1">
      <c r="C8" s="5">
        <f>C7*C6*C5</f>
        <v>111.36</v>
      </c>
      <c r="I8" s="5">
        <f>I7*I6*I5</f>
        <v>102.08000000000001</v>
      </c>
      <c r="O8" s="5">
        <f>(O5*O7*2)+(O7*O6*2)</f>
        <v>94.560000000000016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</row>
    <row r="9" spans="1:73" s="1" customFormat="1">
      <c r="A9" s="1" t="s">
        <v>184</v>
      </c>
      <c r="B9" s="1" t="s">
        <v>49</v>
      </c>
      <c r="C9" s="1">
        <f>C5</f>
        <v>116</v>
      </c>
      <c r="G9" s="1" t="s">
        <v>184</v>
      </c>
      <c r="H9" s="1" t="s">
        <v>49</v>
      </c>
      <c r="I9" s="1">
        <f>I5</f>
        <v>116</v>
      </c>
      <c r="M9" s="1" t="s">
        <v>184</v>
      </c>
      <c r="N9" s="1" t="s">
        <v>49</v>
      </c>
      <c r="O9" s="1">
        <f>O5</f>
        <v>116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73" s="1" customFormat="1">
      <c r="B10" s="1" t="s">
        <v>50</v>
      </c>
      <c r="C10" s="1">
        <v>0.4</v>
      </c>
      <c r="H10" s="1" t="s">
        <v>50</v>
      </c>
      <c r="I10" s="1">
        <v>0.4</v>
      </c>
      <c r="N10" s="1" t="s">
        <v>50</v>
      </c>
      <c r="O10" s="1">
        <v>0.4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</row>
    <row r="11" spans="1:73" s="1" customFormat="1">
      <c r="B11" s="1" t="s">
        <v>51</v>
      </c>
      <c r="C11" s="1">
        <v>0.3</v>
      </c>
      <c r="H11" s="1" t="s">
        <v>51</v>
      </c>
      <c r="I11" s="1">
        <v>0.3</v>
      </c>
      <c r="N11" s="1" t="s">
        <v>51</v>
      </c>
      <c r="O11" s="1">
        <v>0.3</v>
      </c>
      <c r="P11" s="1">
        <f>O10*O9</f>
        <v>46.400000000000006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</row>
    <row r="12" spans="1:73" s="1" customFormat="1">
      <c r="C12" s="5">
        <f>C11*C10*C9</f>
        <v>13.92</v>
      </c>
      <c r="I12" s="5">
        <f>I11*I10*I9</f>
        <v>13.92</v>
      </c>
      <c r="O12" s="5">
        <f>(O9*O11*2)+(O11*O10*2)</f>
        <v>69.839999999999989</v>
      </c>
      <c r="P12" s="1">
        <f>O11*O9</f>
        <v>34.799999999999997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</row>
    <row r="13" spans="1:73" s="1" customFormat="1">
      <c r="G13" s="1" t="s">
        <v>233</v>
      </c>
      <c r="H13" s="1" t="s">
        <v>49</v>
      </c>
      <c r="I13" s="1">
        <f>I9</f>
        <v>116</v>
      </c>
      <c r="M13" s="1" t="s">
        <v>233</v>
      </c>
      <c r="N13" s="1" t="s">
        <v>49</v>
      </c>
      <c r="O13" s="1">
        <f>O9</f>
        <v>116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</row>
    <row r="14" spans="1:73" s="1" customFormat="1">
      <c r="H14" s="1" t="s">
        <v>50</v>
      </c>
      <c r="I14" s="1">
        <v>0.35</v>
      </c>
      <c r="N14" s="1" t="s">
        <v>50</v>
      </c>
      <c r="O14" s="1">
        <v>0.35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</row>
    <row r="15" spans="1:73" s="1" customFormat="1">
      <c r="H15" s="1" t="s">
        <v>51</v>
      </c>
      <c r="I15" s="1">
        <v>3.3</v>
      </c>
      <c r="N15" s="1" t="s">
        <v>51</v>
      </c>
      <c r="O15" s="1">
        <v>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</row>
    <row r="16" spans="1:73" s="1" customFormat="1">
      <c r="I16" s="5">
        <f>I15*I14*I13</f>
        <v>133.97999999999999</v>
      </c>
      <c r="O16" s="5">
        <f>(O13*O15*2)+(O15*O14*2)</f>
        <v>767.90999999999985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</row>
    <row r="17" spans="1:73" s="1" customFormat="1"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</row>
    <row r="18" spans="1:73" s="1" customFormat="1" ht="18.75">
      <c r="A18" s="1" t="s">
        <v>248</v>
      </c>
      <c r="B18" s="1" t="s">
        <v>49</v>
      </c>
      <c r="C18" s="1">
        <f>C5</f>
        <v>116</v>
      </c>
      <c r="D18" s="1">
        <f>C18</f>
        <v>116</v>
      </c>
      <c r="F18" s="203" t="s">
        <v>249</v>
      </c>
      <c r="G18" s="203"/>
      <c r="H18" s="203"/>
      <c r="I18" s="203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</row>
    <row r="19" spans="1:73" s="1" customFormat="1">
      <c r="B19" s="1" t="s">
        <v>50</v>
      </c>
      <c r="C19" s="1">
        <v>2.4</v>
      </c>
      <c r="D19" s="1">
        <v>1.2</v>
      </c>
      <c r="H19" s="1" t="s">
        <v>71</v>
      </c>
      <c r="K19" s="1" t="s">
        <v>68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</row>
    <row r="20" spans="1:73" s="1" customFormat="1">
      <c r="C20" s="5">
        <f>C19*C18</f>
        <v>278.39999999999998</v>
      </c>
      <c r="D20" s="5">
        <f>D19*D18</f>
        <v>139.19999999999999</v>
      </c>
      <c r="H20" s="1">
        <f>2.8*663*2</f>
        <v>3712.7999999999997</v>
      </c>
      <c r="I20" s="1">
        <f>H20*1.579</f>
        <v>5862.511199999999</v>
      </c>
      <c r="K20" s="1">
        <f>116*2*14</f>
        <v>3248</v>
      </c>
      <c r="L20" s="1">
        <f>K20*0.888</f>
        <v>2884.2240000000002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</row>
    <row r="21" spans="1:73" s="1" customFormat="1">
      <c r="H21" s="1">
        <f>8.3*773</f>
        <v>6415.9000000000005</v>
      </c>
      <c r="I21" s="1">
        <f>H21*1.579</f>
        <v>10130.706100000001</v>
      </c>
      <c r="K21" s="1">
        <f>116*2*22</f>
        <v>5104</v>
      </c>
      <c r="L21" s="1">
        <f>K21*0.888</f>
        <v>4532.3519999999999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</row>
    <row r="22" spans="1:73" s="1" customFormat="1">
      <c r="H22" s="5">
        <f>SUM(H20:H21)</f>
        <v>10128.700000000001</v>
      </c>
      <c r="K22" s="5">
        <f>SUM(K20:K21)</f>
        <v>8352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</row>
    <row r="23" spans="1:73" s="1" customFormat="1" ht="15.75" thickBot="1">
      <c r="H23" s="5"/>
      <c r="K23" s="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</row>
    <row r="24" spans="1:73" s="1" customFormat="1" ht="19.5" thickBot="1">
      <c r="A24" s="203" t="s">
        <v>263</v>
      </c>
      <c r="B24" s="203"/>
      <c r="C24" s="206"/>
      <c r="D24" s="3">
        <f>ROUNDUP(SUM(B31:L31),0)</f>
        <v>31</v>
      </c>
      <c r="F24" s="203" t="s">
        <v>264</v>
      </c>
      <c r="G24" s="203"/>
      <c r="H24" s="206"/>
      <c r="I24" s="3">
        <f>ROUNDUP(SUM(B32:L32),0)</f>
        <v>40</v>
      </c>
      <c r="K24" s="203" t="s">
        <v>265</v>
      </c>
      <c r="L24" s="203"/>
      <c r="M24" s="206"/>
      <c r="N24" s="21">
        <v>1491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</row>
    <row r="25" spans="1:73" s="1" customFormat="1">
      <c r="B25" s="1" t="s">
        <v>43</v>
      </c>
      <c r="D25" s="1" t="s">
        <v>44</v>
      </c>
      <c r="F25" s="1" t="s">
        <v>45</v>
      </c>
      <c r="H25" s="1" t="s">
        <v>46</v>
      </c>
      <c r="J25" s="1" t="s">
        <v>47</v>
      </c>
      <c r="L25" s="1" t="s">
        <v>48</v>
      </c>
      <c r="N25" s="34"/>
      <c r="O25" s="34"/>
      <c r="P25" s="34"/>
      <c r="Q25" s="34"/>
      <c r="R25" s="3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</row>
    <row r="26" spans="1:73">
      <c r="N26" s="97"/>
      <c r="O26" s="97"/>
      <c r="P26" s="97"/>
      <c r="Q26" s="97"/>
      <c r="R26" s="97"/>
    </row>
    <row r="27" spans="1:73" s="4" customFormat="1" ht="12.75">
      <c r="A27" s="4" t="s">
        <v>49</v>
      </c>
      <c r="B27" s="4">
        <v>2.2999999999999998</v>
      </c>
      <c r="D27" s="4">
        <v>3.6</v>
      </c>
      <c r="F27" s="4">
        <v>3.5</v>
      </c>
      <c r="H27" s="4">
        <v>2.2000000000000002</v>
      </c>
      <c r="J27" s="4">
        <v>3</v>
      </c>
      <c r="L27" s="4">
        <v>3.2</v>
      </c>
      <c r="N27" s="36"/>
      <c r="O27" s="36"/>
      <c r="P27" s="36"/>
      <c r="Q27" s="36"/>
      <c r="R27" s="36"/>
    </row>
    <row r="28" spans="1:73" s="4" customFormat="1" ht="12.75">
      <c r="A28" s="4" t="s">
        <v>50</v>
      </c>
      <c r="B28" s="4">
        <v>2.2999999999999998</v>
      </c>
      <c r="D28" s="4">
        <v>3.6</v>
      </c>
      <c r="F28" s="4">
        <f>F27</f>
        <v>3.5</v>
      </c>
      <c r="H28" s="4">
        <v>2.2000000000000002</v>
      </c>
      <c r="J28" s="4">
        <v>3</v>
      </c>
      <c r="L28" s="4">
        <f>L27</f>
        <v>3.2</v>
      </c>
      <c r="N28" s="36"/>
      <c r="O28" s="36"/>
      <c r="P28" s="36"/>
      <c r="Q28" s="36"/>
      <c r="R28" s="36"/>
    </row>
    <row r="29" spans="1:73" s="1" customFormat="1">
      <c r="A29" s="1" t="s">
        <v>51</v>
      </c>
      <c r="B29" s="4">
        <v>0.4</v>
      </c>
      <c r="D29" s="4">
        <v>0.6</v>
      </c>
      <c r="F29" s="4">
        <v>0.6</v>
      </c>
      <c r="H29" s="4">
        <v>0.4</v>
      </c>
      <c r="J29" s="4">
        <v>0.6</v>
      </c>
      <c r="L29" s="4">
        <v>0.6</v>
      </c>
      <c r="N29" s="36"/>
      <c r="O29" s="34"/>
      <c r="P29" s="36"/>
      <c r="Q29" s="34"/>
      <c r="R29" s="36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  <row r="30" spans="1:73" s="1" customFormat="1">
      <c r="A30" s="1" t="s">
        <v>52</v>
      </c>
      <c r="B30" s="1">
        <v>1</v>
      </c>
      <c r="D30" s="1">
        <v>1</v>
      </c>
      <c r="F30" s="1">
        <v>1</v>
      </c>
      <c r="H30" s="1">
        <v>1</v>
      </c>
      <c r="J30" s="1">
        <v>1</v>
      </c>
      <c r="L30" s="1">
        <v>1</v>
      </c>
      <c r="N30" s="34"/>
      <c r="O30" s="34"/>
      <c r="P30" s="34"/>
      <c r="Q30" s="34"/>
      <c r="R30" s="34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</row>
    <row r="31" spans="1:73" s="5" customFormat="1" ht="12.75">
      <c r="B31" s="6">
        <f>B27*B28*B29*B30</f>
        <v>2.1159999999999997</v>
      </c>
      <c r="D31" s="6">
        <f>D27*D28*D29*D30</f>
        <v>7.7759999999999998</v>
      </c>
      <c r="F31" s="6">
        <f>F27*F28*F29*F30</f>
        <v>7.35</v>
      </c>
      <c r="H31" s="6">
        <f>H27*H28*H29*H30</f>
        <v>1.9360000000000004</v>
      </c>
      <c r="J31" s="6">
        <f>J27*J28*J29*J30</f>
        <v>5.3999999999999995</v>
      </c>
      <c r="L31" s="6">
        <f>L27*L28*L29*L30</f>
        <v>6.144000000000001</v>
      </c>
      <c r="N31" s="7"/>
      <c r="O31" s="7"/>
      <c r="P31" s="7"/>
      <c r="Q31" s="7"/>
      <c r="R31" s="7"/>
    </row>
    <row r="32" spans="1:73" s="1" customFormat="1">
      <c r="B32" s="6">
        <f>((B27*B29*2)+(B28*B29*2))*B30</f>
        <v>3.6799999999999997</v>
      </c>
      <c r="D32" s="6">
        <f>((D27*D29*2)+(D28*D29*2))*D30</f>
        <v>8.64</v>
      </c>
      <c r="F32" s="6">
        <f>((F27*F29*2)+(F28*F29*2))*F30</f>
        <v>8.4</v>
      </c>
      <c r="H32" s="6">
        <f>((H27*H29*2)+(H28*H29*2))*H30</f>
        <v>3.5200000000000005</v>
      </c>
      <c r="J32" s="6">
        <f>((J27*J29*2)+(J28*J29*2))*J30</f>
        <v>7.1999999999999993</v>
      </c>
      <c r="K32" s="5"/>
      <c r="L32" s="6">
        <f>((L27*L29*2)+(L28*L29*2))*L30</f>
        <v>7.68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</row>
    <row r="33" spans="1:73" s="1" customFormat="1" ht="15.75" thickBot="1">
      <c r="B33" s="7">
        <f>B27*B28</f>
        <v>5.2899999999999991</v>
      </c>
      <c r="C33" s="7">
        <f t="shared" ref="C33:L33" si="0">C27*C28</f>
        <v>0</v>
      </c>
      <c r="D33" s="7">
        <f t="shared" si="0"/>
        <v>12.96</v>
      </c>
      <c r="E33" s="7">
        <f t="shared" si="0"/>
        <v>0</v>
      </c>
      <c r="F33" s="7">
        <f t="shared" si="0"/>
        <v>12.25</v>
      </c>
      <c r="G33" s="7">
        <f t="shared" si="0"/>
        <v>0</v>
      </c>
      <c r="H33" s="7">
        <f t="shared" si="0"/>
        <v>4.8400000000000007</v>
      </c>
      <c r="I33" s="7">
        <f t="shared" si="0"/>
        <v>0</v>
      </c>
      <c r="J33" s="7">
        <f t="shared" si="0"/>
        <v>9</v>
      </c>
      <c r="K33" s="7">
        <f t="shared" si="0"/>
        <v>0</v>
      </c>
      <c r="L33" s="7">
        <f t="shared" si="0"/>
        <v>10.240000000000002</v>
      </c>
      <c r="M33" s="1">
        <f>SUM(B33:L33)</f>
        <v>54.580000000000005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</row>
    <row r="34" spans="1:73" s="1" customFormat="1" ht="19.5" thickBot="1">
      <c r="A34" s="203" t="s">
        <v>266</v>
      </c>
      <c r="B34" s="203"/>
      <c r="C34" s="206"/>
      <c r="D34" s="3">
        <f>ROUNDUP(B38,0)</f>
        <v>5</v>
      </c>
      <c r="F34" s="203" t="s">
        <v>267</v>
      </c>
      <c r="G34" s="203"/>
      <c r="H34" s="206"/>
      <c r="I34" s="3">
        <f>ROUNDDOWN(G38,0)</f>
        <v>42</v>
      </c>
      <c r="J34" s="7"/>
      <c r="K34" s="3" t="s">
        <v>71</v>
      </c>
      <c r="L34" s="99">
        <f>ROUNDUP(50*4*1.579,0)</f>
        <v>316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</row>
    <row r="35" spans="1:73" s="1" customFormat="1" ht="15.75" thickBot="1">
      <c r="A35" s="98" t="s">
        <v>49</v>
      </c>
      <c r="B35" s="34">
        <v>46.7</v>
      </c>
      <c r="D35" s="7"/>
      <c r="F35" s="98" t="s">
        <v>49</v>
      </c>
      <c r="G35" s="34">
        <v>46.7</v>
      </c>
      <c r="H35" s="7"/>
      <c r="J35" s="7"/>
      <c r="K35" s="5"/>
      <c r="L35" s="7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</row>
    <row r="36" spans="1:73" s="1" customFormat="1" ht="19.5" thickBot="1">
      <c r="A36" s="98" t="s">
        <v>50</v>
      </c>
      <c r="B36" s="34">
        <v>0.23</v>
      </c>
      <c r="D36" s="7"/>
      <c r="F36" s="98" t="s">
        <v>50</v>
      </c>
      <c r="G36" s="34">
        <v>0.23</v>
      </c>
      <c r="H36" s="7"/>
      <c r="J36" s="7"/>
      <c r="K36" s="3" t="s">
        <v>108</v>
      </c>
      <c r="L36" s="99">
        <f>ROUNDUP(1.32*234*0.617,0)</f>
        <v>191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</row>
    <row r="37" spans="1:73" s="1" customFormat="1">
      <c r="A37" s="10" t="s">
        <v>51</v>
      </c>
      <c r="B37" s="34">
        <v>0.45</v>
      </c>
      <c r="D37" s="7"/>
      <c r="F37" s="10" t="s">
        <v>51</v>
      </c>
      <c r="G37" s="34">
        <v>0.45</v>
      </c>
      <c r="H37" s="7"/>
      <c r="J37" s="7"/>
      <c r="K37" s="5"/>
      <c r="L37" s="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</row>
    <row r="38" spans="1:73" s="1" customFormat="1">
      <c r="B38" s="7">
        <f>B37*B36*B35</f>
        <v>4.8334500000000009</v>
      </c>
      <c r="D38" s="7"/>
      <c r="F38" s="7"/>
      <c r="G38" s="5">
        <f>(G35*G37*2)</f>
        <v>42.03</v>
      </c>
      <c r="H38" s="7"/>
      <c r="J38" s="7"/>
      <c r="K38" s="5"/>
      <c r="L38" s="7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s="1" customFormat="1" ht="15.75" thickBot="1">
      <c r="B39" s="7"/>
      <c r="D39" s="7"/>
      <c r="F39" s="7"/>
      <c r="H39" s="7"/>
      <c r="J39" s="7"/>
      <c r="K39" s="5"/>
      <c r="L39" s="7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s="1" customFormat="1" ht="19.5" thickBot="1">
      <c r="A40" s="203" t="s">
        <v>271</v>
      </c>
      <c r="B40" s="203"/>
      <c r="C40" s="206"/>
      <c r="D40" s="3">
        <f>ROUNDUP(B44,0)</f>
        <v>3</v>
      </c>
      <c r="F40" s="203" t="s">
        <v>272</v>
      </c>
      <c r="G40" s="203"/>
      <c r="H40" s="206"/>
      <c r="I40" s="3">
        <f>ROUNDDOWN(G44,0)</f>
        <v>3</v>
      </c>
      <c r="J40" s="7"/>
      <c r="K40" s="3" t="s">
        <v>68</v>
      </c>
      <c r="L40" s="99">
        <f>ROUNDUP(2.85*4*38*0.888,0)</f>
        <v>385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s="1" customFormat="1" ht="15.75" thickBot="1">
      <c r="A41" s="98" t="s">
        <v>49</v>
      </c>
      <c r="B41" s="34">
        <v>2.7</v>
      </c>
      <c r="D41" s="7"/>
      <c r="F41" s="98" t="s">
        <v>49</v>
      </c>
      <c r="G41" s="34">
        <v>2.7</v>
      </c>
      <c r="H41" s="7"/>
      <c r="J41" s="7"/>
      <c r="K41" s="5"/>
      <c r="L41" s="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s="1" customFormat="1" ht="19.5" thickBot="1">
      <c r="A42" s="98" t="s">
        <v>50</v>
      </c>
      <c r="B42" s="34">
        <v>2.7</v>
      </c>
      <c r="D42" s="7"/>
      <c r="F42" s="98" t="s">
        <v>50</v>
      </c>
      <c r="G42" s="34">
        <v>2.7</v>
      </c>
      <c r="H42" s="7"/>
      <c r="J42" s="7"/>
      <c r="K42" s="3" t="s">
        <v>108</v>
      </c>
      <c r="L42" s="99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s="1" customFormat="1">
      <c r="A43" s="10" t="s">
        <v>51</v>
      </c>
      <c r="B43" s="34">
        <v>0.3</v>
      </c>
      <c r="D43" s="7"/>
      <c r="F43" s="10" t="s">
        <v>51</v>
      </c>
      <c r="G43" s="34">
        <v>0.3</v>
      </c>
      <c r="H43" s="7"/>
      <c r="J43" s="7"/>
      <c r="K43" s="5"/>
      <c r="L43" s="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s="1" customFormat="1" ht="15.75" thickBot="1">
      <c r="B44" s="7">
        <f>B43*B42*B41</f>
        <v>2.1870000000000003</v>
      </c>
      <c r="D44" s="7"/>
      <c r="F44" s="7"/>
      <c r="G44" s="5">
        <f>(G41*G43*2)+(G42*G43*2)</f>
        <v>3.24</v>
      </c>
      <c r="H44" s="7"/>
      <c r="J44" s="7"/>
      <c r="K44" s="5"/>
      <c r="L44" s="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s="1" customFormat="1" ht="19.5" thickBot="1">
      <c r="A45" s="203" t="s">
        <v>273</v>
      </c>
      <c r="B45" s="203"/>
      <c r="C45" s="206"/>
      <c r="D45" s="3">
        <f>ROUNDUP(B49+C49+D49,0)</f>
        <v>54</v>
      </c>
      <c r="F45" s="203" t="s">
        <v>274</v>
      </c>
      <c r="G45" s="203"/>
      <c r="H45" s="206"/>
      <c r="I45" s="3">
        <f>ROUNDUP(G49+H49+I49,0)</f>
        <v>473</v>
      </c>
      <c r="J45" s="7"/>
      <c r="K45" s="3" t="s">
        <v>68</v>
      </c>
      <c r="L45" s="99">
        <f>(((3.91*28)+(5.4*28)+(1.73*214*3)+(0.6*7*8)+(3.91*28*3)+(28*3)+(3.17*28))*3+((1.84*36)+(0.61*36)+(3.06*28)+(104*1.84)+(3.06*8)+(0.93*66)+(3.95*12*5)+(0.6*44*3)+(0.42*4*5)+(3.57*6)))*0.888</f>
        <v>5785.7995200000005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s="1" customFormat="1" ht="15.75" thickBot="1">
      <c r="A46" s="98" t="s">
        <v>49</v>
      </c>
      <c r="B46" s="34">
        <v>23.9</v>
      </c>
      <c r="C46" s="34">
        <v>23.9</v>
      </c>
      <c r="D46" s="34">
        <v>23.9</v>
      </c>
      <c r="F46" s="98" t="s">
        <v>49</v>
      </c>
      <c r="G46" s="34">
        <f t="shared" ref="G46:I48" si="1">B46</f>
        <v>23.9</v>
      </c>
      <c r="H46" s="34">
        <f t="shared" si="1"/>
        <v>23.9</v>
      </c>
      <c r="I46" s="34">
        <f t="shared" si="1"/>
        <v>23.9</v>
      </c>
      <c r="J46" s="7"/>
      <c r="K46" s="5"/>
      <c r="L46" s="7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s="1" customFormat="1" ht="19.5" thickBot="1">
      <c r="A47" s="98" t="s">
        <v>50</v>
      </c>
      <c r="B47" s="34">
        <v>2.13</v>
      </c>
      <c r="C47" s="34">
        <v>2.63</v>
      </c>
      <c r="D47" s="34">
        <v>2.63</v>
      </c>
      <c r="F47" s="98" t="s">
        <v>50</v>
      </c>
      <c r="G47" s="34">
        <f t="shared" si="1"/>
        <v>2.13</v>
      </c>
      <c r="H47" s="34">
        <f t="shared" si="1"/>
        <v>2.63</v>
      </c>
      <c r="I47" s="34">
        <f t="shared" si="1"/>
        <v>2.63</v>
      </c>
      <c r="J47" s="7"/>
      <c r="K47" s="3" t="s">
        <v>108</v>
      </c>
      <c r="L47" s="9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</row>
    <row r="48" spans="1:73" s="1" customFormat="1">
      <c r="A48" s="10" t="s">
        <v>51</v>
      </c>
      <c r="B48" s="34">
        <v>0.25</v>
      </c>
      <c r="C48" s="34">
        <v>0.25</v>
      </c>
      <c r="D48" s="34">
        <v>0.25</v>
      </c>
      <c r="F48" s="10" t="s">
        <v>51</v>
      </c>
      <c r="G48" s="34">
        <f t="shared" si="1"/>
        <v>0.25</v>
      </c>
      <c r="H48" s="34">
        <f t="shared" si="1"/>
        <v>0.25</v>
      </c>
      <c r="I48" s="34">
        <f t="shared" si="1"/>
        <v>0.25</v>
      </c>
      <c r="J48" s="7"/>
      <c r="K48" s="5"/>
      <c r="L48" s="7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</row>
    <row r="49" spans="1:73" s="1" customFormat="1">
      <c r="B49" s="7">
        <f>B48*B47*B46*2</f>
        <v>25.453499999999998</v>
      </c>
      <c r="C49" s="7">
        <f>C48*C47*C46</f>
        <v>15.714249999999998</v>
      </c>
      <c r="D49" s="7">
        <f>(D48*D47*D46)-(2.3*0.25*1.34*5)</f>
        <v>11.861749999999997</v>
      </c>
      <c r="F49" s="7"/>
      <c r="G49" s="5">
        <f>((G46*G47*2)+(G46*G48*2))*2</f>
        <v>227.52799999999999</v>
      </c>
      <c r="H49" s="5">
        <f>(H46*H47*2)+(H46*H48*2)</f>
        <v>137.66399999999999</v>
      </c>
      <c r="I49" s="5">
        <f>((I46*I47*2)+(I46*I48*2))-(2.3*1.34*5*2)</f>
        <v>106.84399999999999</v>
      </c>
      <c r="J49" s="7"/>
      <c r="K49" s="5"/>
      <c r="L49" s="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s="1" customFormat="1">
      <c r="B50" s="7"/>
      <c r="D50" s="7"/>
      <c r="F50" s="7"/>
      <c r="H50" s="7"/>
      <c r="J50" s="7"/>
      <c r="K50" s="5"/>
      <c r="L50" s="7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s="1" customFormat="1" ht="15.75" thickBot="1">
      <c r="B51" s="7"/>
      <c r="D51" s="7"/>
      <c r="F51" s="7"/>
      <c r="H51" s="7"/>
      <c r="J51" s="7"/>
      <c r="K51" s="5"/>
      <c r="L51" s="7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s="1" customFormat="1" ht="19.5" thickBot="1">
      <c r="A52" s="203" t="s">
        <v>268</v>
      </c>
      <c r="B52" s="203"/>
      <c r="C52" s="206"/>
      <c r="D52" s="3">
        <f>ROUNDUP(B55,0)</f>
        <v>267</v>
      </c>
      <c r="F52" s="203" t="s">
        <v>269</v>
      </c>
      <c r="G52" s="203"/>
      <c r="H52" s="206"/>
      <c r="I52" s="3"/>
      <c r="K52" s="203" t="s">
        <v>270</v>
      </c>
      <c r="L52" s="203"/>
      <c r="M52" s="206"/>
      <c r="N52" s="3">
        <f>M55</f>
        <v>46207.995480000005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s="1" customFormat="1" ht="19.5" thickBot="1">
      <c r="A53" s="10" t="s">
        <v>177</v>
      </c>
      <c r="B53" s="1">
        <v>762.1</v>
      </c>
      <c r="F53" s="10" t="s">
        <v>179</v>
      </c>
      <c r="G53" s="3">
        <f>ROUNDUP(B53,0)</f>
        <v>763</v>
      </c>
      <c r="L53" s="1" t="s">
        <v>68</v>
      </c>
      <c r="M53" s="1">
        <f>(79*2*20.2)+(79*2*20)+(79*2*27.48)+(235*2*17.1)</f>
        <v>18730.440000000002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</row>
    <row r="54" spans="1:73" s="1" customFormat="1">
      <c r="A54" s="10" t="s">
        <v>51</v>
      </c>
      <c r="B54" s="1">
        <v>0.35</v>
      </c>
      <c r="F54" s="10" t="s">
        <v>187</v>
      </c>
      <c r="G54" s="1">
        <v>130</v>
      </c>
      <c r="M54" s="1">
        <v>2.4670000000000001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</row>
    <row r="55" spans="1:73" s="1" customFormat="1">
      <c r="B55" s="5">
        <f>B54*B53</f>
        <v>266.73500000000001</v>
      </c>
      <c r="G55" s="1">
        <f>G54*B54</f>
        <v>45.5</v>
      </c>
      <c r="M55" s="1">
        <f>M54*M53</f>
        <v>46207.995480000005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</row>
    <row r="56" spans="1:73" s="1" customFormat="1">
      <c r="H56" s="5"/>
      <c r="K56" s="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</row>
    <row r="57" spans="1:73" s="1" customFormat="1" ht="15.75" thickBot="1">
      <c r="H57" s="5"/>
      <c r="K57" s="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</row>
    <row r="58" spans="1:73" s="1" customFormat="1" ht="19.5" thickBot="1">
      <c r="A58" s="203" t="s">
        <v>254</v>
      </c>
      <c r="B58" s="203"/>
      <c r="C58" s="206"/>
      <c r="D58" s="3">
        <f>ROUNDUP(B61,0)</f>
        <v>128</v>
      </c>
      <c r="F58" s="203" t="s">
        <v>255</v>
      </c>
      <c r="G58" s="203"/>
      <c r="H58" s="206"/>
      <c r="I58" s="3"/>
      <c r="K58" s="203" t="s">
        <v>256</v>
      </c>
      <c r="L58" s="203"/>
      <c r="M58" s="206"/>
      <c r="N58" s="3">
        <f>M61</f>
        <v>6418.2864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</row>
    <row r="59" spans="1:73" s="1" customFormat="1" ht="19.5" thickBot="1">
      <c r="A59" s="10" t="s">
        <v>177</v>
      </c>
      <c r="B59" s="1">
        <v>727.46</v>
      </c>
      <c r="F59" s="10" t="s">
        <v>179</v>
      </c>
      <c r="G59" s="3">
        <f>ROUNDUP(B59,0)</f>
        <v>728</v>
      </c>
      <c r="L59" s="1" t="s">
        <v>68</v>
      </c>
      <c r="M59" s="1">
        <v>7227.8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</row>
    <row r="60" spans="1:73" s="1" customFormat="1">
      <c r="A60" s="10" t="s">
        <v>51</v>
      </c>
      <c r="B60" s="1">
        <v>0.17499999999999999</v>
      </c>
      <c r="F60" s="10" t="s">
        <v>187</v>
      </c>
      <c r="G60" s="1">
        <f>129.8+15.79+10.09</f>
        <v>155.68</v>
      </c>
      <c r="M60" s="1">
        <v>0.88800000000000001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</row>
    <row r="61" spans="1:73" s="1" customFormat="1">
      <c r="B61" s="5">
        <f>B60*B59</f>
        <v>127.30549999999999</v>
      </c>
      <c r="M61" s="1">
        <f>M60*M59</f>
        <v>6418.2864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</row>
    <row r="62" spans="1:73" s="1" customFormat="1" ht="15.75" thickBot="1"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</row>
    <row r="63" spans="1:73" s="1" customFormat="1" ht="19.5" thickBot="1">
      <c r="A63" s="203" t="s">
        <v>257</v>
      </c>
      <c r="B63" s="203"/>
      <c r="C63" s="206"/>
      <c r="D63" s="3">
        <f>ROUNDUP(B66,0)</f>
        <v>166</v>
      </c>
      <c r="F63" s="203" t="s">
        <v>258</v>
      </c>
      <c r="G63" s="203"/>
      <c r="H63" s="206"/>
      <c r="I63" s="3"/>
      <c r="K63" s="203" t="s">
        <v>259</v>
      </c>
      <c r="L63" s="203"/>
      <c r="M63" s="206"/>
      <c r="N63" s="3">
        <f>M66</f>
        <v>7348.3776000000007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</row>
    <row r="64" spans="1:73" s="1" customFormat="1" ht="19.5" thickBot="1">
      <c r="A64" s="10" t="s">
        <v>177</v>
      </c>
      <c r="B64" s="1">
        <v>825.56</v>
      </c>
      <c r="F64" s="10" t="s">
        <v>179</v>
      </c>
      <c r="G64" s="3">
        <f>ROUNDUP(B64,0)</f>
        <v>826</v>
      </c>
      <c r="L64" s="1" t="s">
        <v>68</v>
      </c>
      <c r="M64" s="1">
        <v>8275.2000000000007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</row>
    <row r="65" spans="1:73" s="1" customFormat="1">
      <c r="A65" s="10" t="s">
        <v>51</v>
      </c>
      <c r="B65" s="1">
        <v>0.2</v>
      </c>
      <c r="F65" s="10" t="s">
        <v>187</v>
      </c>
      <c r="G65" s="1">
        <f>138.89+15.71+8.48</f>
        <v>163.07999999999998</v>
      </c>
      <c r="M65" s="1">
        <v>0.88800000000000001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</row>
    <row r="66" spans="1:73" s="1" customFormat="1">
      <c r="B66" s="5">
        <f>B65*B64</f>
        <v>165.11199999999999</v>
      </c>
      <c r="M66" s="1">
        <f>M65*M64</f>
        <v>7348.3776000000007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</row>
    <row r="67" spans="1:73" s="1" customFormat="1" ht="15.75" thickBot="1">
      <c r="B67" s="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</row>
    <row r="68" spans="1:73" s="1" customFormat="1" ht="19.5" thickBot="1">
      <c r="A68" s="203" t="s">
        <v>251</v>
      </c>
      <c r="B68" s="203"/>
      <c r="C68" s="206"/>
      <c r="D68" s="3">
        <f>ROUNDUP(B71,0)</f>
        <v>148</v>
      </c>
      <c r="F68" s="203" t="s">
        <v>252</v>
      </c>
      <c r="G68" s="203"/>
      <c r="H68" s="206"/>
      <c r="I68" s="3"/>
      <c r="K68" s="203" t="s">
        <v>253</v>
      </c>
      <c r="L68" s="203"/>
      <c r="M68" s="206"/>
      <c r="N68" s="3">
        <f>M71</f>
        <v>7470.1223999999993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</row>
    <row r="69" spans="1:73" s="1" customFormat="1" ht="19.5" thickBot="1">
      <c r="A69" s="10" t="s">
        <v>177</v>
      </c>
      <c r="B69" s="1">
        <v>845</v>
      </c>
      <c r="F69" s="10" t="s">
        <v>179</v>
      </c>
      <c r="G69" s="3">
        <f>ROUNDUP(B69,0)</f>
        <v>845</v>
      </c>
      <c r="L69" s="1" t="s">
        <v>68</v>
      </c>
      <c r="M69" s="1">
        <v>8412.2999999999993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</row>
    <row r="70" spans="1:73" s="1" customFormat="1">
      <c r="A70" s="10" t="s">
        <v>51</v>
      </c>
      <c r="B70" s="1">
        <v>0.17499999999999999</v>
      </c>
      <c r="F70" s="10" t="s">
        <v>187</v>
      </c>
      <c r="G70" s="1">
        <f>172.2+16.7+11.13+16.09</f>
        <v>216.11999999999998</v>
      </c>
      <c r="M70" s="1">
        <v>0.88800000000000001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</row>
    <row r="71" spans="1:73" s="1" customFormat="1">
      <c r="B71" s="5">
        <f>B70*B69</f>
        <v>147.875</v>
      </c>
      <c r="M71" s="1">
        <f>M70*M69</f>
        <v>7470.1223999999993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</row>
    <row r="72" spans="1:73" s="1" customFormat="1" ht="15.75" thickBot="1"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</row>
    <row r="73" spans="1:73" s="1" customFormat="1" ht="19.5" thickBot="1">
      <c r="A73" s="203" t="s">
        <v>260</v>
      </c>
      <c r="B73" s="203"/>
      <c r="C73" s="206"/>
      <c r="D73" s="3">
        <f>ROUNDUP(B76*2,0)</f>
        <v>300</v>
      </c>
      <c r="F73" s="203" t="s">
        <v>261</v>
      </c>
      <c r="G73" s="203"/>
      <c r="H73" s="203"/>
      <c r="I73" s="206"/>
      <c r="K73" s="203" t="s">
        <v>262</v>
      </c>
      <c r="L73" s="203"/>
      <c r="M73" s="206"/>
      <c r="N73" s="3">
        <f>M76*2</f>
        <v>14940.244799999999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</row>
    <row r="74" spans="1:73" s="1" customFormat="1" ht="19.5" thickBot="1">
      <c r="A74" s="10" t="s">
        <v>177</v>
      </c>
      <c r="B74" s="1">
        <v>854.62</v>
      </c>
      <c r="F74" s="10" t="s">
        <v>179</v>
      </c>
      <c r="G74" s="3">
        <f>ROUNDUP(B74*2,0)</f>
        <v>1710</v>
      </c>
      <c r="L74" s="1" t="s">
        <v>68</v>
      </c>
      <c r="M74" s="1">
        <v>8412.2999999999993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</row>
    <row r="75" spans="1:73" s="1" customFormat="1">
      <c r="A75" s="10" t="s">
        <v>51</v>
      </c>
      <c r="B75" s="1">
        <v>0.17499999999999999</v>
      </c>
      <c r="F75" s="10" t="s">
        <v>187</v>
      </c>
      <c r="G75" s="1">
        <f>171.99+16.44+15.97+9.58</f>
        <v>213.98000000000002</v>
      </c>
      <c r="M75" s="1">
        <v>0.88800000000000001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</row>
    <row r="76" spans="1:73" s="1" customFormat="1">
      <c r="B76" s="5">
        <f>B75*B74</f>
        <v>149.55849999999998</v>
      </c>
      <c r="M76" s="1">
        <f>M75*M74</f>
        <v>7470.1223999999993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</row>
    <row r="77" spans="1:73" s="1" customFormat="1"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</row>
    <row r="78" spans="1:73" s="1" customFormat="1" ht="23.25">
      <c r="B78" s="20"/>
      <c r="D78" s="208" t="s">
        <v>275</v>
      </c>
      <c r="E78" s="208"/>
      <c r="F78" s="208"/>
      <c r="G78" s="208"/>
      <c r="H78" s="62"/>
      <c r="L78" s="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</row>
    <row r="79" spans="1:73" s="72" customFormat="1" ht="10.5" customHeight="1" thickBot="1"/>
    <row r="80" spans="1:73" s="1" customFormat="1" ht="19.5" thickBot="1">
      <c r="B80" s="73" t="s">
        <v>174</v>
      </c>
      <c r="C80" s="74"/>
      <c r="D80" s="50">
        <f>B87+B100+B107+D107+B115+D115+D100+D87+B94+D94</f>
        <v>22.880249999999997</v>
      </c>
      <c r="E80" s="75"/>
      <c r="G80" s="203" t="s">
        <v>178</v>
      </c>
      <c r="H80" s="206"/>
      <c r="I80" s="76"/>
      <c r="K80" s="77" t="s">
        <v>181</v>
      </c>
      <c r="L80" s="19" t="s">
        <v>71</v>
      </c>
      <c r="M80" s="78">
        <f>ROUNDUP(M91*1.579,0)</f>
        <v>226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</row>
    <row r="81" spans="1:73" s="1" customFormat="1" ht="19.5" thickBot="1">
      <c r="C81" s="75"/>
      <c r="D81" s="79"/>
      <c r="E81" s="75"/>
      <c r="F81" s="75"/>
      <c r="G81" s="75"/>
      <c r="H81" s="75"/>
      <c r="I81" s="80"/>
      <c r="L81" s="19" t="s">
        <v>68</v>
      </c>
      <c r="M81" s="78">
        <f>ROUNDUP(R94*0.888,0)</f>
        <v>1175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</row>
    <row r="82" spans="1:73" s="1" customFormat="1" ht="19.5" thickBot="1">
      <c r="C82" s="75"/>
      <c r="D82" s="79"/>
      <c r="E82" s="75"/>
      <c r="F82" s="75"/>
      <c r="G82" s="75"/>
      <c r="H82" s="75"/>
      <c r="I82" s="80"/>
      <c r="L82" s="19" t="s">
        <v>108</v>
      </c>
      <c r="M82" s="78">
        <f>ROUNDUP(L88,0)</f>
        <v>0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</row>
    <row r="83" spans="1:73" s="1" customFormat="1" ht="15.75">
      <c r="A83" s="5" t="s">
        <v>184</v>
      </c>
      <c r="E83" s="75"/>
      <c r="F83" s="5"/>
      <c r="N83" s="14" t="s">
        <v>182</v>
      </c>
      <c r="O83" s="1" t="s">
        <v>170</v>
      </c>
      <c r="P83" s="1" t="s">
        <v>49</v>
      </c>
      <c r="Q83" s="1" t="s">
        <v>183</v>
      </c>
      <c r="R83" s="1" t="s">
        <v>68</v>
      </c>
      <c r="S83" s="20" t="s">
        <v>108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</row>
    <row r="84" spans="1:73" s="1" customFormat="1" ht="15.75">
      <c r="A84" s="1" t="s">
        <v>49</v>
      </c>
      <c r="B84" s="4">
        <v>1.2</v>
      </c>
      <c r="D84" s="4">
        <v>0</v>
      </c>
      <c r="E84" s="81"/>
      <c r="G84" s="4"/>
      <c r="M84" s="5" t="s">
        <v>71</v>
      </c>
      <c r="N84" s="1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</row>
    <row r="85" spans="1:73" s="1" customFormat="1" ht="15.75">
      <c r="A85" s="1" t="s">
        <v>50</v>
      </c>
      <c r="B85" s="4">
        <v>0.6</v>
      </c>
      <c r="D85" s="4">
        <v>0.6</v>
      </c>
      <c r="E85" s="81"/>
      <c r="G85" s="4"/>
      <c r="L85" s="5" t="s">
        <v>108</v>
      </c>
      <c r="M85" s="1">
        <v>8.77</v>
      </c>
      <c r="N85" s="69">
        <v>1</v>
      </c>
      <c r="O85" s="20">
        <v>6</v>
      </c>
      <c r="P85" s="1">
        <v>2.2799999999999998</v>
      </c>
      <c r="Q85" s="1">
        <v>2</v>
      </c>
      <c r="R85" s="1">
        <f>O85*P85*Q85</f>
        <v>27.36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</row>
    <row r="86" spans="1:73" s="1" customFormat="1" ht="15.75">
      <c r="A86" s="1" t="s">
        <v>51</v>
      </c>
      <c r="B86" s="4">
        <v>0.45</v>
      </c>
      <c r="D86" s="4">
        <v>0.3</v>
      </c>
      <c r="E86" s="81"/>
      <c r="G86" s="4"/>
      <c r="L86" s="1">
        <v>1.38</v>
      </c>
      <c r="M86" s="1">
        <f>11.5*5</f>
        <v>57.5</v>
      </c>
      <c r="N86" s="69">
        <v>2</v>
      </c>
      <c r="O86" s="20">
        <v>6</v>
      </c>
      <c r="P86" s="1">
        <v>2.2999999999999998</v>
      </c>
      <c r="Q86" s="1">
        <v>1</v>
      </c>
      <c r="R86" s="1">
        <f t="shared" ref="R86:R93" si="2">O86*P86*Q86</f>
        <v>13.799999999999999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</row>
    <row r="87" spans="1:73" s="1" customFormat="1" ht="15.75">
      <c r="B87" s="5">
        <f>B84*B85*B86</f>
        <v>0.32400000000000001</v>
      </c>
      <c r="D87" s="5">
        <f>D84*D85*D86*6</f>
        <v>0</v>
      </c>
      <c r="E87" s="81"/>
      <c r="F87" s="1">
        <f>1288-112.5</f>
        <v>1175.5</v>
      </c>
      <c r="L87" s="1">
        <v>0</v>
      </c>
      <c r="M87" s="1">
        <f>12.8*6</f>
        <v>76.800000000000011</v>
      </c>
      <c r="N87" s="69">
        <v>3</v>
      </c>
      <c r="O87" s="20">
        <v>6</v>
      </c>
      <c r="P87" s="1">
        <v>2.85</v>
      </c>
      <c r="Q87" s="1">
        <v>1</v>
      </c>
      <c r="R87" s="1">
        <f t="shared" si="2"/>
        <v>17.100000000000001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</row>
    <row r="88" spans="1:73" s="1" customFormat="1" ht="15.75">
      <c r="A88" s="5"/>
      <c r="E88" s="81"/>
      <c r="L88" s="5">
        <f>L86*L87*0.617</f>
        <v>0</v>
      </c>
      <c r="N88" s="69">
        <v>4</v>
      </c>
      <c r="O88" s="20">
        <v>12</v>
      </c>
      <c r="P88" s="1">
        <v>0.91</v>
      </c>
      <c r="Q88" s="1">
        <v>1</v>
      </c>
      <c r="R88" s="1">
        <f t="shared" si="2"/>
        <v>10.92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</row>
    <row r="89" spans="1:73" s="1" customFormat="1" ht="15.75">
      <c r="A89" s="5" t="s">
        <v>185</v>
      </c>
      <c r="C89" s="5" t="s">
        <v>186</v>
      </c>
      <c r="D89" s="5"/>
      <c r="E89" s="81"/>
      <c r="F89" s="5" t="s">
        <v>185</v>
      </c>
      <c r="I89" s="4">
        <f>D90</f>
        <v>3</v>
      </c>
      <c r="J89" s="4"/>
      <c r="N89" s="69">
        <v>5</v>
      </c>
      <c r="O89" s="20">
        <v>6</v>
      </c>
      <c r="P89" s="1">
        <v>5.34</v>
      </c>
      <c r="Q89" s="1">
        <v>2</v>
      </c>
      <c r="R89" s="1">
        <f t="shared" si="2"/>
        <v>64.08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</row>
    <row r="90" spans="1:73" s="1" customFormat="1" ht="15.75">
      <c r="A90" s="1" t="s">
        <v>49</v>
      </c>
      <c r="B90" s="4">
        <v>3</v>
      </c>
      <c r="C90" s="1" t="s">
        <v>49</v>
      </c>
      <c r="D90" s="4">
        <f>B90</f>
        <v>3</v>
      </c>
      <c r="E90" s="82"/>
      <c r="F90" s="1" t="s">
        <v>49</v>
      </c>
      <c r="G90" s="4">
        <f>D90</f>
        <v>3</v>
      </c>
      <c r="I90" s="4">
        <f>D91</f>
        <v>0.45</v>
      </c>
      <c r="J90" s="4"/>
      <c r="N90" s="69">
        <v>6</v>
      </c>
      <c r="O90" s="20">
        <v>6</v>
      </c>
      <c r="P90" s="1">
        <v>5.34</v>
      </c>
      <c r="Q90" s="1">
        <v>2</v>
      </c>
      <c r="R90" s="1">
        <f t="shared" si="2"/>
        <v>64.08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</row>
    <row r="91" spans="1:73" s="1" customFormat="1" ht="15.75">
      <c r="A91" s="1" t="s">
        <v>50</v>
      </c>
      <c r="B91" s="4">
        <v>1.53</v>
      </c>
      <c r="C91" s="1" t="s">
        <v>50</v>
      </c>
      <c r="D91" s="4">
        <v>0.45</v>
      </c>
      <c r="E91" s="82"/>
      <c r="F91" s="1" t="s">
        <v>50</v>
      </c>
      <c r="G91" s="4">
        <f>B91</f>
        <v>1.53</v>
      </c>
      <c r="I91" s="4">
        <f>D92</f>
        <v>0.23</v>
      </c>
      <c r="J91" s="4"/>
      <c r="M91" s="5">
        <f>SUM(M85:M90)</f>
        <v>143.07</v>
      </c>
      <c r="N91" s="69">
        <v>7</v>
      </c>
      <c r="O91" s="20">
        <v>17</v>
      </c>
      <c r="P91" s="1">
        <v>1.36</v>
      </c>
      <c r="Q91" s="1">
        <v>1</v>
      </c>
      <c r="R91" s="1">
        <f t="shared" si="2"/>
        <v>23.12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1:73" s="1" customFormat="1" ht="15.75">
      <c r="A92" s="1" t="s">
        <v>51</v>
      </c>
      <c r="B92" s="4">
        <v>0.17499999999999999</v>
      </c>
      <c r="C92" s="1" t="s">
        <v>51</v>
      </c>
      <c r="D92" s="4">
        <v>0.23</v>
      </c>
      <c r="E92" s="82"/>
      <c r="F92" s="1" t="s">
        <v>170</v>
      </c>
      <c r="G92" s="1">
        <f>B93</f>
        <v>1</v>
      </c>
      <c r="I92" s="1">
        <f>D93</f>
        <v>1</v>
      </c>
      <c r="J92" s="1">
        <v>2</v>
      </c>
      <c r="N92" s="69">
        <v>8</v>
      </c>
      <c r="O92" s="20"/>
      <c r="R92" s="1">
        <f t="shared" si="2"/>
        <v>0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</row>
    <row r="93" spans="1:73" s="1" customFormat="1" ht="15.75">
      <c r="A93" s="1" t="s">
        <v>170</v>
      </c>
      <c r="B93" s="1">
        <v>1</v>
      </c>
      <c r="C93" s="1" t="s">
        <v>170</v>
      </c>
      <c r="D93" s="1">
        <f>B93</f>
        <v>1</v>
      </c>
      <c r="E93" s="81"/>
      <c r="G93" s="1" t="s">
        <v>179</v>
      </c>
      <c r="H93" s="5">
        <f>G90*G91*G92</f>
        <v>4.59</v>
      </c>
      <c r="I93" s="8">
        <f>(I90*I89*I92*2)+(I91*I89*I92)</f>
        <v>3.39</v>
      </c>
      <c r="J93" s="5">
        <f>(J89*J90*2)+(J89*J91)*J92*2</f>
        <v>0</v>
      </c>
      <c r="N93" s="69">
        <v>9</v>
      </c>
      <c r="O93" s="20"/>
      <c r="R93" s="1">
        <f t="shared" si="2"/>
        <v>0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</row>
    <row r="94" spans="1:73" s="1" customFormat="1" ht="21">
      <c r="B94" s="5">
        <f>B90*B91*B92*B93</f>
        <v>0.80324999999999991</v>
      </c>
      <c r="D94" s="5">
        <f>D90*D91*D92*D93</f>
        <v>0.31050000000000005</v>
      </c>
      <c r="E94" s="81"/>
      <c r="G94" s="1" t="s">
        <v>187</v>
      </c>
      <c r="H94" s="5">
        <f>(G90+G91)*2*G92</f>
        <v>9.06</v>
      </c>
      <c r="N94" s="62"/>
      <c r="R94" s="8">
        <f>SUM(R85:R93)*6</f>
        <v>1322.7599999999998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</row>
    <row r="95" spans="1:73" s="1" customFormat="1" ht="21">
      <c r="A95" s="5" t="s">
        <v>185</v>
      </c>
      <c r="C95" s="5" t="s">
        <v>186</v>
      </c>
      <c r="D95" s="5"/>
      <c r="E95" s="81"/>
      <c r="F95" s="5" t="s">
        <v>185</v>
      </c>
      <c r="J95" s="4"/>
      <c r="N95" s="62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</row>
    <row r="96" spans="1:73" s="1" customFormat="1">
      <c r="A96" s="1" t="s">
        <v>49</v>
      </c>
      <c r="B96" s="4">
        <v>3</v>
      </c>
      <c r="C96" s="1" t="s">
        <v>49</v>
      </c>
      <c r="D96" s="4">
        <f>B96</f>
        <v>3</v>
      </c>
      <c r="E96" s="82"/>
      <c r="F96" s="1" t="s">
        <v>49</v>
      </c>
      <c r="G96" s="4">
        <f>D96</f>
        <v>3</v>
      </c>
      <c r="I96" s="4">
        <f>D97</f>
        <v>0.45</v>
      </c>
      <c r="J96" s="4">
        <f>D96</f>
        <v>3</v>
      </c>
      <c r="N96" s="20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</row>
    <row r="97" spans="1:73" s="1" customFormat="1">
      <c r="A97" s="1" t="s">
        <v>50</v>
      </c>
      <c r="B97" s="4">
        <v>1.53</v>
      </c>
      <c r="C97" s="1" t="s">
        <v>50</v>
      </c>
      <c r="D97" s="4">
        <v>0.45</v>
      </c>
      <c r="E97" s="82"/>
      <c r="F97" s="1" t="s">
        <v>50</v>
      </c>
      <c r="G97" s="4">
        <f>B97</f>
        <v>1.53</v>
      </c>
      <c r="I97" s="4">
        <f>D98</f>
        <v>0.23</v>
      </c>
      <c r="J97" s="4">
        <f>D97</f>
        <v>0.45</v>
      </c>
      <c r="N97" s="20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</row>
    <row r="98" spans="1:73" s="1" customFormat="1">
      <c r="A98" s="1" t="s">
        <v>51</v>
      </c>
      <c r="B98" s="4">
        <v>0.17499999999999999</v>
      </c>
      <c r="C98" s="1" t="s">
        <v>51</v>
      </c>
      <c r="D98" s="4">
        <v>0.23</v>
      </c>
      <c r="E98" s="82"/>
      <c r="F98" s="1" t="s">
        <v>170</v>
      </c>
      <c r="G98" s="1">
        <f>B99</f>
        <v>10</v>
      </c>
      <c r="I98" s="4">
        <f>D99</f>
        <v>10</v>
      </c>
      <c r="J98" s="4">
        <f>D98</f>
        <v>0.23</v>
      </c>
      <c r="N98" s="20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</row>
    <row r="99" spans="1:73" s="1" customFormat="1">
      <c r="A99" s="1" t="s">
        <v>170</v>
      </c>
      <c r="B99" s="1">
        <v>10</v>
      </c>
      <c r="C99" s="1" t="s">
        <v>170</v>
      </c>
      <c r="D99" s="1">
        <f>B99</f>
        <v>10</v>
      </c>
      <c r="E99" s="81"/>
      <c r="G99" s="1" t="s">
        <v>179</v>
      </c>
      <c r="H99" s="5">
        <f>G96*G97*G98</f>
        <v>45.9</v>
      </c>
      <c r="I99" s="1">
        <f>D100</f>
        <v>3.1050000000000004</v>
      </c>
      <c r="J99" s="5">
        <f>(J96*J97*2)+(J96*J98)*D99</f>
        <v>9.6000000000000014</v>
      </c>
      <c r="N99" s="20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</row>
    <row r="100" spans="1:73" s="1" customFormat="1">
      <c r="B100" s="5">
        <f>B96*B97*B98*B99</f>
        <v>8.0324999999999989</v>
      </c>
      <c r="D100" s="5">
        <f>D96*D97*D98*D99</f>
        <v>3.1050000000000004</v>
      </c>
      <c r="E100" s="81"/>
      <c r="G100" s="1" t="s">
        <v>187</v>
      </c>
      <c r="H100" s="5">
        <f>(G96+G97)*2*G98</f>
        <v>90.600000000000009</v>
      </c>
      <c r="I100" s="8">
        <f>(I97*I96*I99*2)+(I98*I96*I99)</f>
        <v>14.615235000000002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</row>
    <row r="101" spans="1:73" s="1" customFormat="1">
      <c r="E101" s="8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</row>
    <row r="102" spans="1:73" s="1" customFormat="1">
      <c r="A102" s="5" t="s">
        <v>188</v>
      </c>
      <c r="C102" s="5" t="s">
        <v>189</v>
      </c>
      <c r="E102" s="81"/>
      <c r="F102" s="5" t="s">
        <v>190</v>
      </c>
      <c r="T102" s="1">
        <f>S102</f>
        <v>0</v>
      </c>
      <c r="U102" s="1">
        <f>S102*T102</f>
        <v>0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</row>
    <row r="103" spans="1:73" s="1" customFormat="1">
      <c r="A103" s="1" t="s">
        <v>49</v>
      </c>
      <c r="B103" s="4">
        <v>2.97</v>
      </c>
      <c r="D103" s="4">
        <v>3.43</v>
      </c>
      <c r="E103" s="81"/>
      <c r="F103" s="1" t="s">
        <v>49</v>
      </c>
      <c r="G103" s="4">
        <f>B103</f>
        <v>2.97</v>
      </c>
      <c r="I103" s="4">
        <f>D103</f>
        <v>3.43</v>
      </c>
      <c r="T103" s="1">
        <f>S103</f>
        <v>0</v>
      </c>
      <c r="U103" s="1">
        <f>S103*T103</f>
        <v>0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</row>
    <row r="104" spans="1:73" s="1" customFormat="1">
      <c r="A104" s="1" t="s">
        <v>50</v>
      </c>
      <c r="B104" s="4">
        <v>1.2</v>
      </c>
      <c r="D104" s="4">
        <f>B104</f>
        <v>1.2</v>
      </c>
      <c r="E104" s="81"/>
      <c r="F104" s="1" t="s">
        <v>50</v>
      </c>
      <c r="G104" s="4">
        <f>B104</f>
        <v>1.2</v>
      </c>
      <c r="I104" s="4">
        <f>D104</f>
        <v>1.2</v>
      </c>
      <c r="U104" s="1">
        <f>SUM(U102:U103)</f>
        <v>0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</row>
    <row r="105" spans="1:73" s="1" customFormat="1">
      <c r="A105" s="1" t="s">
        <v>51</v>
      </c>
      <c r="B105" s="4">
        <v>0.17499999999999999</v>
      </c>
      <c r="D105" s="4">
        <f>B105</f>
        <v>0.17499999999999999</v>
      </c>
      <c r="E105" s="81"/>
      <c r="F105" s="1" t="s">
        <v>170</v>
      </c>
      <c r="G105" s="1">
        <f>B106</f>
        <v>6</v>
      </c>
      <c r="I105" s="1">
        <f>D106</f>
        <v>6</v>
      </c>
      <c r="U105" s="4">
        <f>SQRT(U104)</f>
        <v>0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</row>
    <row r="106" spans="1:73" s="1" customFormat="1">
      <c r="A106" s="1" t="s">
        <v>170</v>
      </c>
      <c r="B106" s="1">
        <v>6</v>
      </c>
      <c r="D106" s="1">
        <v>6</v>
      </c>
      <c r="E106" s="81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</row>
    <row r="107" spans="1:73" s="1" customFormat="1">
      <c r="B107" s="5">
        <f>B103*B104*B105*B106</f>
        <v>3.7421999999999995</v>
      </c>
      <c r="D107" s="5">
        <f>D103*D104*D105*D106</f>
        <v>4.3217999999999996</v>
      </c>
      <c r="E107" s="81"/>
      <c r="G107" s="1" t="s">
        <v>179</v>
      </c>
      <c r="H107" s="1">
        <f>G104*G105*G103</f>
        <v>21.384</v>
      </c>
      <c r="I107" s="1" t="s">
        <v>179</v>
      </c>
      <c r="J107" s="1">
        <f>I104*I105*I103</f>
        <v>24.695999999999998</v>
      </c>
      <c r="K107" s="83">
        <f>H107+J107</f>
        <v>46.08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</row>
    <row r="108" spans="1:73" s="1" customFormat="1">
      <c r="E108" s="81"/>
      <c r="G108" s="5" t="s">
        <v>187</v>
      </c>
      <c r="H108" s="1">
        <f>(G104+G103)*2*G105</f>
        <v>50.04</v>
      </c>
      <c r="I108" s="5" t="s">
        <v>187</v>
      </c>
      <c r="J108" s="1">
        <f>(I104+I103)*2*I105</f>
        <v>55.56</v>
      </c>
      <c r="K108" s="52">
        <f>(H108+J108)*0.15</f>
        <v>15.839999999999998</v>
      </c>
      <c r="L108" s="83">
        <f>H108+J108</f>
        <v>105.6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</row>
    <row r="109" spans="1:73" s="1" customFormat="1">
      <c r="A109" s="5" t="s">
        <v>191</v>
      </c>
      <c r="E109" s="81"/>
      <c r="F109" s="5" t="s">
        <v>191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</row>
    <row r="110" spans="1:73" s="1" customFormat="1">
      <c r="A110" s="1" t="s">
        <v>49</v>
      </c>
      <c r="B110" s="4">
        <v>1.2</v>
      </c>
      <c r="D110" s="4">
        <f>B110</f>
        <v>1.2</v>
      </c>
      <c r="E110" s="81"/>
      <c r="F110" s="1" t="s">
        <v>49</v>
      </c>
      <c r="G110" s="4"/>
      <c r="I110" s="4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</row>
    <row r="111" spans="1:73" s="1" customFormat="1">
      <c r="A111" s="1" t="s">
        <v>50</v>
      </c>
      <c r="B111" s="4">
        <v>0.15</v>
      </c>
      <c r="D111" s="4">
        <v>0.3</v>
      </c>
      <c r="E111" s="81"/>
      <c r="F111" s="1" t="s">
        <v>50</v>
      </c>
      <c r="G111" s="4">
        <v>0.3</v>
      </c>
      <c r="I111" s="4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</row>
    <row r="112" spans="1:73" s="1" customFormat="1">
      <c r="A112" s="1" t="s">
        <v>51</v>
      </c>
      <c r="B112" s="4">
        <v>0.17499999999999999</v>
      </c>
      <c r="D112" s="4">
        <v>0.15</v>
      </c>
      <c r="E112" s="81"/>
      <c r="F112" s="1" t="s">
        <v>51</v>
      </c>
      <c r="G112" s="4">
        <v>0.15</v>
      </c>
      <c r="I112" s="4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</row>
    <row r="113" spans="1:73" s="1" customFormat="1">
      <c r="A113" s="1" t="s">
        <v>170</v>
      </c>
      <c r="B113" s="1">
        <v>0.5</v>
      </c>
      <c r="D113" s="1">
        <v>0.5</v>
      </c>
      <c r="E113" s="81"/>
      <c r="F113" s="1" t="s">
        <v>170</v>
      </c>
      <c r="G113" s="1">
        <v>0.5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</row>
    <row r="114" spans="1:73" s="1" customFormat="1">
      <c r="A114" s="1" t="s">
        <v>170</v>
      </c>
      <c r="B114" s="1">
        <v>60</v>
      </c>
      <c r="D114" s="1">
        <v>48</v>
      </c>
      <c r="E114" s="81"/>
      <c r="F114" s="1" t="s">
        <v>170</v>
      </c>
      <c r="G114" s="1">
        <f>B114</f>
        <v>60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</row>
    <row r="115" spans="1:73" s="1" customFormat="1">
      <c r="B115" s="5">
        <f>B110*B111*B112*B113*B114</f>
        <v>0.94500000000000006</v>
      </c>
      <c r="D115" s="5">
        <f>D110*D111*D112*D113*D114</f>
        <v>1.296</v>
      </c>
      <c r="E115" s="81"/>
      <c r="G115" s="5">
        <f>G112*G111*G113*2*G114</f>
        <v>2.6999999999999997</v>
      </c>
      <c r="I115" s="5"/>
      <c r="K115" s="1">
        <f>G115+I115</f>
        <v>2.6999999999999997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</row>
    <row r="116" spans="1:73" s="1" customFormat="1">
      <c r="E116" s="81"/>
      <c r="K116" s="83">
        <f>SUM(K108:K115)</f>
        <v>18.54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</row>
    <row r="117" spans="1:73" s="1" customFormat="1">
      <c r="E117" s="81"/>
      <c r="F117" s="5" t="s">
        <v>192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</row>
    <row r="118" spans="1:73" s="1" customFormat="1">
      <c r="E118" s="81"/>
      <c r="F118" s="1" t="s">
        <v>49</v>
      </c>
      <c r="G118" s="4">
        <v>1.2</v>
      </c>
      <c r="I118" s="4">
        <v>1.1499999999999999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</row>
    <row r="119" spans="1:73" s="1" customFormat="1">
      <c r="E119" s="81"/>
      <c r="F119" s="1" t="s">
        <v>170</v>
      </c>
      <c r="G119" s="1">
        <v>120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</row>
    <row r="120" spans="1:73" s="1" customFormat="1">
      <c r="G120" s="1">
        <f>G118*G119</f>
        <v>144</v>
      </c>
      <c r="I120" s="1">
        <f>I118*I119</f>
        <v>0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</row>
    <row r="121" spans="1:73" s="1" customFormat="1">
      <c r="H121" s="5">
        <f>G120+I120</f>
        <v>144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</row>
    <row r="122" spans="1:73" s="1" customFormat="1">
      <c r="A122"/>
      <c r="H122" s="1" t="s">
        <v>193</v>
      </c>
      <c r="I122" s="1">
        <f>H121*0.15</f>
        <v>21.599999999999998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</row>
    <row r="124" spans="1:73" s="1" customFormat="1">
      <c r="A124"/>
      <c r="F124" s="5" t="s">
        <v>194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</row>
    <row r="125" spans="1:73" s="1" customFormat="1">
      <c r="A125"/>
      <c r="F125" s="1" t="s">
        <v>49</v>
      </c>
      <c r="G125" s="4">
        <f>G118</f>
        <v>1.2</v>
      </c>
      <c r="I125" s="4">
        <v>1.1499999999999999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pans="1:73" s="1" customFormat="1">
      <c r="A126"/>
      <c r="F126" s="1" t="s">
        <v>170</v>
      </c>
      <c r="G126" s="1">
        <v>108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pans="1:73" s="1" customFormat="1">
      <c r="A127"/>
      <c r="G127" s="1">
        <f>G125*G126</f>
        <v>129.6</v>
      </c>
      <c r="I127" s="1">
        <f>I125*I126</f>
        <v>0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pans="1:73" s="1" customFormat="1">
      <c r="A128"/>
      <c r="G128" s="1">
        <f>G127*0.25</f>
        <v>32.4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pans="1:73" s="1" customFormat="1">
      <c r="A129"/>
      <c r="H129" s="5">
        <f>G127+I127</f>
        <v>129.6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pans="1:73" s="1" customFormat="1">
      <c r="A130"/>
      <c r="H130" s="1" t="s">
        <v>195</v>
      </c>
      <c r="I130" s="1">
        <f>H129*0.3</f>
        <v>38.879999999999995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pans="1:73" s="1" customFormat="1" ht="15.75" thickBot="1"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pans="1:73" s="1" customFormat="1" ht="19.5" thickBot="1">
      <c r="B132" s="203" t="s">
        <v>276</v>
      </c>
      <c r="C132" s="203"/>
      <c r="D132" s="203"/>
      <c r="E132" s="203"/>
      <c r="F132" s="50">
        <f>ROUNDUP(SUM(B137:BP137)*2,0)</f>
        <v>176</v>
      </c>
      <c r="I132" s="4"/>
      <c r="BQ132"/>
      <c r="BR132"/>
      <c r="BS132"/>
      <c r="BT132"/>
      <c r="BU132"/>
    </row>
    <row r="133" spans="1:73" s="1" customFormat="1">
      <c r="B133" s="1" t="s">
        <v>127</v>
      </c>
      <c r="C133" s="1" t="s">
        <v>128</v>
      </c>
      <c r="D133" s="1" t="s">
        <v>129</v>
      </c>
      <c r="E133" s="1" t="s">
        <v>130</v>
      </c>
      <c r="F133" s="1" t="s">
        <v>131</v>
      </c>
      <c r="G133" s="1" t="s">
        <v>132</v>
      </c>
      <c r="H133" s="1" t="s">
        <v>133</v>
      </c>
      <c r="I133" s="1" t="s">
        <v>134</v>
      </c>
      <c r="J133" s="1" t="s">
        <v>135</v>
      </c>
      <c r="K133" s="1" t="s">
        <v>136</v>
      </c>
      <c r="L133" s="1" t="s">
        <v>137</v>
      </c>
      <c r="M133" s="1" t="s">
        <v>138</v>
      </c>
      <c r="N133" s="1" t="s">
        <v>139</v>
      </c>
      <c r="O133" s="1" t="s">
        <v>140</v>
      </c>
      <c r="P133" s="1" t="s">
        <v>141</v>
      </c>
      <c r="Q133" s="1" t="s">
        <v>142</v>
      </c>
      <c r="R133" s="1" t="s">
        <v>143</v>
      </c>
      <c r="S133" s="1" t="s">
        <v>144</v>
      </c>
      <c r="T133" s="1" t="s">
        <v>145</v>
      </c>
      <c r="U133" s="1" t="s">
        <v>146</v>
      </c>
      <c r="V133" s="1" t="s">
        <v>147</v>
      </c>
      <c r="W133" s="1" t="s">
        <v>148</v>
      </c>
      <c r="X133" s="1" t="s">
        <v>149</v>
      </c>
      <c r="Y133" s="1" t="s">
        <v>150</v>
      </c>
      <c r="Z133" s="1" t="s">
        <v>151</v>
      </c>
      <c r="AA133" s="1" t="s">
        <v>152</v>
      </c>
      <c r="AB133" s="1" t="s">
        <v>153</v>
      </c>
      <c r="AC133" s="1" t="s">
        <v>154</v>
      </c>
      <c r="AD133" s="1" t="s">
        <v>155</v>
      </c>
      <c r="AE133" s="1" t="s">
        <v>156</v>
      </c>
      <c r="AF133" s="1" t="s">
        <v>157</v>
      </c>
      <c r="AG133" s="1" t="s">
        <v>158</v>
      </c>
      <c r="AH133" s="1" t="s">
        <v>159</v>
      </c>
      <c r="AI133" s="1" t="s">
        <v>160</v>
      </c>
      <c r="AJ133" s="1" t="s">
        <v>161</v>
      </c>
      <c r="AK133" s="1" t="s">
        <v>162</v>
      </c>
      <c r="AL133" s="1" t="s">
        <v>163</v>
      </c>
      <c r="AM133" s="1" t="s">
        <v>277</v>
      </c>
      <c r="AN133" s="1" t="s">
        <v>278</v>
      </c>
      <c r="AO133" s="1" t="s">
        <v>279</v>
      </c>
      <c r="AP133" s="1" t="s">
        <v>280</v>
      </c>
      <c r="AQ133" s="1" t="s">
        <v>281</v>
      </c>
      <c r="AR133" s="1" t="s">
        <v>282</v>
      </c>
      <c r="AS133" s="1" t="s">
        <v>283</v>
      </c>
      <c r="AT133" s="1" t="s">
        <v>284</v>
      </c>
      <c r="AU133" s="1" t="s">
        <v>285</v>
      </c>
      <c r="AV133" s="1" t="s">
        <v>286</v>
      </c>
      <c r="AW133" s="1" t="s">
        <v>287</v>
      </c>
      <c r="AX133" s="1" t="s">
        <v>288</v>
      </c>
      <c r="AY133" s="1" t="s">
        <v>289</v>
      </c>
      <c r="AZ133" s="1" t="s">
        <v>290</v>
      </c>
      <c r="BA133" s="1" t="s">
        <v>291</v>
      </c>
      <c r="BB133" s="1" t="s">
        <v>292</v>
      </c>
      <c r="BC133" s="1" t="s">
        <v>293</v>
      </c>
      <c r="BD133" s="1" t="s">
        <v>294</v>
      </c>
      <c r="BE133" s="1" t="s">
        <v>295</v>
      </c>
      <c r="BF133" s="1" t="s">
        <v>296</v>
      </c>
      <c r="BG133" s="1" t="s">
        <v>297</v>
      </c>
      <c r="BH133" s="1" t="s">
        <v>298</v>
      </c>
      <c r="BI133" s="1" t="s">
        <v>299</v>
      </c>
      <c r="BJ133" s="1" t="s">
        <v>300</v>
      </c>
      <c r="BK133" s="1" t="s">
        <v>301</v>
      </c>
      <c r="BL133" s="1" t="s">
        <v>302</v>
      </c>
      <c r="BM133" s="1" t="s">
        <v>303</v>
      </c>
      <c r="BN133" s="1" t="s">
        <v>304</v>
      </c>
      <c r="BO133" s="1" t="s">
        <v>305</v>
      </c>
      <c r="BP133" s="1" t="s">
        <v>306</v>
      </c>
      <c r="BQ133"/>
    </row>
    <row r="134" spans="1:73" s="44" customFormat="1">
      <c r="A134" s="44" t="s">
        <v>37</v>
      </c>
      <c r="B134" s="51">
        <v>9.43</v>
      </c>
      <c r="C134" s="51">
        <v>8.3000000000000007</v>
      </c>
      <c r="D134" s="52">
        <v>7.6</v>
      </c>
      <c r="E134" s="52">
        <v>11.58</v>
      </c>
      <c r="F134" s="52">
        <v>10</v>
      </c>
      <c r="G134" s="52">
        <v>10.97</v>
      </c>
      <c r="H134" s="52">
        <v>3.82</v>
      </c>
      <c r="I134" s="52">
        <v>6.5</v>
      </c>
      <c r="J134" s="52">
        <v>11.58</v>
      </c>
      <c r="K134" s="52">
        <v>6.43</v>
      </c>
      <c r="L134" s="52">
        <v>5.4</v>
      </c>
      <c r="M134" s="52">
        <v>16.3</v>
      </c>
      <c r="N134" s="52">
        <v>6.39</v>
      </c>
      <c r="O134" s="52">
        <v>4.4000000000000004</v>
      </c>
      <c r="P134" s="51">
        <v>2.95</v>
      </c>
      <c r="Q134" s="51">
        <v>5.1100000000000003</v>
      </c>
      <c r="R134" s="51">
        <f>2*2</f>
        <v>4</v>
      </c>
      <c r="S134" s="51">
        <v>6.39</v>
      </c>
      <c r="T134" s="51">
        <v>5.1100000000000003</v>
      </c>
      <c r="U134" s="51">
        <v>5.4</v>
      </c>
      <c r="V134" s="51">
        <v>16.3</v>
      </c>
      <c r="W134" s="51">
        <v>2.95</v>
      </c>
      <c r="X134" s="51">
        <v>5.4</v>
      </c>
      <c r="Y134" s="51">
        <v>1.5</v>
      </c>
      <c r="Z134" s="51">
        <v>14.1</v>
      </c>
      <c r="AA134" s="51">
        <v>9</v>
      </c>
      <c r="AB134" s="51">
        <v>7.3</v>
      </c>
      <c r="AC134" s="51">
        <v>4.2</v>
      </c>
      <c r="AD134" s="51">
        <v>17.899999999999999</v>
      </c>
      <c r="AE134" s="51">
        <v>10.7</v>
      </c>
      <c r="AF134" s="51">
        <v>8.5</v>
      </c>
      <c r="AG134" s="51">
        <v>2.6</v>
      </c>
      <c r="AH134" s="51">
        <v>2.95</v>
      </c>
      <c r="AI134" s="51">
        <v>4.2</v>
      </c>
      <c r="AJ134" s="51">
        <v>8.3000000000000007</v>
      </c>
      <c r="AK134" s="51">
        <f>3.2*2</f>
        <v>6.4</v>
      </c>
      <c r="AL134" s="51">
        <v>7.28</v>
      </c>
      <c r="AM134" s="51">
        <v>2.2999999999999998</v>
      </c>
      <c r="AN134" s="51">
        <v>7.8</v>
      </c>
      <c r="AO134" s="51">
        <v>2.95</v>
      </c>
      <c r="AP134" s="51">
        <v>4.1900000000000004</v>
      </c>
      <c r="AQ134" s="51">
        <v>3.63</v>
      </c>
      <c r="AR134" s="51">
        <v>4.25</v>
      </c>
      <c r="AS134" s="51">
        <f>9.65*2</f>
        <v>19.3</v>
      </c>
      <c r="AT134" s="51">
        <f>1.85*2</f>
        <v>3.7</v>
      </c>
      <c r="AU134" s="51">
        <v>1.7</v>
      </c>
      <c r="AV134" s="51">
        <v>6.7</v>
      </c>
      <c r="AW134" s="51">
        <v>7.58</v>
      </c>
      <c r="AX134" s="53">
        <v>5.75</v>
      </c>
      <c r="AY134" s="53">
        <v>14.43</v>
      </c>
      <c r="AZ134" s="53">
        <v>11.5</v>
      </c>
      <c r="BA134" s="53">
        <v>8.98</v>
      </c>
      <c r="BB134" s="53">
        <v>10.9</v>
      </c>
      <c r="BC134" s="53">
        <v>4.29</v>
      </c>
      <c r="BD134" s="53">
        <v>10.3</v>
      </c>
      <c r="BE134" s="53">
        <v>10.48</v>
      </c>
      <c r="BF134" s="53">
        <v>4.2300000000000004</v>
      </c>
      <c r="BG134" s="53">
        <v>16.11</v>
      </c>
      <c r="BH134" s="53">
        <v>10.4</v>
      </c>
      <c r="BI134" s="53">
        <v>5.51</v>
      </c>
      <c r="BJ134" s="53">
        <v>5.23</v>
      </c>
      <c r="BK134" s="53">
        <v>19.73</v>
      </c>
      <c r="BL134" s="53">
        <v>5.51</v>
      </c>
      <c r="BM134" s="53">
        <v>24.79</v>
      </c>
      <c r="BN134" s="53">
        <v>10.4</v>
      </c>
      <c r="BO134" s="53">
        <v>4.2</v>
      </c>
      <c r="BP134" s="53">
        <v>3.63</v>
      </c>
      <c r="BQ134"/>
      <c r="BR134" s="53"/>
      <c r="BS134" s="53"/>
      <c r="BT134" s="53"/>
      <c r="BU134" s="53"/>
    </row>
    <row r="135" spans="1:73" s="1" customFormat="1">
      <c r="A135" s="44" t="s">
        <v>165</v>
      </c>
      <c r="B135" s="1">
        <v>0.45</v>
      </c>
      <c r="C135" s="1">
        <v>0.6</v>
      </c>
      <c r="D135" s="1">
        <f t="shared" ref="D135:O136" si="3">C135</f>
        <v>0.6</v>
      </c>
      <c r="E135" s="1">
        <f t="shared" si="3"/>
        <v>0.6</v>
      </c>
      <c r="F135" s="1">
        <f t="shared" si="3"/>
        <v>0.6</v>
      </c>
      <c r="G135" s="1">
        <f t="shared" si="3"/>
        <v>0.6</v>
      </c>
      <c r="H135" s="1">
        <f t="shared" si="3"/>
        <v>0.6</v>
      </c>
      <c r="I135" s="1">
        <f t="shared" si="3"/>
        <v>0.6</v>
      </c>
      <c r="J135" s="1">
        <f t="shared" si="3"/>
        <v>0.6</v>
      </c>
      <c r="K135" s="1">
        <f t="shared" si="3"/>
        <v>0.6</v>
      </c>
      <c r="L135" s="1">
        <f t="shared" si="3"/>
        <v>0.6</v>
      </c>
      <c r="M135" s="1">
        <f t="shared" si="3"/>
        <v>0.6</v>
      </c>
      <c r="N135" s="1">
        <f t="shared" si="3"/>
        <v>0.6</v>
      </c>
      <c r="O135" s="1">
        <f t="shared" si="3"/>
        <v>0.6</v>
      </c>
      <c r="P135" s="1">
        <v>0.45</v>
      </c>
      <c r="Q135" s="1">
        <v>0.5</v>
      </c>
      <c r="R135" s="1">
        <v>0.45</v>
      </c>
      <c r="S135" s="1">
        <v>0.6</v>
      </c>
      <c r="T135" s="1">
        <f t="shared" ref="T135:T136" si="4">S135</f>
        <v>0.6</v>
      </c>
      <c r="U135" s="1">
        <v>0.45</v>
      </c>
      <c r="V135" s="1">
        <v>0.5</v>
      </c>
      <c r="W135" s="1">
        <v>0.45</v>
      </c>
      <c r="X135" s="1">
        <f t="shared" ref="X135" si="5">W135</f>
        <v>0.45</v>
      </c>
      <c r="Y135" s="1">
        <v>0.6</v>
      </c>
      <c r="Z135" s="1">
        <v>0.7</v>
      </c>
      <c r="AA135" s="1">
        <v>0.6</v>
      </c>
      <c r="AB135" s="1">
        <v>0.5</v>
      </c>
      <c r="AC135" s="1">
        <v>0.8</v>
      </c>
      <c r="AD135" s="1">
        <v>0.6</v>
      </c>
      <c r="AE135" s="1">
        <v>0.8</v>
      </c>
      <c r="AF135" s="1">
        <v>0.6</v>
      </c>
      <c r="AG135" s="1">
        <v>0.45</v>
      </c>
      <c r="AH135" s="1">
        <f t="shared" ref="AH135:AH136" si="6">AG135</f>
        <v>0.45</v>
      </c>
      <c r="AI135" s="1">
        <v>0.6</v>
      </c>
      <c r="AJ135" s="1">
        <f t="shared" ref="AJ135:AJ136" si="7">AI135</f>
        <v>0.6</v>
      </c>
      <c r="AK135" s="1">
        <v>0.45</v>
      </c>
      <c r="AL135" s="1">
        <v>0.6</v>
      </c>
      <c r="AM135" s="1">
        <v>0.45</v>
      </c>
      <c r="AN135" s="1">
        <v>0.6</v>
      </c>
      <c r="AO135" s="1">
        <v>0.45</v>
      </c>
      <c r="AP135" s="1">
        <v>0.6</v>
      </c>
      <c r="AQ135" s="1">
        <v>0.45</v>
      </c>
      <c r="AR135" s="1">
        <v>0.6</v>
      </c>
      <c r="AS135" s="1">
        <v>0.7</v>
      </c>
      <c r="AT135" s="1">
        <v>0.6</v>
      </c>
      <c r="AU135" s="1">
        <v>0.6</v>
      </c>
      <c r="AV135" s="1">
        <v>0.55000000000000004</v>
      </c>
      <c r="AW135" s="1">
        <v>0.6</v>
      </c>
      <c r="AX135" s="1">
        <f>AW135</f>
        <v>0.6</v>
      </c>
      <c r="AY135" s="1">
        <v>0.7</v>
      </c>
      <c r="AZ135" s="1">
        <f>AY135</f>
        <v>0.7</v>
      </c>
      <c r="BA135" s="1">
        <v>0.6</v>
      </c>
      <c r="BB135" s="1">
        <v>0.55000000000000004</v>
      </c>
      <c r="BC135" s="1">
        <v>0.45</v>
      </c>
      <c r="BD135" s="1">
        <f t="shared" ref="BD135:BP136" si="8">BC135</f>
        <v>0.45</v>
      </c>
      <c r="BE135" s="1">
        <f t="shared" si="8"/>
        <v>0.45</v>
      </c>
      <c r="BF135" s="1">
        <f t="shared" si="8"/>
        <v>0.45</v>
      </c>
      <c r="BG135" s="1">
        <v>0.6</v>
      </c>
      <c r="BH135" s="1">
        <f t="shared" si="8"/>
        <v>0.6</v>
      </c>
      <c r="BI135" s="1">
        <f t="shared" si="8"/>
        <v>0.6</v>
      </c>
      <c r="BJ135" s="1">
        <f t="shared" si="8"/>
        <v>0.6</v>
      </c>
      <c r="BK135" s="1">
        <v>0.65</v>
      </c>
      <c r="BL135" s="1">
        <v>0.6</v>
      </c>
      <c r="BM135" s="1">
        <f t="shared" si="8"/>
        <v>0.6</v>
      </c>
      <c r="BN135" s="1">
        <f t="shared" si="8"/>
        <v>0.6</v>
      </c>
      <c r="BO135" s="1">
        <f t="shared" si="8"/>
        <v>0.6</v>
      </c>
      <c r="BP135" s="1">
        <f t="shared" si="8"/>
        <v>0.6</v>
      </c>
      <c r="BQ135"/>
    </row>
    <row r="136" spans="1:73" s="1" customFormat="1">
      <c r="A136" s="44" t="s">
        <v>166</v>
      </c>
      <c r="B136" s="1">
        <v>0.23</v>
      </c>
      <c r="C136" s="1">
        <v>0.3</v>
      </c>
      <c r="D136" s="1">
        <f>C136</f>
        <v>0.3</v>
      </c>
      <c r="E136" s="1">
        <f t="shared" si="3"/>
        <v>0.3</v>
      </c>
      <c r="F136" s="1">
        <f t="shared" si="3"/>
        <v>0.3</v>
      </c>
      <c r="G136" s="1">
        <f t="shared" si="3"/>
        <v>0.3</v>
      </c>
      <c r="H136" s="1">
        <f t="shared" si="3"/>
        <v>0.3</v>
      </c>
      <c r="I136" s="1">
        <f t="shared" si="3"/>
        <v>0.3</v>
      </c>
      <c r="J136" s="1">
        <f t="shared" si="3"/>
        <v>0.3</v>
      </c>
      <c r="K136" s="1">
        <f t="shared" si="3"/>
        <v>0.3</v>
      </c>
      <c r="L136" s="1">
        <f t="shared" si="3"/>
        <v>0.3</v>
      </c>
      <c r="M136" s="1">
        <f t="shared" si="3"/>
        <v>0.3</v>
      </c>
      <c r="N136" s="1">
        <f t="shared" si="3"/>
        <v>0.3</v>
      </c>
      <c r="O136" s="1">
        <f t="shared" si="3"/>
        <v>0.3</v>
      </c>
      <c r="P136" s="1">
        <v>0.23</v>
      </c>
      <c r="Q136" s="1">
        <f t="shared" ref="Q136:R136" si="9">P136</f>
        <v>0.23</v>
      </c>
      <c r="R136" s="1">
        <f t="shared" si="9"/>
        <v>0.23</v>
      </c>
      <c r="S136" s="1">
        <v>0.3</v>
      </c>
      <c r="T136" s="1">
        <f t="shared" si="4"/>
        <v>0.3</v>
      </c>
      <c r="U136" s="1">
        <v>0.23</v>
      </c>
      <c r="V136" s="1">
        <f t="shared" ref="V136:W136" si="10">U136</f>
        <v>0.23</v>
      </c>
      <c r="W136" s="1">
        <f t="shared" si="10"/>
        <v>0.23</v>
      </c>
      <c r="X136" s="1">
        <v>0.23</v>
      </c>
      <c r="Y136" s="1">
        <v>0.3</v>
      </c>
      <c r="Z136" s="1">
        <v>0.3</v>
      </c>
      <c r="AA136" s="1">
        <v>0.23</v>
      </c>
      <c r="AB136" s="1">
        <f t="shared" ref="AB136" si="11">AA136</f>
        <v>0.23</v>
      </c>
      <c r="AC136" s="1">
        <v>0.3</v>
      </c>
      <c r="AD136" s="1">
        <f t="shared" ref="AD136:AF136" si="12">AC136</f>
        <v>0.3</v>
      </c>
      <c r="AE136" s="1">
        <f t="shared" si="12"/>
        <v>0.3</v>
      </c>
      <c r="AF136" s="1">
        <f t="shared" si="12"/>
        <v>0.3</v>
      </c>
      <c r="AG136" s="1">
        <v>0.23</v>
      </c>
      <c r="AH136" s="1">
        <f t="shared" si="6"/>
        <v>0.23</v>
      </c>
      <c r="AI136" s="1">
        <v>0.3</v>
      </c>
      <c r="AJ136" s="1">
        <f t="shared" si="7"/>
        <v>0.3</v>
      </c>
      <c r="AK136" s="1">
        <v>0.23</v>
      </c>
      <c r="AL136" s="1">
        <v>0.3</v>
      </c>
      <c r="AM136" s="1">
        <v>0.23</v>
      </c>
      <c r="AN136" s="1">
        <v>0.3</v>
      </c>
      <c r="AO136" s="1">
        <v>0.23</v>
      </c>
      <c r="AP136" s="1">
        <v>0.3</v>
      </c>
      <c r="AQ136" s="1">
        <v>0.23</v>
      </c>
      <c r="AR136" s="1">
        <v>0.3</v>
      </c>
      <c r="AS136" s="1">
        <v>0.23</v>
      </c>
      <c r="AT136" s="1">
        <f t="shared" ref="AT136" si="13">AS136</f>
        <v>0.23</v>
      </c>
      <c r="AU136" s="1">
        <v>0.3</v>
      </c>
      <c r="AV136" s="1">
        <v>0.23</v>
      </c>
      <c r="AW136" s="1">
        <v>0.3</v>
      </c>
      <c r="AX136" s="1">
        <v>0.3</v>
      </c>
      <c r="AY136" s="1">
        <v>0.3</v>
      </c>
      <c r="AZ136" s="1">
        <f>AY136</f>
        <v>0.3</v>
      </c>
      <c r="BA136" s="1">
        <f t="shared" ref="BA136:BN136" si="14">AZ136</f>
        <v>0.3</v>
      </c>
      <c r="BB136" s="1">
        <v>0.23</v>
      </c>
      <c r="BC136" s="1">
        <f t="shared" si="14"/>
        <v>0.23</v>
      </c>
      <c r="BD136" s="1">
        <f t="shared" si="14"/>
        <v>0.23</v>
      </c>
      <c r="BE136" s="1">
        <f t="shared" si="14"/>
        <v>0.23</v>
      </c>
      <c r="BF136" s="1">
        <f t="shared" si="14"/>
        <v>0.23</v>
      </c>
      <c r="BG136" s="1">
        <v>0.3</v>
      </c>
      <c r="BH136" s="1">
        <f t="shared" si="14"/>
        <v>0.3</v>
      </c>
      <c r="BI136" s="1">
        <f t="shared" si="14"/>
        <v>0.3</v>
      </c>
      <c r="BJ136" s="1">
        <f t="shared" si="14"/>
        <v>0.3</v>
      </c>
      <c r="BK136" s="1">
        <f t="shared" si="14"/>
        <v>0.3</v>
      </c>
      <c r="BL136" s="1">
        <f t="shared" si="14"/>
        <v>0.3</v>
      </c>
      <c r="BM136" s="1">
        <f t="shared" si="14"/>
        <v>0.3</v>
      </c>
      <c r="BN136" s="1">
        <f t="shared" si="14"/>
        <v>0.3</v>
      </c>
      <c r="BO136" s="1">
        <f t="shared" si="8"/>
        <v>0.3</v>
      </c>
      <c r="BP136" s="1">
        <f t="shared" si="8"/>
        <v>0.3</v>
      </c>
      <c r="BQ136"/>
    </row>
    <row r="137" spans="1:73" s="1" customFormat="1">
      <c r="A137" s="44"/>
      <c r="B137" s="8">
        <f t="shared" ref="B137:BM137" si="15">B134*B135*B136</f>
        <v>0.97600500000000001</v>
      </c>
      <c r="C137" s="8">
        <f t="shared" si="15"/>
        <v>1.494</v>
      </c>
      <c r="D137" s="8">
        <f t="shared" si="15"/>
        <v>1.3679999999999999</v>
      </c>
      <c r="E137" s="8">
        <f t="shared" si="15"/>
        <v>2.0843999999999996</v>
      </c>
      <c r="F137" s="8">
        <f t="shared" si="15"/>
        <v>1.7999999999999998</v>
      </c>
      <c r="G137" s="8">
        <f t="shared" si="15"/>
        <v>1.9745999999999999</v>
      </c>
      <c r="H137" s="8">
        <f t="shared" si="15"/>
        <v>0.68759999999999988</v>
      </c>
      <c r="I137" s="8">
        <f t="shared" si="15"/>
        <v>1.17</v>
      </c>
      <c r="J137" s="8">
        <f t="shared" si="15"/>
        <v>2.0843999999999996</v>
      </c>
      <c r="K137" s="8">
        <f t="shared" si="15"/>
        <v>1.1573999999999998</v>
      </c>
      <c r="L137" s="8">
        <f t="shared" si="15"/>
        <v>0.97199999999999998</v>
      </c>
      <c r="M137" s="8">
        <f t="shared" si="15"/>
        <v>2.9339999999999997</v>
      </c>
      <c r="N137" s="8">
        <f t="shared" si="15"/>
        <v>1.1501999999999999</v>
      </c>
      <c r="O137" s="8">
        <f t="shared" si="15"/>
        <v>0.79200000000000004</v>
      </c>
      <c r="P137" s="8">
        <f t="shared" si="15"/>
        <v>0.30532500000000007</v>
      </c>
      <c r="Q137" s="8">
        <f t="shared" si="15"/>
        <v>0.58765000000000012</v>
      </c>
      <c r="R137" s="8">
        <f t="shared" si="15"/>
        <v>0.41400000000000003</v>
      </c>
      <c r="S137" s="8">
        <f t="shared" si="15"/>
        <v>1.1501999999999999</v>
      </c>
      <c r="T137" s="8">
        <f t="shared" si="15"/>
        <v>0.91980000000000006</v>
      </c>
      <c r="U137" s="8">
        <f t="shared" si="15"/>
        <v>0.55890000000000006</v>
      </c>
      <c r="V137" s="8">
        <f t="shared" si="15"/>
        <v>1.8745000000000001</v>
      </c>
      <c r="W137" s="8">
        <f t="shared" si="15"/>
        <v>0.30532500000000007</v>
      </c>
      <c r="X137" s="8">
        <f t="shared" si="15"/>
        <v>0.55890000000000006</v>
      </c>
      <c r="Y137" s="8">
        <f t="shared" si="15"/>
        <v>0.26999999999999996</v>
      </c>
      <c r="Z137" s="8">
        <f t="shared" si="15"/>
        <v>2.9609999999999999</v>
      </c>
      <c r="AA137" s="8">
        <f t="shared" si="15"/>
        <v>1.242</v>
      </c>
      <c r="AB137" s="8">
        <f t="shared" si="15"/>
        <v>0.83950000000000002</v>
      </c>
      <c r="AC137" s="8">
        <f t="shared" si="15"/>
        <v>1.008</v>
      </c>
      <c r="AD137" s="8">
        <f t="shared" si="15"/>
        <v>3.2219999999999995</v>
      </c>
      <c r="AE137" s="8">
        <f t="shared" si="15"/>
        <v>2.5680000000000001</v>
      </c>
      <c r="AF137" s="8">
        <f t="shared" si="15"/>
        <v>1.5299999999999998</v>
      </c>
      <c r="AG137" s="8">
        <f t="shared" si="15"/>
        <v>0.26910000000000006</v>
      </c>
      <c r="AH137" s="8">
        <f t="shared" si="15"/>
        <v>0.30532500000000007</v>
      </c>
      <c r="AI137" s="8">
        <f t="shared" si="15"/>
        <v>0.75600000000000001</v>
      </c>
      <c r="AJ137" s="8">
        <f t="shared" si="15"/>
        <v>1.494</v>
      </c>
      <c r="AK137" s="8">
        <f t="shared" si="15"/>
        <v>0.6624000000000001</v>
      </c>
      <c r="AL137" s="8">
        <f t="shared" si="15"/>
        <v>1.3104</v>
      </c>
      <c r="AM137" s="8">
        <f t="shared" si="15"/>
        <v>0.23804999999999998</v>
      </c>
      <c r="AN137" s="8">
        <f t="shared" si="15"/>
        <v>1.4039999999999999</v>
      </c>
      <c r="AO137" s="8">
        <f t="shared" si="15"/>
        <v>0.30532500000000007</v>
      </c>
      <c r="AP137" s="8">
        <f t="shared" si="15"/>
        <v>0.75420000000000009</v>
      </c>
      <c r="AQ137" s="8">
        <f t="shared" si="15"/>
        <v>0.37570500000000001</v>
      </c>
      <c r="AR137" s="8">
        <f t="shared" si="15"/>
        <v>0.7649999999999999</v>
      </c>
      <c r="AS137" s="8">
        <f t="shared" si="15"/>
        <v>3.1073</v>
      </c>
      <c r="AT137" s="8">
        <f t="shared" si="15"/>
        <v>0.51060000000000005</v>
      </c>
      <c r="AU137" s="8">
        <f t="shared" si="15"/>
        <v>0.30599999999999999</v>
      </c>
      <c r="AV137" s="8">
        <f t="shared" si="15"/>
        <v>0.84755000000000014</v>
      </c>
      <c r="AW137" s="8">
        <f t="shared" si="15"/>
        <v>1.3644000000000001</v>
      </c>
      <c r="AX137" s="8">
        <f t="shared" si="15"/>
        <v>1.0349999999999999</v>
      </c>
      <c r="AY137" s="8">
        <f t="shared" si="15"/>
        <v>3.0302999999999995</v>
      </c>
      <c r="AZ137" s="8">
        <f t="shared" si="15"/>
        <v>2.4149999999999996</v>
      </c>
      <c r="BA137" s="8">
        <f t="shared" si="15"/>
        <v>1.6163999999999998</v>
      </c>
      <c r="BB137" s="8">
        <f t="shared" si="15"/>
        <v>1.3788500000000004</v>
      </c>
      <c r="BC137" s="8">
        <f t="shared" si="15"/>
        <v>0.44401500000000005</v>
      </c>
      <c r="BD137" s="8">
        <f t="shared" si="15"/>
        <v>1.0660500000000002</v>
      </c>
      <c r="BE137" s="8">
        <f t="shared" si="15"/>
        <v>1.0846800000000001</v>
      </c>
      <c r="BF137" s="8">
        <f t="shared" si="15"/>
        <v>0.43780500000000006</v>
      </c>
      <c r="BG137" s="8">
        <f t="shared" si="15"/>
        <v>2.8997999999999995</v>
      </c>
      <c r="BH137" s="8">
        <f t="shared" si="15"/>
        <v>1.8719999999999999</v>
      </c>
      <c r="BI137" s="8">
        <f t="shared" si="15"/>
        <v>0.99179999999999979</v>
      </c>
      <c r="BJ137" s="8">
        <f t="shared" si="15"/>
        <v>0.94140000000000001</v>
      </c>
      <c r="BK137" s="8">
        <f t="shared" si="15"/>
        <v>3.84735</v>
      </c>
      <c r="BL137" s="8">
        <f t="shared" si="15"/>
        <v>0.99179999999999979</v>
      </c>
      <c r="BM137" s="8">
        <f t="shared" si="15"/>
        <v>4.4621999999999993</v>
      </c>
      <c r="BN137" s="8">
        <f t="shared" ref="BN137:BP137" si="16">BN134*BN135*BN136</f>
        <v>1.8719999999999999</v>
      </c>
      <c r="BO137" s="8">
        <f t="shared" si="16"/>
        <v>0.75600000000000001</v>
      </c>
      <c r="BP137" s="8">
        <f t="shared" si="16"/>
        <v>0.65339999999999998</v>
      </c>
      <c r="BQ137"/>
      <c r="BR137" s="8"/>
      <c r="BS137" s="8"/>
      <c r="BT137" s="8"/>
      <c r="BU137" s="8"/>
    </row>
    <row r="138" spans="1:73" s="1" customFormat="1" ht="15.75" thickBot="1"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pans="1:73" s="1" customFormat="1" ht="19.5" thickBot="1">
      <c r="B139" s="203" t="s">
        <v>307</v>
      </c>
      <c r="C139" s="203"/>
      <c r="D139" s="203"/>
      <c r="E139" s="203"/>
      <c r="F139" s="50">
        <f>ROUNDUP(SUM(B144:BP144)*2,0)</f>
        <v>1538</v>
      </c>
      <c r="G139" s="55"/>
      <c r="I139" s="4"/>
      <c r="BQ139"/>
      <c r="BR139"/>
      <c r="BS139"/>
      <c r="BT139"/>
      <c r="BU139"/>
    </row>
    <row r="140" spans="1:73" s="1" customFormat="1">
      <c r="B140" s="1" t="str">
        <f>B133</f>
        <v>BM 1</v>
      </c>
      <c r="C140" s="1" t="str">
        <f t="shared" ref="C140:BN143" si="17">C133</f>
        <v>BM 2</v>
      </c>
      <c r="D140" s="1" t="str">
        <f t="shared" si="17"/>
        <v>BM 3</v>
      </c>
      <c r="E140" s="1" t="str">
        <f t="shared" si="17"/>
        <v>BM 4</v>
      </c>
      <c r="F140" s="1" t="str">
        <f t="shared" si="17"/>
        <v>BM 5</v>
      </c>
      <c r="G140" s="1" t="str">
        <f t="shared" si="17"/>
        <v>BM 6</v>
      </c>
      <c r="H140" s="1" t="str">
        <f t="shared" si="17"/>
        <v>BM 7</v>
      </c>
      <c r="I140" s="1" t="str">
        <f t="shared" si="17"/>
        <v>BM 8</v>
      </c>
      <c r="J140" s="1" t="str">
        <f t="shared" si="17"/>
        <v>BM 9</v>
      </c>
      <c r="K140" s="1" t="str">
        <f t="shared" si="17"/>
        <v>BM 10</v>
      </c>
      <c r="L140" s="1" t="str">
        <f t="shared" si="17"/>
        <v>BM 11</v>
      </c>
      <c r="M140" s="1" t="str">
        <f t="shared" si="17"/>
        <v>BM 12</v>
      </c>
      <c r="N140" s="1" t="str">
        <f t="shared" si="17"/>
        <v>BM 13</v>
      </c>
      <c r="O140" s="1" t="str">
        <f t="shared" si="17"/>
        <v>BM 14</v>
      </c>
      <c r="P140" s="1" t="str">
        <f t="shared" si="17"/>
        <v>BM 15</v>
      </c>
      <c r="Q140" s="1" t="str">
        <f t="shared" si="17"/>
        <v>BM 16</v>
      </c>
      <c r="R140" s="1" t="str">
        <f t="shared" si="17"/>
        <v>BM 17</v>
      </c>
      <c r="S140" s="1" t="str">
        <f t="shared" si="17"/>
        <v>BM 18</v>
      </c>
      <c r="T140" s="1" t="str">
        <f t="shared" si="17"/>
        <v>BM 19</v>
      </c>
      <c r="U140" s="1" t="str">
        <f t="shared" si="17"/>
        <v>BM 20</v>
      </c>
      <c r="V140" s="1" t="str">
        <f t="shared" si="17"/>
        <v>BM 21</v>
      </c>
      <c r="W140" s="1" t="str">
        <f t="shared" si="17"/>
        <v>BM 22</v>
      </c>
      <c r="X140" s="1" t="str">
        <f t="shared" si="17"/>
        <v>BM 23</v>
      </c>
      <c r="Y140" s="1" t="str">
        <f t="shared" si="17"/>
        <v>BM 24</v>
      </c>
      <c r="Z140" s="1" t="str">
        <f t="shared" si="17"/>
        <v>BM 25</v>
      </c>
      <c r="AA140" s="1" t="str">
        <f t="shared" si="17"/>
        <v>BM 26</v>
      </c>
      <c r="AB140" s="1" t="str">
        <f t="shared" si="17"/>
        <v>BM 27</v>
      </c>
      <c r="AC140" s="1" t="str">
        <f t="shared" si="17"/>
        <v>BM 28</v>
      </c>
      <c r="AD140" s="1" t="str">
        <f t="shared" si="17"/>
        <v>BM 29</v>
      </c>
      <c r="AE140" s="1" t="str">
        <f t="shared" si="17"/>
        <v>BM 30</v>
      </c>
      <c r="AF140" s="1" t="str">
        <f t="shared" si="17"/>
        <v>BM 31</v>
      </c>
      <c r="AG140" s="1" t="str">
        <f t="shared" si="17"/>
        <v>BM 32</v>
      </c>
      <c r="AH140" s="1" t="str">
        <f t="shared" si="17"/>
        <v>BM 33</v>
      </c>
      <c r="AI140" s="1" t="str">
        <f t="shared" si="17"/>
        <v>BM 34</v>
      </c>
      <c r="AJ140" s="1" t="str">
        <f t="shared" si="17"/>
        <v>BM 35</v>
      </c>
      <c r="AK140" s="1" t="str">
        <f t="shared" si="17"/>
        <v>BM 36</v>
      </c>
      <c r="AL140" s="1" t="str">
        <f t="shared" si="17"/>
        <v>BM 37</v>
      </c>
      <c r="AM140" s="1" t="str">
        <f t="shared" si="17"/>
        <v>BM 38</v>
      </c>
      <c r="AN140" s="1" t="str">
        <f t="shared" si="17"/>
        <v>BM 39</v>
      </c>
      <c r="AO140" s="1" t="str">
        <f t="shared" si="17"/>
        <v>BM 40</v>
      </c>
      <c r="AP140" s="1" t="str">
        <f t="shared" si="17"/>
        <v>BM 41</v>
      </c>
      <c r="AQ140" s="1" t="str">
        <f t="shared" si="17"/>
        <v>BM 42</v>
      </c>
      <c r="AR140" s="1" t="str">
        <f t="shared" si="17"/>
        <v>BM 43</v>
      </c>
      <c r="AS140" s="1" t="str">
        <f t="shared" si="17"/>
        <v>BM 44</v>
      </c>
      <c r="AT140" s="1" t="str">
        <f t="shared" si="17"/>
        <v>BM 45</v>
      </c>
      <c r="AU140" s="1" t="str">
        <f t="shared" si="17"/>
        <v>BM 46</v>
      </c>
      <c r="AV140" s="1" t="str">
        <f t="shared" si="17"/>
        <v>BM 47</v>
      </c>
      <c r="AW140" s="1" t="str">
        <f t="shared" si="17"/>
        <v>BM 48</v>
      </c>
      <c r="AX140" s="1" t="str">
        <f t="shared" si="17"/>
        <v>BM 49</v>
      </c>
      <c r="AY140" s="1" t="str">
        <f t="shared" si="17"/>
        <v>BM 50</v>
      </c>
      <c r="AZ140" s="1" t="str">
        <f t="shared" si="17"/>
        <v>BM 51</v>
      </c>
      <c r="BA140" s="1" t="str">
        <f t="shared" si="17"/>
        <v>BM 52</v>
      </c>
      <c r="BB140" s="1" t="str">
        <f t="shared" si="17"/>
        <v>BM 53</v>
      </c>
      <c r="BC140" s="1" t="str">
        <f t="shared" si="17"/>
        <v>BM 54</v>
      </c>
      <c r="BD140" s="1" t="str">
        <f t="shared" si="17"/>
        <v>BM 55</v>
      </c>
      <c r="BE140" s="1" t="str">
        <f t="shared" si="17"/>
        <v>BM 56</v>
      </c>
      <c r="BF140" s="1" t="str">
        <f t="shared" si="17"/>
        <v>BM 57</v>
      </c>
      <c r="BG140" s="1" t="str">
        <f t="shared" si="17"/>
        <v>BM 58</v>
      </c>
      <c r="BH140" s="1" t="str">
        <f t="shared" si="17"/>
        <v>BM 59</v>
      </c>
      <c r="BI140" s="1" t="str">
        <f t="shared" si="17"/>
        <v>BM 60</v>
      </c>
      <c r="BJ140" s="1" t="str">
        <f t="shared" si="17"/>
        <v>BM 61</v>
      </c>
      <c r="BK140" s="1" t="str">
        <f t="shared" si="17"/>
        <v>BM 62</v>
      </c>
      <c r="BL140" s="1" t="str">
        <f t="shared" si="17"/>
        <v>BM 63</v>
      </c>
      <c r="BM140" s="1" t="str">
        <f t="shared" si="17"/>
        <v>BM 64</v>
      </c>
      <c r="BN140" s="1" t="str">
        <f t="shared" si="17"/>
        <v>BM 65</v>
      </c>
      <c r="BO140" s="1" t="str">
        <f t="shared" ref="BO140:BP143" si="18">BO133</f>
        <v>BM 66</v>
      </c>
      <c r="BP140" s="1" t="str">
        <f t="shared" si="18"/>
        <v>BM 67</v>
      </c>
      <c r="BQ140"/>
      <c r="BR140"/>
      <c r="BS140"/>
      <c r="BT140"/>
      <c r="BU140"/>
    </row>
    <row r="141" spans="1:73" s="44" customFormat="1">
      <c r="A141" s="44" t="str">
        <f>A134</f>
        <v>length</v>
      </c>
      <c r="B141" s="1">
        <f t="shared" ref="B141:B143" si="19">B134</f>
        <v>9.43</v>
      </c>
      <c r="C141" s="1">
        <f t="shared" si="17"/>
        <v>8.3000000000000007</v>
      </c>
      <c r="D141" s="1">
        <f t="shared" si="17"/>
        <v>7.6</v>
      </c>
      <c r="E141" s="1">
        <f t="shared" si="17"/>
        <v>11.58</v>
      </c>
      <c r="F141" s="1">
        <f t="shared" si="17"/>
        <v>10</v>
      </c>
      <c r="G141" s="1">
        <f t="shared" si="17"/>
        <v>10.97</v>
      </c>
      <c r="H141" s="1">
        <f t="shared" si="17"/>
        <v>3.82</v>
      </c>
      <c r="I141" s="1">
        <f t="shared" si="17"/>
        <v>6.5</v>
      </c>
      <c r="J141" s="1">
        <f t="shared" si="17"/>
        <v>11.58</v>
      </c>
      <c r="K141" s="1">
        <f t="shared" si="17"/>
        <v>6.43</v>
      </c>
      <c r="L141" s="1">
        <f t="shared" si="17"/>
        <v>5.4</v>
      </c>
      <c r="M141" s="1">
        <f t="shared" si="17"/>
        <v>16.3</v>
      </c>
      <c r="N141" s="1">
        <f t="shared" si="17"/>
        <v>6.39</v>
      </c>
      <c r="O141" s="1">
        <f t="shared" si="17"/>
        <v>4.4000000000000004</v>
      </c>
      <c r="P141" s="1">
        <f t="shared" si="17"/>
        <v>2.95</v>
      </c>
      <c r="Q141" s="1">
        <f t="shared" si="17"/>
        <v>5.1100000000000003</v>
      </c>
      <c r="R141" s="1">
        <f t="shared" si="17"/>
        <v>4</v>
      </c>
      <c r="S141" s="1">
        <f t="shared" si="17"/>
        <v>6.39</v>
      </c>
      <c r="T141" s="1">
        <f t="shared" si="17"/>
        <v>5.1100000000000003</v>
      </c>
      <c r="U141" s="1">
        <f t="shared" si="17"/>
        <v>5.4</v>
      </c>
      <c r="V141" s="1">
        <f t="shared" si="17"/>
        <v>16.3</v>
      </c>
      <c r="W141" s="1">
        <f t="shared" si="17"/>
        <v>2.95</v>
      </c>
      <c r="X141" s="1">
        <f t="shared" si="17"/>
        <v>5.4</v>
      </c>
      <c r="Y141" s="1">
        <f t="shared" si="17"/>
        <v>1.5</v>
      </c>
      <c r="Z141" s="1">
        <f t="shared" si="17"/>
        <v>14.1</v>
      </c>
      <c r="AA141" s="1">
        <f t="shared" si="17"/>
        <v>9</v>
      </c>
      <c r="AB141" s="1">
        <f t="shared" si="17"/>
        <v>7.3</v>
      </c>
      <c r="AC141" s="1">
        <f t="shared" si="17"/>
        <v>4.2</v>
      </c>
      <c r="AD141" s="1">
        <f t="shared" si="17"/>
        <v>17.899999999999999</v>
      </c>
      <c r="AE141" s="1">
        <f t="shared" si="17"/>
        <v>10.7</v>
      </c>
      <c r="AF141" s="1">
        <f t="shared" si="17"/>
        <v>8.5</v>
      </c>
      <c r="AG141" s="1">
        <f t="shared" si="17"/>
        <v>2.6</v>
      </c>
      <c r="AH141" s="1">
        <f t="shared" si="17"/>
        <v>2.95</v>
      </c>
      <c r="AI141" s="1">
        <f t="shared" si="17"/>
        <v>4.2</v>
      </c>
      <c r="AJ141" s="1">
        <f t="shared" si="17"/>
        <v>8.3000000000000007</v>
      </c>
      <c r="AK141" s="1">
        <f t="shared" si="17"/>
        <v>6.4</v>
      </c>
      <c r="AL141" s="1">
        <f t="shared" si="17"/>
        <v>7.28</v>
      </c>
      <c r="AM141" s="1">
        <f t="shared" si="17"/>
        <v>2.2999999999999998</v>
      </c>
      <c r="AN141" s="1">
        <f t="shared" si="17"/>
        <v>7.8</v>
      </c>
      <c r="AO141" s="1">
        <f t="shared" si="17"/>
        <v>2.95</v>
      </c>
      <c r="AP141" s="1">
        <f t="shared" si="17"/>
        <v>4.1900000000000004</v>
      </c>
      <c r="AQ141" s="1">
        <f t="shared" si="17"/>
        <v>3.63</v>
      </c>
      <c r="AR141" s="1">
        <f t="shared" si="17"/>
        <v>4.25</v>
      </c>
      <c r="AS141" s="1">
        <f t="shared" si="17"/>
        <v>19.3</v>
      </c>
      <c r="AT141" s="1">
        <f t="shared" si="17"/>
        <v>3.7</v>
      </c>
      <c r="AU141" s="1">
        <f t="shared" si="17"/>
        <v>1.7</v>
      </c>
      <c r="AV141" s="1">
        <f t="shared" si="17"/>
        <v>6.7</v>
      </c>
      <c r="AW141" s="1">
        <f t="shared" si="17"/>
        <v>7.58</v>
      </c>
      <c r="AX141" s="1">
        <f t="shared" si="17"/>
        <v>5.75</v>
      </c>
      <c r="AY141" s="1">
        <f t="shared" si="17"/>
        <v>14.43</v>
      </c>
      <c r="AZ141" s="1">
        <f t="shared" si="17"/>
        <v>11.5</v>
      </c>
      <c r="BA141" s="1">
        <f t="shared" si="17"/>
        <v>8.98</v>
      </c>
      <c r="BB141" s="1">
        <f t="shared" si="17"/>
        <v>10.9</v>
      </c>
      <c r="BC141" s="1">
        <f t="shared" si="17"/>
        <v>4.29</v>
      </c>
      <c r="BD141" s="1">
        <f t="shared" si="17"/>
        <v>10.3</v>
      </c>
      <c r="BE141" s="1">
        <f t="shared" si="17"/>
        <v>10.48</v>
      </c>
      <c r="BF141" s="1">
        <f t="shared" si="17"/>
        <v>4.2300000000000004</v>
      </c>
      <c r="BG141" s="1">
        <f t="shared" si="17"/>
        <v>16.11</v>
      </c>
      <c r="BH141" s="1">
        <f t="shared" si="17"/>
        <v>10.4</v>
      </c>
      <c r="BI141" s="1">
        <f t="shared" si="17"/>
        <v>5.51</v>
      </c>
      <c r="BJ141" s="1">
        <f t="shared" si="17"/>
        <v>5.23</v>
      </c>
      <c r="BK141" s="1">
        <f t="shared" si="17"/>
        <v>19.73</v>
      </c>
      <c r="BL141" s="1">
        <f t="shared" si="17"/>
        <v>5.51</v>
      </c>
      <c r="BM141" s="1">
        <f t="shared" si="17"/>
        <v>24.79</v>
      </c>
      <c r="BN141" s="1">
        <f t="shared" si="17"/>
        <v>10.4</v>
      </c>
      <c r="BO141" s="1">
        <f t="shared" si="18"/>
        <v>4.2</v>
      </c>
      <c r="BP141" s="1">
        <f t="shared" si="18"/>
        <v>3.63</v>
      </c>
      <c r="BQ141"/>
    </row>
    <row r="142" spans="1:73" s="1" customFormat="1">
      <c r="A142" s="44" t="str">
        <f>A135</f>
        <v>depth</v>
      </c>
      <c r="B142" s="1">
        <f t="shared" si="19"/>
        <v>0.45</v>
      </c>
      <c r="C142" s="1">
        <f t="shared" si="17"/>
        <v>0.6</v>
      </c>
      <c r="D142" s="1">
        <f t="shared" si="17"/>
        <v>0.6</v>
      </c>
      <c r="E142" s="1">
        <f t="shared" si="17"/>
        <v>0.6</v>
      </c>
      <c r="F142" s="1">
        <f t="shared" si="17"/>
        <v>0.6</v>
      </c>
      <c r="G142" s="1">
        <f t="shared" si="17"/>
        <v>0.6</v>
      </c>
      <c r="H142" s="1">
        <f t="shared" si="17"/>
        <v>0.6</v>
      </c>
      <c r="I142" s="1">
        <f t="shared" si="17"/>
        <v>0.6</v>
      </c>
      <c r="J142" s="1">
        <f t="shared" si="17"/>
        <v>0.6</v>
      </c>
      <c r="K142" s="1">
        <f t="shared" si="17"/>
        <v>0.6</v>
      </c>
      <c r="L142" s="1">
        <f t="shared" si="17"/>
        <v>0.6</v>
      </c>
      <c r="M142" s="1">
        <f t="shared" si="17"/>
        <v>0.6</v>
      </c>
      <c r="N142" s="1">
        <f t="shared" si="17"/>
        <v>0.6</v>
      </c>
      <c r="O142" s="1">
        <f t="shared" si="17"/>
        <v>0.6</v>
      </c>
      <c r="P142" s="1">
        <f t="shared" si="17"/>
        <v>0.45</v>
      </c>
      <c r="Q142" s="1">
        <f t="shared" si="17"/>
        <v>0.5</v>
      </c>
      <c r="R142" s="1">
        <f t="shared" si="17"/>
        <v>0.45</v>
      </c>
      <c r="S142" s="1">
        <f t="shared" si="17"/>
        <v>0.6</v>
      </c>
      <c r="T142" s="1">
        <f t="shared" si="17"/>
        <v>0.6</v>
      </c>
      <c r="U142" s="1">
        <f t="shared" si="17"/>
        <v>0.45</v>
      </c>
      <c r="V142" s="1">
        <f t="shared" si="17"/>
        <v>0.5</v>
      </c>
      <c r="W142" s="1">
        <f t="shared" si="17"/>
        <v>0.45</v>
      </c>
      <c r="X142" s="1">
        <f t="shared" si="17"/>
        <v>0.45</v>
      </c>
      <c r="Y142" s="1">
        <f t="shared" si="17"/>
        <v>0.6</v>
      </c>
      <c r="Z142" s="1">
        <f t="shared" si="17"/>
        <v>0.7</v>
      </c>
      <c r="AA142" s="1">
        <f t="shared" si="17"/>
        <v>0.6</v>
      </c>
      <c r="AB142" s="1">
        <f t="shared" si="17"/>
        <v>0.5</v>
      </c>
      <c r="AC142" s="1">
        <f t="shared" si="17"/>
        <v>0.8</v>
      </c>
      <c r="AD142" s="1">
        <f t="shared" si="17"/>
        <v>0.6</v>
      </c>
      <c r="AE142" s="1">
        <f t="shared" si="17"/>
        <v>0.8</v>
      </c>
      <c r="AF142" s="1">
        <f t="shared" si="17"/>
        <v>0.6</v>
      </c>
      <c r="AG142" s="1">
        <f t="shared" si="17"/>
        <v>0.45</v>
      </c>
      <c r="AH142" s="1">
        <f t="shared" si="17"/>
        <v>0.45</v>
      </c>
      <c r="AI142" s="1">
        <f t="shared" si="17"/>
        <v>0.6</v>
      </c>
      <c r="AJ142" s="1">
        <f t="shared" si="17"/>
        <v>0.6</v>
      </c>
      <c r="AK142" s="1">
        <f t="shared" si="17"/>
        <v>0.45</v>
      </c>
      <c r="AL142" s="1">
        <f t="shared" si="17"/>
        <v>0.6</v>
      </c>
      <c r="AM142" s="1">
        <f t="shared" si="17"/>
        <v>0.45</v>
      </c>
      <c r="AN142" s="1">
        <f t="shared" si="17"/>
        <v>0.6</v>
      </c>
      <c r="AO142" s="1">
        <f t="shared" si="17"/>
        <v>0.45</v>
      </c>
      <c r="AP142" s="1">
        <f t="shared" si="17"/>
        <v>0.6</v>
      </c>
      <c r="AQ142" s="1">
        <f t="shared" si="17"/>
        <v>0.45</v>
      </c>
      <c r="AR142" s="1">
        <f t="shared" si="17"/>
        <v>0.6</v>
      </c>
      <c r="AS142" s="1">
        <f t="shared" si="17"/>
        <v>0.7</v>
      </c>
      <c r="AT142" s="1">
        <f t="shared" si="17"/>
        <v>0.6</v>
      </c>
      <c r="AU142" s="1">
        <f t="shared" si="17"/>
        <v>0.6</v>
      </c>
      <c r="AV142" s="1">
        <f t="shared" si="17"/>
        <v>0.55000000000000004</v>
      </c>
      <c r="AW142" s="1">
        <f t="shared" si="17"/>
        <v>0.6</v>
      </c>
      <c r="AX142" s="1">
        <f t="shared" si="17"/>
        <v>0.6</v>
      </c>
      <c r="AY142" s="1">
        <f t="shared" si="17"/>
        <v>0.7</v>
      </c>
      <c r="AZ142" s="1">
        <f t="shared" si="17"/>
        <v>0.7</v>
      </c>
      <c r="BA142" s="1">
        <f t="shared" si="17"/>
        <v>0.6</v>
      </c>
      <c r="BB142" s="1">
        <f t="shared" si="17"/>
        <v>0.55000000000000004</v>
      </c>
      <c r="BC142" s="1">
        <f t="shared" si="17"/>
        <v>0.45</v>
      </c>
      <c r="BD142" s="1">
        <f t="shared" si="17"/>
        <v>0.45</v>
      </c>
      <c r="BE142" s="1">
        <f t="shared" si="17"/>
        <v>0.45</v>
      </c>
      <c r="BF142" s="1">
        <f t="shared" si="17"/>
        <v>0.45</v>
      </c>
      <c r="BG142" s="1">
        <f t="shared" si="17"/>
        <v>0.6</v>
      </c>
      <c r="BH142" s="1">
        <f t="shared" si="17"/>
        <v>0.6</v>
      </c>
      <c r="BI142" s="1">
        <f t="shared" si="17"/>
        <v>0.6</v>
      </c>
      <c r="BJ142" s="1">
        <f t="shared" si="17"/>
        <v>0.6</v>
      </c>
      <c r="BK142" s="1">
        <f t="shared" si="17"/>
        <v>0.65</v>
      </c>
      <c r="BL142" s="1">
        <f t="shared" si="17"/>
        <v>0.6</v>
      </c>
      <c r="BM142" s="1">
        <f t="shared" si="17"/>
        <v>0.6</v>
      </c>
      <c r="BN142" s="1">
        <f t="shared" si="17"/>
        <v>0.6</v>
      </c>
      <c r="BO142" s="1">
        <f t="shared" si="18"/>
        <v>0.6</v>
      </c>
      <c r="BP142" s="1">
        <f t="shared" si="18"/>
        <v>0.6</v>
      </c>
      <c r="BQ142"/>
      <c r="BR142"/>
      <c r="BS142"/>
      <c r="BT142"/>
      <c r="BU142"/>
    </row>
    <row r="143" spans="1:73" s="1" customFormat="1">
      <c r="A143" s="44" t="str">
        <f>A136</f>
        <v>width</v>
      </c>
      <c r="B143" s="1">
        <f t="shared" si="19"/>
        <v>0.23</v>
      </c>
      <c r="C143" s="1">
        <f t="shared" si="17"/>
        <v>0.3</v>
      </c>
      <c r="D143" s="1">
        <f t="shared" si="17"/>
        <v>0.3</v>
      </c>
      <c r="E143" s="1">
        <f t="shared" si="17"/>
        <v>0.3</v>
      </c>
      <c r="F143" s="1">
        <f t="shared" si="17"/>
        <v>0.3</v>
      </c>
      <c r="G143" s="1">
        <f t="shared" si="17"/>
        <v>0.3</v>
      </c>
      <c r="H143" s="1">
        <f t="shared" si="17"/>
        <v>0.3</v>
      </c>
      <c r="I143" s="1">
        <f t="shared" si="17"/>
        <v>0.3</v>
      </c>
      <c r="J143" s="1">
        <f t="shared" si="17"/>
        <v>0.3</v>
      </c>
      <c r="K143" s="1">
        <f t="shared" si="17"/>
        <v>0.3</v>
      </c>
      <c r="L143" s="1">
        <f t="shared" si="17"/>
        <v>0.3</v>
      </c>
      <c r="M143" s="1">
        <f t="shared" si="17"/>
        <v>0.3</v>
      </c>
      <c r="N143" s="1">
        <f t="shared" si="17"/>
        <v>0.3</v>
      </c>
      <c r="O143" s="1">
        <f t="shared" si="17"/>
        <v>0.3</v>
      </c>
      <c r="P143" s="1">
        <f t="shared" si="17"/>
        <v>0.23</v>
      </c>
      <c r="Q143" s="1">
        <f t="shared" si="17"/>
        <v>0.23</v>
      </c>
      <c r="R143" s="1">
        <f t="shared" si="17"/>
        <v>0.23</v>
      </c>
      <c r="S143" s="1">
        <f t="shared" si="17"/>
        <v>0.3</v>
      </c>
      <c r="T143" s="1">
        <f t="shared" si="17"/>
        <v>0.3</v>
      </c>
      <c r="U143" s="1">
        <f t="shared" si="17"/>
        <v>0.23</v>
      </c>
      <c r="V143" s="1">
        <f t="shared" si="17"/>
        <v>0.23</v>
      </c>
      <c r="W143" s="1">
        <f t="shared" si="17"/>
        <v>0.23</v>
      </c>
      <c r="X143" s="1">
        <f t="shared" si="17"/>
        <v>0.23</v>
      </c>
      <c r="Y143" s="1">
        <f t="shared" si="17"/>
        <v>0.3</v>
      </c>
      <c r="Z143" s="1">
        <f t="shared" si="17"/>
        <v>0.3</v>
      </c>
      <c r="AA143" s="1">
        <f t="shared" si="17"/>
        <v>0.23</v>
      </c>
      <c r="AB143" s="1">
        <f t="shared" si="17"/>
        <v>0.23</v>
      </c>
      <c r="AC143" s="1">
        <f t="shared" si="17"/>
        <v>0.3</v>
      </c>
      <c r="AD143" s="1">
        <f t="shared" si="17"/>
        <v>0.3</v>
      </c>
      <c r="AE143" s="1">
        <f t="shared" si="17"/>
        <v>0.3</v>
      </c>
      <c r="AF143" s="1">
        <f t="shared" si="17"/>
        <v>0.3</v>
      </c>
      <c r="AG143" s="1">
        <f t="shared" si="17"/>
        <v>0.23</v>
      </c>
      <c r="AH143" s="1">
        <f t="shared" si="17"/>
        <v>0.23</v>
      </c>
      <c r="AI143" s="1">
        <f t="shared" si="17"/>
        <v>0.3</v>
      </c>
      <c r="AJ143" s="1">
        <f t="shared" si="17"/>
        <v>0.3</v>
      </c>
      <c r="AK143" s="1">
        <f t="shared" si="17"/>
        <v>0.23</v>
      </c>
      <c r="AL143" s="1">
        <f t="shared" si="17"/>
        <v>0.3</v>
      </c>
      <c r="AM143" s="1">
        <f t="shared" si="17"/>
        <v>0.23</v>
      </c>
      <c r="AN143" s="1">
        <f t="shared" si="17"/>
        <v>0.3</v>
      </c>
      <c r="AO143" s="1">
        <f t="shared" si="17"/>
        <v>0.23</v>
      </c>
      <c r="AP143" s="1">
        <f t="shared" si="17"/>
        <v>0.3</v>
      </c>
      <c r="AQ143" s="1">
        <f t="shared" si="17"/>
        <v>0.23</v>
      </c>
      <c r="AR143" s="1">
        <f t="shared" si="17"/>
        <v>0.3</v>
      </c>
      <c r="AS143" s="1">
        <f t="shared" si="17"/>
        <v>0.23</v>
      </c>
      <c r="AT143" s="1">
        <f t="shared" si="17"/>
        <v>0.23</v>
      </c>
      <c r="AU143" s="1">
        <f t="shared" si="17"/>
        <v>0.3</v>
      </c>
      <c r="AV143" s="1">
        <f t="shared" si="17"/>
        <v>0.23</v>
      </c>
      <c r="AW143" s="1">
        <f t="shared" si="17"/>
        <v>0.3</v>
      </c>
      <c r="AX143" s="1">
        <f t="shared" si="17"/>
        <v>0.3</v>
      </c>
      <c r="AY143" s="1">
        <f t="shared" si="17"/>
        <v>0.3</v>
      </c>
      <c r="AZ143" s="1">
        <f t="shared" si="17"/>
        <v>0.3</v>
      </c>
      <c r="BA143" s="1">
        <f t="shared" si="17"/>
        <v>0.3</v>
      </c>
      <c r="BB143" s="1">
        <f t="shared" si="17"/>
        <v>0.23</v>
      </c>
      <c r="BC143" s="1">
        <f t="shared" si="17"/>
        <v>0.23</v>
      </c>
      <c r="BD143" s="1">
        <f t="shared" si="17"/>
        <v>0.23</v>
      </c>
      <c r="BE143" s="1">
        <f t="shared" si="17"/>
        <v>0.23</v>
      </c>
      <c r="BF143" s="1">
        <f t="shared" si="17"/>
        <v>0.23</v>
      </c>
      <c r="BG143" s="1">
        <f t="shared" si="17"/>
        <v>0.3</v>
      </c>
      <c r="BH143" s="1">
        <f t="shared" si="17"/>
        <v>0.3</v>
      </c>
      <c r="BI143" s="1">
        <f t="shared" si="17"/>
        <v>0.3</v>
      </c>
      <c r="BJ143" s="1">
        <f t="shared" si="17"/>
        <v>0.3</v>
      </c>
      <c r="BK143" s="1">
        <f t="shared" si="17"/>
        <v>0.3</v>
      </c>
      <c r="BL143" s="1">
        <f t="shared" si="17"/>
        <v>0.3</v>
      </c>
      <c r="BM143" s="1">
        <f t="shared" si="17"/>
        <v>0.3</v>
      </c>
      <c r="BN143" s="1">
        <f t="shared" ref="BN143" si="20">BN136</f>
        <v>0.3</v>
      </c>
      <c r="BO143" s="1">
        <f t="shared" si="18"/>
        <v>0.3</v>
      </c>
      <c r="BP143" s="1">
        <f t="shared" si="18"/>
        <v>0.3</v>
      </c>
      <c r="BQ143"/>
      <c r="BR143"/>
      <c r="BS143"/>
      <c r="BT143"/>
      <c r="BU143"/>
    </row>
    <row r="144" spans="1:73" s="1" customFormat="1">
      <c r="B144" s="8">
        <f t="shared" ref="B144:BM144" si="21">(B141*B142*2)+(B141*B143)</f>
        <v>10.655899999999999</v>
      </c>
      <c r="C144" s="8">
        <f t="shared" si="21"/>
        <v>12.450000000000001</v>
      </c>
      <c r="D144" s="8">
        <f t="shared" si="21"/>
        <v>11.399999999999999</v>
      </c>
      <c r="E144" s="8">
        <f t="shared" si="21"/>
        <v>17.369999999999997</v>
      </c>
      <c r="F144" s="8">
        <f t="shared" si="21"/>
        <v>15</v>
      </c>
      <c r="G144" s="8">
        <f t="shared" si="21"/>
        <v>16.454999999999998</v>
      </c>
      <c r="H144" s="8">
        <f t="shared" si="21"/>
        <v>5.7299999999999995</v>
      </c>
      <c r="I144" s="8">
        <f t="shared" si="21"/>
        <v>9.75</v>
      </c>
      <c r="J144" s="8">
        <f t="shared" si="21"/>
        <v>17.369999999999997</v>
      </c>
      <c r="K144" s="8">
        <f t="shared" si="21"/>
        <v>9.6449999999999996</v>
      </c>
      <c r="L144" s="8">
        <f t="shared" si="21"/>
        <v>8.1000000000000014</v>
      </c>
      <c r="M144" s="8">
        <f t="shared" si="21"/>
        <v>24.45</v>
      </c>
      <c r="N144" s="8">
        <f t="shared" si="21"/>
        <v>9.5849999999999991</v>
      </c>
      <c r="O144" s="8">
        <f t="shared" si="21"/>
        <v>6.6000000000000005</v>
      </c>
      <c r="P144" s="8">
        <f t="shared" si="21"/>
        <v>3.3335000000000004</v>
      </c>
      <c r="Q144" s="8">
        <f t="shared" si="21"/>
        <v>6.2853000000000003</v>
      </c>
      <c r="R144" s="8">
        <f t="shared" si="21"/>
        <v>4.5200000000000005</v>
      </c>
      <c r="S144" s="8">
        <f t="shared" si="21"/>
        <v>9.5849999999999991</v>
      </c>
      <c r="T144" s="8">
        <f t="shared" si="21"/>
        <v>7.6650000000000009</v>
      </c>
      <c r="U144" s="8">
        <f t="shared" si="21"/>
        <v>6.1020000000000003</v>
      </c>
      <c r="V144" s="8">
        <f t="shared" si="21"/>
        <v>20.048999999999999</v>
      </c>
      <c r="W144" s="8">
        <f t="shared" si="21"/>
        <v>3.3335000000000004</v>
      </c>
      <c r="X144" s="8">
        <f t="shared" si="21"/>
        <v>6.1020000000000003</v>
      </c>
      <c r="Y144" s="8">
        <f t="shared" si="21"/>
        <v>2.25</v>
      </c>
      <c r="Z144" s="8">
        <f t="shared" si="21"/>
        <v>23.97</v>
      </c>
      <c r="AA144" s="8">
        <f t="shared" si="21"/>
        <v>12.87</v>
      </c>
      <c r="AB144" s="8">
        <f t="shared" si="21"/>
        <v>8.9789999999999992</v>
      </c>
      <c r="AC144" s="8">
        <f t="shared" si="21"/>
        <v>7.98</v>
      </c>
      <c r="AD144" s="8">
        <f t="shared" si="21"/>
        <v>26.849999999999994</v>
      </c>
      <c r="AE144" s="8">
        <f t="shared" si="21"/>
        <v>20.330000000000002</v>
      </c>
      <c r="AF144" s="8">
        <f t="shared" si="21"/>
        <v>12.75</v>
      </c>
      <c r="AG144" s="8">
        <f t="shared" si="21"/>
        <v>2.9380000000000006</v>
      </c>
      <c r="AH144" s="8">
        <f t="shared" si="21"/>
        <v>3.3335000000000004</v>
      </c>
      <c r="AI144" s="8">
        <f t="shared" si="21"/>
        <v>6.3</v>
      </c>
      <c r="AJ144" s="8">
        <f t="shared" si="21"/>
        <v>12.450000000000001</v>
      </c>
      <c r="AK144" s="8">
        <f t="shared" si="21"/>
        <v>7.2320000000000011</v>
      </c>
      <c r="AL144" s="8">
        <f t="shared" si="21"/>
        <v>10.920000000000002</v>
      </c>
      <c r="AM144" s="8">
        <f t="shared" si="21"/>
        <v>2.5989999999999998</v>
      </c>
      <c r="AN144" s="8">
        <f t="shared" si="21"/>
        <v>11.7</v>
      </c>
      <c r="AO144" s="8">
        <f t="shared" si="21"/>
        <v>3.3335000000000004</v>
      </c>
      <c r="AP144" s="8">
        <f t="shared" si="21"/>
        <v>6.2850000000000001</v>
      </c>
      <c r="AQ144" s="8">
        <f t="shared" si="21"/>
        <v>4.1018999999999997</v>
      </c>
      <c r="AR144" s="8">
        <f t="shared" si="21"/>
        <v>6.375</v>
      </c>
      <c r="AS144" s="8">
        <f t="shared" si="21"/>
        <v>31.459</v>
      </c>
      <c r="AT144" s="8">
        <f t="shared" si="21"/>
        <v>5.2910000000000004</v>
      </c>
      <c r="AU144" s="8">
        <f t="shared" si="21"/>
        <v>2.5499999999999998</v>
      </c>
      <c r="AV144" s="8">
        <f t="shared" si="21"/>
        <v>8.9110000000000014</v>
      </c>
      <c r="AW144" s="8">
        <f t="shared" si="21"/>
        <v>11.370000000000001</v>
      </c>
      <c r="AX144" s="8">
        <f t="shared" si="21"/>
        <v>8.625</v>
      </c>
      <c r="AY144" s="8">
        <f t="shared" si="21"/>
        <v>24.530999999999999</v>
      </c>
      <c r="AZ144" s="8">
        <f t="shared" si="21"/>
        <v>19.549999999999997</v>
      </c>
      <c r="BA144" s="8">
        <f t="shared" si="21"/>
        <v>13.469999999999999</v>
      </c>
      <c r="BB144" s="8">
        <f t="shared" si="21"/>
        <v>14.497000000000002</v>
      </c>
      <c r="BC144" s="8">
        <f t="shared" si="21"/>
        <v>4.8477000000000006</v>
      </c>
      <c r="BD144" s="8">
        <f t="shared" si="21"/>
        <v>11.639000000000001</v>
      </c>
      <c r="BE144" s="8">
        <f t="shared" si="21"/>
        <v>11.842400000000001</v>
      </c>
      <c r="BF144" s="8">
        <f t="shared" si="21"/>
        <v>4.7799000000000005</v>
      </c>
      <c r="BG144" s="8">
        <f t="shared" si="21"/>
        <v>24.164999999999996</v>
      </c>
      <c r="BH144" s="8">
        <f t="shared" si="21"/>
        <v>15.600000000000001</v>
      </c>
      <c r="BI144" s="8">
        <f t="shared" si="21"/>
        <v>8.2649999999999988</v>
      </c>
      <c r="BJ144" s="8">
        <f t="shared" si="21"/>
        <v>7.8450000000000006</v>
      </c>
      <c r="BK144" s="8">
        <f t="shared" si="21"/>
        <v>31.568000000000001</v>
      </c>
      <c r="BL144" s="8">
        <f t="shared" si="21"/>
        <v>8.2649999999999988</v>
      </c>
      <c r="BM144" s="8">
        <f t="shared" si="21"/>
        <v>37.184999999999995</v>
      </c>
      <c r="BN144" s="8">
        <f t="shared" ref="BN144:BP144" si="22">(BN141*BN142*2)+(BN141*BN143)</f>
        <v>15.600000000000001</v>
      </c>
      <c r="BO144" s="8">
        <f t="shared" si="22"/>
        <v>6.3</v>
      </c>
      <c r="BP144" s="8">
        <f t="shared" si="22"/>
        <v>5.4450000000000003</v>
      </c>
      <c r="BQ144"/>
      <c r="BR144"/>
      <c r="BS144"/>
      <c r="BT144"/>
      <c r="BU144"/>
    </row>
    <row r="145" spans="1:73" s="1" customFormat="1" ht="15.75" thickBot="1"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 s="4"/>
      <c r="BR145"/>
      <c r="BS145"/>
      <c r="BT145"/>
      <c r="BU145"/>
    </row>
    <row r="146" spans="1:73" s="1" customFormat="1" ht="19.5" thickBot="1">
      <c r="B146" s="203" t="s">
        <v>311</v>
      </c>
      <c r="C146" s="203"/>
      <c r="D146" s="203"/>
      <c r="E146" s="203"/>
      <c r="F146" s="50">
        <f>ROUNDUP(SUM(B152:BP152),0)</f>
        <v>25884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 s="4"/>
      <c r="BR146"/>
      <c r="BS146"/>
      <c r="BT146"/>
      <c r="BU146"/>
    </row>
    <row r="147" spans="1:73" s="1" customFormat="1">
      <c r="C147" s="1" t="s">
        <v>105</v>
      </c>
      <c r="D147" s="1">
        <f>6889*2</f>
        <v>13778</v>
      </c>
      <c r="G147" s="1">
        <f>D147/F132</f>
        <v>78.284090909090907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 s="4"/>
      <c r="BR147"/>
      <c r="BS147"/>
      <c r="BT147"/>
      <c r="BU147"/>
    </row>
    <row r="148" spans="1:73" s="1" customFormat="1">
      <c r="C148" s="1" t="s">
        <v>70</v>
      </c>
      <c r="D148" s="1">
        <f>1475*2</f>
        <v>2950</v>
      </c>
      <c r="G148" s="1">
        <f>D148/F132</f>
        <v>16.761363636363637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 s="4"/>
      <c r="BR148"/>
      <c r="BS148"/>
      <c r="BT148"/>
      <c r="BU148"/>
    </row>
    <row r="149" spans="1:73" s="1" customFormat="1">
      <c r="C149" s="1" t="s">
        <v>71</v>
      </c>
      <c r="D149" s="1">
        <f>2644*2</f>
        <v>5288</v>
      </c>
      <c r="G149" s="1">
        <f>D149/F132</f>
        <v>30.045454545454547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 s="4"/>
      <c r="BR149"/>
      <c r="BS149"/>
      <c r="BT149"/>
      <c r="BU149"/>
    </row>
    <row r="150" spans="1:73" s="1" customFormat="1">
      <c r="C150" s="1" t="s">
        <v>68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 s="4"/>
      <c r="BR150"/>
      <c r="BS150"/>
      <c r="BT150"/>
      <c r="BU150"/>
    </row>
    <row r="151" spans="1:73" s="1" customFormat="1">
      <c r="C151" s="1" t="s">
        <v>108</v>
      </c>
      <c r="D151" s="1">
        <f>1934*2</f>
        <v>3868</v>
      </c>
      <c r="G151" s="1">
        <f>D151/F132</f>
        <v>21.977272727272727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 s="4"/>
      <c r="BR151"/>
      <c r="BS151"/>
      <c r="BT151"/>
      <c r="BU151"/>
    </row>
    <row r="152" spans="1:73" s="1" customFormat="1">
      <c r="D152" s="100">
        <f>SUM(D147:D151)</f>
        <v>25884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 s="4"/>
      <c r="BR152"/>
      <c r="BS152"/>
      <c r="BT152"/>
      <c r="BU152"/>
    </row>
    <row r="153" spans="1:73" s="1" customFormat="1">
      <c r="F153" s="5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 s="4"/>
      <c r="BR153"/>
      <c r="BS153"/>
      <c r="BT153"/>
      <c r="BU153"/>
    </row>
    <row r="154" spans="1:73" s="1" customFormat="1" ht="15.75" thickBot="1"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 s="4"/>
      <c r="BR154"/>
      <c r="BS154"/>
      <c r="BT154"/>
      <c r="BU154"/>
    </row>
    <row r="155" spans="1:73" s="1" customFormat="1" ht="19.5" thickBot="1">
      <c r="B155" s="203" t="s">
        <v>308</v>
      </c>
      <c r="C155" s="203"/>
      <c r="D155" s="203"/>
      <c r="E155" s="206"/>
      <c r="F155" s="50">
        <f>ROUNDUP(SUM(B160:BU160),0)</f>
        <v>85</v>
      </c>
      <c r="I155" s="4"/>
      <c r="BQ155"/>
      <c r="BR155"/>
      <c r="BS155"/>
      <c r="BT155"/>
      <c r="BU155"/>
    </row>
    <row r="156" spans="1:73" s="1" customFormat="1" ht="12.75">
      <c r="B156" s="1" t="s">
        <v>127</v>
      </c>
      <c r="C156" s="1" t="s">
        <v>128</v>
      </c>
      <c r="D156" s="1" t="s">
        <v>129</v>
      </c>
      <c r="E156" s="1" t="s">
        <v>130</v>
      </c>
      <c r="F156" s="1" t="s">
        <v>131</v>
      </c>
      <c r="G156" s="1" t="s">
        <v>132</v>
      </c>
      <c r="H156" s="1" t="s">
        <v>133</v>
      </c>
      <c r="I156" s="1" t="s">
        <v>134</v>
      </c>
      <c r="J156" s="1" t="s">
        <v>135</v>
      </c>
      <c r="K156" s="1" t="s">
        <v>136</v>
      </c>
      <c r="L156" s="1" t="s">
        <v>137</v>
      </c>
      <c r="M156" s="1" t="s">
        <v>138</v>
      </c>
      <c r="N156" s="1" t="s">
        <v>139</v>
      </c>
      <c r="O156" s="1" t="s">
        <v>140</v>
      </c>
      <c r="P156" s="1" t="s">
        <v>141</v>
      </c>
      <c r="Q156" s="1" t="s">
        <v>142</v>
      </c>
      <c r="R156" s="1" t="s">
        <v>143</v>
      </c>
      <c r="S156" s="1" t="s">
        <v>144</v>
      </c>
      <c r="T156" s="1" t="s">
        <v>145</v>
      </c>
      <c r="U156" s="1" t="s">
        <v>146</v>
      </c>
      <c r="V156" s="1" t="s">
        <v>147</v>
      </c>
      <c r="W156" s="1" t="s">
        <v>148</v>
      </c>
      <c r="X156" s="1" t="s">
        <v>149</v>
      </c>
      <c r="Y156" s="1" t="s">
        <v>150</v>
      </c>
      <c r="Z156" s="1" t="s">
        <v>151</v>
      </c>
      <c r="AA156" s="1" t="s">
        <v>152</v>
      </c>
      <c r="AB156" s="1" t="s">
        <v>153</v>
      </c>
      <c r="AC156" s="1" t="s">
        <v>154</v>
      </c>
      <c r="AD156" s="1" t="s">
        <v>155</v>
      </c>
      <c r="AE156" s="1" t="s">
        <v>156</v>
      </c>
      <c r="AF156" s="1" t="s">
        <v>157</v>
      </c>
      <c r="AG156" s="1" t="s">
        <v>158</v>
      </c>
      <c r="AH156" s="1" t="s">
        <v>159</v>
      </c>
      <c r="AI156" s="1" t="s">
        <v>160</v>
      </c>
      <c r="AJ156" s="1" t="s">
        <v>161</v>
      </c>
      <c r="AK156" s="1" t="s">
        <v>162</v>
      </c>
      <c r="AL156" s="1" t="s">
        <v>163</v>
      </c>
      <c r="AM156" s="1" t="s">
        <v>277</v>
      </c>
      <c r="AN156" s="1" t="s">
        <v>278</v>
      </c>
      <c r="AO156" s="1" t="s">
        <v>279</v>
      </c>
      <c r="AP156" s="1" t="s">
        <v>280</v>
      </c>
      <c r="AQ156" s="1" t="s">
        <v>281</v>
      </c>
      <c r="AR156" s="1" t="s">
        <v>282</v>
      </c>
      <c r="AS156" s="1" t="s">
        <v>283</v>
      </c>
      <c r="AT156" s="1" t="s">
        <v>284</v>
      </c>
      <c r="AU156" s="1" t="s">
        <v>285</v>
      </c>
      <c r="AV156" s="1" t="s">
        <v>286</v>
      </c>
      <c r="AW156" s="1" t="s">
        <v>287</v>
      </c>
      <c r="AX156" s="1" t="s">
        <v>288</v>
      </c>
      <c r="AY156" s="1" t="s">
        <v>289</v>
      </c>
      <c r="AZ156" s="1" t="s">
        <v>290</v>
      </c>
      <c r="BA156" s="1" t="s">
        <v>291</v>
      </c>
      <c r="BB156" s="1" t="s">
        <v>292</v>
      </c>
      <c r="BC156" s="1" t="s">
        <v>293</v>
      </c>
      <c r="BD156" s="1" t="s">
        <v>294</v>
      </c>
      <c r="BE156" s="1" t="s">
        <v>295</v>
      </c>
      <c r="BF156" s="1" t="s">
        <v>296</v>
      </c>
      <c r="BG156" s="1" t="s">
        <v>297</v>
      </c>
      <c r="BH156" s="1" t="s">
        <v>298</v>
      </c>
      <c r="BI156" s="1" t="s">
        <v>299</v>
      </c>
      <c r="BJ156" s="1" t="s">
        <v>300</v>
      </c>
      <c r="BK156" s="1" t="s">
        <v>301</v>
      </c>
      <c r="BL156" s="1" t="s">
        <v>302</v>
      </c>
      <c r="BM156" s="1" t="s">
        <v>303</v>
      </c>
      <c r="BN156" s="1" t="s">
        <v>304</v>
      </c>
      <c r="BO156" s="1" t="s">
        <v>305</v>
      </c>
      <c r="BP156" s="1" t="s">
        <v>306</v>
      </c>
      <c r="BQ156" s="1" t="s">
        <v>315</v>
      </c>
      <c r="BR156" s="1" t="s">
        <v>316</v>
      </c>
      <c r="BS156" s="1" t="s">
        <v>323</v>
      </c>
      <c r="BT156" s="1" t="s">
        <v>324</v>
      </c>
      <c r="BU156" s="1" t="s">
        <v>325</v>
      </c>
    </row>
    <row r="157" spans="1:73" s="44" customFormat="1" ht="12.75">
      <c r="A157" s="44" t="s">
        <v>37</v>
      </c>
      <c r="B157" s="51">
        <v>22.1</v>
      </c>
      <c r="C157" s="51">
        <v>2.95</v>
      </c>
      <c r="D157" s="52">
        <v>10.7</v>
      </c>
      <c r="E157" s="52">
        <v>8.5</v>
      </c>
      <c r="F157" s="52">
        <v>5.19</v>
      </c>
      <c r="G157" s="52">
        <v>4.82</v>
      </c>
      <c r="H157" s="52">
        <v>9.5</v>
      </c>
      <c r="I157" s="52">
        <v>9</v>
      </c>
      <c r="J157" s="52">
        <v>7.3</v>
      </c>
      <c r="K157" s="52">
        <v>5.4</v>
      </c>
      <c r="L157" s="52">
        <v>1.8</v>
      </c>
      <c r="M157" s="52">
        <v>8.3000000000000007</v>
      </c>
      <c r="N157" s="52">
        <v>4.2</v>
      </c>
      <c r="O157" s="52">
        <v>6.4</v>
      </c>
      <c r="P157" s="51">
        <v>2.6</v>
      </c>
      <c r="Q157" s="51">
        <v>7.3</v>
      </c>
      <c r="R157" s="51">
        <v>2.2999999999999998</v>
      </c>
      <c r="S157" s="51">
        <v>7.8</v>
      </c>
      <c r="T157" s="51">
        <v>5.1100000000000003</v>
      </c>
      <c r="U157" s="51">
        <v>9.43</v>
      </c>
      <c r="V157" s="51">
        <v>8.3000000000000007</v>
      </c>
      <c r="W157" s="51">
        <v>7.6</v>
      </c>
      <c r="X157" s="51">
        <f>2*11.58</f>
        <v>23.16</v>
      </c>
      <c r="Y157" s="51">
        <v>10</v>
      </c>
      <c r="Z157" s="51">
        <v>10.97</v>
      </c>
      <c r="AA157" s="51">
        <v>3.82</v>
      </c>
      <c r="AB157" s="51">
        <v>6.5</v>
      </c>
      <c r="AC157" s="51">
        <v>6.43</v>
      </c>
      <c r="AD157" s="51">
        <v>5.4</v>
      </c>
      <c r="AE157" s="51">
        <v>1.95</v>
      </c>
      <c r="AF157" s="51">
        <v>7.3</v>
      </c>
      <c r="AG157" s="51">
        <v>2</v>
      </c>
      <c r="AH157" s="51">
        <v>7.05</v>
      </c>
      <c r="AI157" s="51">
        <v>1.5</v>
      </c>
      <c r="AJ157" s="51">
        <v>6.3</v>
      </c>
      <c r="AK157" s="51">
        <v>4.3</v>
      </c>
      <c r="AL157" s="51">
        <v>2.95</v>
      </c>
      <c r="AM157" s="51">
        <v>2</v>
      </c>
      <c r="AN157" s="51">
        <v>5.18</v>
      </c>
      <c r="AO157" s="51">
        <v>2.95</v>
      </c>
      <c r="AP157" s="51">
        <v>14.1</v>
      </c>
      <c r="AQ157" s="51">
        <v>9</v>
      </c>
      <c r="AR157" s="51">
        <v>7.6</v>
      </c>
      <c r="AS157" s="51">
        <v>10.4</v>
      </c>
      <c r="AT157" s="51">
        <v>5.51</v>
      </c>
      <c r="AU157" s="51">
        <v>19.399999999999999</v>
      </c>
      <c r="AV157" s="51">
        <v>4.07</v>
      </c>
      <c r="AW157" s="51">
        <v>6.33</v>
      </c>
      <c r="AX157" s="53">
        <v>24.79</v>
      </c>
      <c r="AY157" s="53">
        <v>5.5</v>
      </c>
      <c r="AZ157" s="53">
        <v>4.2</v>
      </c>
      <c r="BA157" s="53">
        <v>3.33</v>
      </c>
      <c r="BB157" s="53">
        <v>2.95</v>
      </c>
      <c r="BC157" s="53">
        <v>4.2</v>
      </c>
      <c r="BD157" s="53">
        <v>4.25</v>
      </c>
      <c r="BE157" s="53">
        <v>1.7</v>
      </c>
      <c r="BF157" s="53">
        <v>2.75</v>
      </c>
      <c r="BG157" s="53">
        <v>11.5</v>
      </c>
      <c r="BH157" s="53">
        <v>7.58</v>
      </c>
      <c r="BI157" s="53">
        <v>11.72</v>
      </c>
      <c r="BJ157" s="53">
        <v>5.5</v>
      </c>
      <c r="BK157" s="53">
        <v>5.18</v>
      </c>
      <c r="BL157" s="53">
        <v>1.5</v>
      </c>
      <c r="BM157" s="53">
        <v>20.18</v>
      </c>
      <c r="BN157" s="53">
        <v>4.29</v>
      </c>
      <c r="BO157" s="53">
        <v>11.5</v>
      </c>
      <c r="BP157" s="53">
        <v>8.68</v>
      </c>
      <c r="BQ157" s="53">
        <v>10.9</v>
      </c>
      <c r="BR157" s="53">
        <v>9.48</v>
      </c>
      <c r="BS157" s="53">
        <v>4.29</v>
      </c>
      <c r="BT157" s="53">
        <v>5.0999999999999996</v>
      </c>
      <c r="BU157" s="53">
        <v>11.01</v>
      </c>
    </row>
    <row r="158" spans="1:73" s="1" customFormat="1" ht="12.75">
      <c r="A158" s="44" t="s">
        <v>165</v>
      </c>
      <c r="B158" s="1">
        <v>0.6</v>
      </c>
      <c r="C158" s="1">
        <v>0.45</v>
      </c>
      <c r="D158" s="1">
        <v>0.8</v>
      </c>
      <c r="E158" s="1">
        <v>0.45</v>
      </c>
      <c r="F158" s="1">
        <v>0.7</v>
      </c>
      <c r="G158" s="1">
        <v>0.5</v>
      </c>
      <c r="H158" s="1">
        <v>0.45</v>
      </c>
      <c r="I158" s="1">
        <v>0.8</v>
      </c>
      <c r="J158" s="1">
        <v>0.5</v>
      </c>
      <c r="K158" s="1">
        <v>0.45</v>
      </c>
      <c r="L158" s="1">
        <v>0.6</v>
      </c>
      <c r="M158" s="1">
        <f t="shared" ref="M158:N159" si="23">L158</f>
        <v>0.6</v>
      </c>
      <c r="N158" s="1">
        <f t="shared" si="23"/>
        <v>0.6</v>
      </c>
      <c r="O158" s="1">
        <v>0.45</v>
      </c>
      <c r="P158" s="1">
        <v>0.45</v>
      </c>
      <c r="Q158" s="1">
        <v>0.6</v>
      </c>
      <c r="R158" s="1">
        <v>0.45</v>
      </c>
      <c r="S158" s="1">
        <v>0.6</v>
      </c>
      <c r="T158" s="1">
        <f t="shared" ref="T158:T159" si="24">S158</f>
        <v>0.6</v>
      </c>
      <c r="U158" s="1">
        <v>0.45</v>
      </c>
      <c r="V158" s="1">
        <v>0.6</v>
      </c>
      <c r="W158" s="1">
        <v>0.6</v>
      </c>
      <c r="X158" s="1">
        <f t="shared" ref="X158" si="25">W158</f>
        <v>0.6</v>
      </c>
      <c r="Y158" s="1">
        <v>0.6</v>
      </c>
      <c r="Z158" s="1">
        <v>0.6</v>
      </c>
      <c r="AA158" s="1">
        <v>0.6</v>
      </c>
      <c r="AB158" s="1">
        <f>AA158</f>
        <v>0.6</v>
      </c>
      <c r="AC158" s="1">
        <f>AB158</f>
        <v>0.6</v>
      </c>
      <c r="AD158" s="1">
        <v>0.45</v>
      </c>
      <c r="AE158" s="1">
        <v>0.5</v>
      </c>
      <c r="AF158" s="1">
        <v>0.5</v>
      </c>
      <c r="AG158" s="1">
        <f>AF158</f>
        <v>0.5</v>
      </c>
      <c r="AH158" s="1">
        <v>0.8</v>
      </c>
      <c r="AI158" s="1">
        <f>AH158</f>
        <v>0.8</v>
      </c>
      <c r="AJ158" s="1">
        <v>0.6</v>
      </c>
      <c r="AK158" s="1">
        <f>AJ158</f>
        <v>0.6</v>
      </c>
      <c r="AL158" s="1">
        <v>0.45</v>
      </c>
      <c r="AM158" s="1">
        <v>0.6</v>
      </c>
      <c r="AN158" s="1">
        <v>0.6</v>
      </c>
      <c r="AO158" s="1">
        <v>0.45</v>
      </c>
      <c r="AP158" s="1">
        <v>0.55000000000000004</v>
      </c>
      <c r="AQ158" s="1">
        <v>0.8</v>
      </c>
      <c r="AR158" s="1">
        <v>0.6</v>
      </c>
      <c r="AS158" s="1">
        <v>0.6</v>
      </c>
      <c r="AT158" s="1">
        <v>0.6</v>
      </c>
      <c r="AU158" s="1">
        <v>0.45</v>
      </c>
      <c r="AV158" s="1">
        <v>0.6</v>
      </c>
      <c r="AW158" s="1">
        <v>0.45</v>
      </c>
      <c r="AX158" s="1">
        <v>0.6</v>
      </c>
      <c r="AY158" s="1">
        <v>0.6</v>
      </c>
      <c r="AZ158" s="1">
        <v>0.6</v>
      </c>
      <c r="BA158" s="1">
        <v>0.6</v>
      </c>
      <c r="BB158" s="1">
        <v>0.45</v>
      </c>
      <c r="BC158" s="1">
        <v>0.6</v>
      </c>
      <c r="BD158" s="1">
        <v>0.6</v>
      </c>
      <c r="BE158" s="1">
        <v>0.6</v>
      </c>
      <c r="BF158" s="1">
        <v>0.6</v>
      </c>
      <c r="BG158" s="1">
        <v>0.7</v>
      </c>
      <c r="BH158" s="1">
        <v>0.6</v>
      </c>
      <c r="BI158" s="1">
        <v>0.7</v>
      </c>
      <c r="BJ158" s="1">
        <v>0.6</v>
      </c>
      <c r="BK158" s="1">
        <v>0.6</v>
      </c>
      <c r="BL158" s="1">
        <v>0.6</v>
      </c>
      <c r="BM158" s="1">
        <v>0.6</v>
      </c>
      <c r="BN158" s="1">
        <v>0.45</v>
      </c>
      <c r="BO158" s="1">
        <v>0.6</v>
      </c>
      <c r="BP158" s="1">
        <v>0.6</v>
      </c>
      <c r="BQ158" s="1">
        <v>0.45</v>
      </c>
      <c r="BR158" s="1">
        <v>0.45</v>
      </c>
      <c r="BS158" s="1">
        <v>0.45</v>
      </c>
      <c r="BT158" s="1">
        <v>0.8</v>
      </c>
      <c r="BU158" s="1">
        <v>0.6</v>
      </c>
    </row>
    <row r="159" spans="1:73" s="1" customFormat="1" ht="12.75">
      <c r="A159" s="44" t="s">
        <v>166</v>
      </c>
      <c r="B159" s="1">
        <v>0.23</v>
      </c>
      <c r="C159" s="1">
        <v>0.23</v>
      </c>
      <c r="D159" s="1">
        <v>0.3</v>
      </c>
      <c r="E159" s="1">
        <v>0.23</v>
      </c>
      <c r="F159" s="1">
        <v>0.3</v>
      </c>
      <c r="G159" s="1">
        <v>0.23</v>
      </c>
      <c r="H159" s="1">
        <f t="shared" ref="H159" si="26">G159</f>
        <v>0.23</v>
      </c>
      <c r="I159" s="1">
        <v>0.3</v>
      </c>
      <c r="J159" s="1">
        <v>0.23</v>
      </c>
      <c r="K159" s="1">
        <f t="shared" ref="K159" si="27">J159</f>
        <v>0.23</v>
      </c>
      <c r="L159" s="1">
        <v>0.3</v>
      </c>
      <c r="M159" s="1">
        <f t="shared" si="23"/>
        <v>0.3</v>
      </c>
      <c r="N159" s="1">
        <f t="shared" si="23"/>
        <v>0.3</v>
      </c>
      <c r="O159" s="1">
        <v>0.23</v>
      </c>
      <c r="P159" s="1">
        <v>0.23</v>
      </c>
      <c r="Q159" s="1">
        <v>0.23</v>
      </c>
      <c r="R159" s="1">
        <f t="shared" ref="R159" si="28">Q159</f>
        <v>0.23</v>
      </c>
      <c r="S159" s="1">
        <v>0.3</v>
      </c>
      <c r="T159" s="1">
        <f t="shared" si="24"/>
        <v>0.3</v>
      </c>
      <c r="U159" s="1">
        <v>0.23</v>
      </c>
      <c r="V159" s="1">
        <v>0.3</v>
      </c>
      <c r="W159" s="1">
        <f t="shared" ref="W159" si="29">V159</f>
        <v>0.3</v>
      </c>
      <c r="X159" s="1">
        <f>W159</f>
        <v>0.3</v>
      </c>
      <c r="Y159" s="1">
        <v>0.3</v>
      </c>
      <c r="Z159" s="1">
        <v>0.3</v>
      </c>
      <c r="AA159" s="1">
        <f>Z159</f>
        <v>0.3</v>
      </c>
      <c r="AB159" s="1">
        <f t="shared" ref="AB159" si="30">AA159</f>
        <v>0.3</v>
      </c>
      <c r="AC159" s="1">
        <v>0.3</v>
      </c>
      <c r="AD159" s="1">
        <v>0.23</v>
      </c>
      <c r="AE159" s="1">
        <f t="shared" ref="AE159:AF159" si="31">AD159</f>
        <v>0.23</v>
      </c>
      <c r="AF159" s="1">
        <f t="shared" si="31"/>
        <v>0.23</v>
      </c>
      <c r="AG159" s="1">
        <v>0.23</v>
      </c>
      <c r="AH159" s="1">
        <v>0.3</v>
      </c>
      <c r="AI159" s="1">
        <v>0.3</v>
      </c>
      <c r="AJ159" s="1">
        <f t="shared" ref="AJ159" si="32">AI159</f>
        <v>0.3</v>
      </c>
      <c r="AK159" s="1">
        <v>0.3</v>
      </c>
      <c r="AL159" s="1">
        <v>0.23</v>
      </c>
      <c r="AM159" s="1">
        <v>0.3</v>
      </c>
      <c r="AN159" s="1">
        <v>0.3</v>
      </c>
      <c r="AO159" s="1">
        <v>0.23</v>
      </c>
      <c r="AP159" s="1">
        <v>0.23</v>
      </c>
      <c r="AQ159" s="1">
        <v>0.3</v>
      </c>
      <c r="AR159" s="1">
        <v>0.3</v>
      </c>
      <c r="AS159" s="1">
        <f>AR159</f>
        <v>0.3</v>
      </c>
      <c r="AT159" s="1">
        <f t="shared" ref="AT159" si="33">AS159</f>
        <v>0.3</v>
      </c>
      <c r="AU159" s="1">
        <v>0.23</v>
      </c>
      <c r="AV159" s="1">
        <v>0.3</v>
      </c>
      <c r="AW159" s="1">
        <v>0.23</v>
      </c>
      <c r="AX159" s="1">
        <v>0.3</v>
      </c>
      <c r="AY159" s="1">
        <v>0.3</v>
      </c>
      <c r="AZ159" s="1">
        <v>0.3</v>
      </c>
      <c r="BA159" s="1">
        <v>0.3</v>
      </c>
      <c r="BB159" s="1">
        <v>0.23</v>
      </c>
      <c r="BC159" s="1">
        <v>0.3</v>
      </c>
      <c r="BD159" s="1">
        <v>0.3</v>
      </c>
      <c r="BE159" s="1">
        <v>0.3</v>
      </c>
      <c r="BF159" s="1">
        <v>0.3</v>
      </c>
      <c r="BG159" s="1">
        <v>0.23</v>
      </c>
      <c r="BH159" s="1">
        <v>0.3</v>
      </c>
      <c r="BI159" s="1">
        <v>0.3</v>
      </c>
      <c r="BJ159" s="1">
        <v>0.3</v>
      </c>
      <c r="BK159" s="1">
        <v>0.3</v>
      </c>
      <c r="BL159" s="1">
        <v>0.3</v>
      </c>
      <c r="BM159" s="1">
        <v>0.3</v>
      </c>
      <c r="BN159" s="1">
        <v>0.23</v>
      </c>
      <c r="BO159" s="1">
        <v>0.3</v>
      </c>
      <c r="BP159" s="1">
        <v>0.3</v>
      </c>
      <c r="BQ159" s="1">
        <v>0.23</v>
      </c>
      <c r="BR159" s="1">
        <v>0.23</v>
      </c>
      <c r="BS159" s="1">
        <v>0.23</v>
      </c>
      <c r="BT159" s="1">
        <v>0.3</v>
      </c>
      <c r="BU159" s="1">
        <v>0.3</v>
      </c>
    </row>
    <row r="160" spans="1:73" s="1" customFormat="1" ht="12.75">
      <c r="A160" s="44"/>
      <c r="B160" s="8">
        <f t="shared" ref="B160:BM160" si="34">B157*B158*B159</f>
        <v>3.0498000000000003</v>
      </c>
      <c r="C160" s="8">
        <f t="shared" si="34"/>
        <v>0.30532500000000007</v>
      </c>
      <c r="D160" s="8">
        <f t="shared" si="34"/>
        <v>2.5680000000000001</v>
      </c>
      <c r="E160" s="8">
        <f t="shared" si="34"/>
        <v>0.87975000000000003</v>
      </c>
      <c r="F160" s="8">
        <f t="shared" si="34"/>
        <v>1.0898999999999999</v>
      </c>
      <c r="G160" s="8">
        <f t="shared" si="34"/>
        <v>0.55430000000000001</v>
      </c>
      <c r="H160" s="8">
        <f t="shared" si="34"/>
        <v>0.98325000000000018</v>
      </c>
      <c r="I160" s="8">
        <f t="shared" si="34"/>
        <v>2.16</v>
      </c>
      <c r="J160" s="8">
        <f t="shared" si="34"/>
        <v>0.83950000000000002</v>
      </c>
      <c r="K160" s="8">
        <f t="shared" si="34"/>
        <v>0.55890000000000006</v>
      </c>
      <c r="L160" s="8">
        <f t="shared" si="34"/>
        <v>0.32400000000000001</v>
      </c>
      <c r="M160" s="8">
        <f t="shared" si="34"/>
        <v>1.494</v>
      </c>
      <c r="N160" s="8">
        <f t="shared" si="34"/>
        <v>0.75600000000000001</v>
      </c>
      <c r="O160" s="8">
        <f t="shared" si="34"/>
        <v>0.6624000000000001</v>
      </c>
      <c r="P160" s="8">
        <f t="shared" si="34"/>
        <v>0.26910000000000006</v>
      </c>
      <c r="Q160" s="8">
        <f t="shared" si="34"/>
        <v>1.0074000000000001</v>
      </c>
      <c r="R160" s="8">
        <f t="shared" si="34"/>
        <v>0.23804999999999998</v>
      </c>
      <c r="S160" s="8">
        <f t="shared" si="34"/>
        <v>1.4039999999999999</v>
      </c>
      <c r="T160" s="8">
        <f t="shared" si="34"/>
        <v>0.91980000000000006</v>
      </c>
      <c r="U160" s="8">
        <f t="shared" si="34"/>
        <v>0.97600500000000001</v>
      </c>
      <c r="V160" s="8">
        <f t="shared" si="34"/>
        <v>1.494</v>
      </c>
      <c r="W160" s="8">
        <f t="shared" si="34"/>
        <v>1.3679999999999999</v>
      </c>
      <c r="X160" s="8">
        <f t="shared" si="34"/>
        <v>4.1687999999999992</v>
      </c>
      <c r="Y160" s="8">
        <f t="shared" si="34"/>
        <v>1.7999999999999998</v>
      </c>
      <c r="Z160" s="8">
        <f t="shared" si="34"/>
        <v>1.9745999999999999</v>
      </c>
      <c r="AA160" s="8">
        <f t="shared" si="34"/>
        <v>0.68759999999999988</v>
      </c>
      <c r="AB160" s="8">
        <f t="shared" si="34"/>
        <v>1.17</v>
      </c>
      <c r="AC160" s="8">
        <f t="shared" si="34"/>
        <v>1.1573999999999998</v>
      </c>
      <c r="AD160" s="8">
        <f t="shared" si="34"/>
        <v>0.55890000000000006</v>
      </c>
      <c r="AE160" s="8">
        <f t="shared" si="34"/>
        <v>0.22425</v>
      </c>
      <c r="AF160" s="8">
        <f t="shared" si="34"/>
        <v>0.83950000000000002</v>
      </c>
      <c r="AG160" s="8">
        <f t="shared" si="34"/>
        <v>0.23</v>
      </c>
      <c r="AH160" s="8">
        <f t="shared" si="34"/>
        <v>1.6920000000000002</v>
      </c>
      <c r="AI160" s="8">
        <f t="shared" si="34"/>
        <v>0.36000000000000004</v>
      </c>
      <c r="AJ160" s="8">
        <f t="shared" si="34"/>
        <v>1.1339999999999999</v>
      </c>
      <c r="AK160" s="8">
        <f t="shared" si="34"/>
        <v>0.77399999999999991</v>
      </c>
      <c r="AL160" s="8">
        <f t="shared" si="34"/>
        <v>0.30532500000000007</v>
      </c>
      <c r="AM160" s="8">
        <f t="shared" si="34"/>
        <v>0.36</v>
      </c>
      <c r="AN160" s="8">
        <f t="shared" si="34"/>
        <v>0.9323999999999999</v>
      </c>
      <c r="AO160" s="8">
        <f t="shared" si="34"/>
        <v>0.30532500000000007</v>
      </c>
      <c r="AP160" s="8">
        <f t="shared" si="34"/>
        <v>1.7836500000000002</v>
      </c>
      <c r="AQ160" s="8">
        <f t="shared" si="34"/>
        <v>2.16</v>
      </c>
      <c r="AR160" s="8">
        <f t="shared" si="34"/>
        <v>1.3679999999999999</v>
      </c>
      <c r="AS160" s="8">
        <f t="shared" si="34"/>
        <v>1.8719999999999999</v>
      </c>
      <c r="AT160" s="8">
        <f t="shared" si="34"/>
        <v>0.99179999999999979</v>
      </c>
      <c r="AU160" s="8">
        <f t="shared" si="34"/>
        <v>2.0079000000000002</v>
      </c>
      <c r="AV160" s="8">
        <f t="shared" si="34"/>
        <v>0.73260000000000003</v>
      </c>
      <c r="AW160" s="8">
        <f t="shared" si="34"/>
        <v>0.65515500000000004</v>
      </c>
      <c r="AX160" s="8">
        <f t="shared" si="34"/>
        <v>4.4621999999999993</v>
      </c>
      <c r="AY160" s="8">
        <f t="shared" si="34"/>
        <v>0.98999999999999988</v>
      </c>
      <c r="AZ160" s="8">
        <f t="shared" si="34"/>
        <v>0.75600000000000001</v>
      </c>
      <c r="BA160" s="8">
        <f t="shared" si="34"/>
        <v>0.59939999999999993</v>
      </c>
      <c r="BB160" s="8">
        <f t="shared" si="34"/>
        <v>0.30532500000000007</v>
      </c>
      <c r="BC160" s="8">
        <f t="shared" si="34"/>
        <v>0.75600000000000001</v>
      </c>
      <c r="BD160" s="8">
        <f t="shared" si="34"/>
        <v>0.7649999999999999</v>
      </c>
      <c r="BE160" s="8">
        <f t="shared" si="34"/>
        <v>0.30599999999999999</v>
      </c>
      <c r="BF160" s="8">
        <f t="shared" si="34"/>
        <v>0.49499999999999994</v>
      </c>
      <c r="BG160" s="8">
        <f t="shared" si="34"/>
        <v>1.8514999999999999</v>
      </c>
      <c r="BH160" s="8">
        <f t="shared" si="34"/>
        <v>1.3644000000000001</v>
      </c>
      <c r="BI160" s="8">
        <f t="shared" si="34"/>
        <v>2.4612000000000003</v>
      </c>
      <c r="BJ160" s="8">
        <f t="shared" si="34"/>
        <v>0.98999999999999988</v>
      </c>
      <c r="BK160" s="8">
        <f t="shared" si="34"/>
        <v>0.9323999999999999</v>
      </c>
      <c r="BL160" s="8">
        <f t="shared" si="34"/>
        <v>0.26999999999999996</v>
      </c>
      <c r="BM160" s="8">
        <f t="shared" si="34"/>
        <v>3.6323999999999996</v>
      </c>
      <c r="BN160" s="8">
        <f t="shared" ref="BN160:BU160" si="35">BN157*BN158*BN159</f>
        <v>0.44401500000000005</v>
      </c>
      <c r="BO160" s="8">
        <f t="shared" si="35"/>
        <v>2.0699999999999998</v>
      </c>
      <c r="BP160" s="8">
        <f t="shared" si="35"/>
        <v>1.5623999999999998</v>
      </c>
      <c r="BQ160" s="8">
        <f t="shared" si="35"/>
        <v>1.1281500000000002</v>
      </c>
      <c r="BR160" s="8">
        <f t="shared" si="35"/>
        <v>0.98118000000000005</v>
      </c>
      <c r="BS160" s="8">
        <f t="shared" si="35"/>
        <v>0.44401500000000005</v>
      </c>
      <c r="BT160" s="8">
        <f t="shared" si="35"/>
        <v>1.224</v>
      </c>
      <c r="BU160" s="8">
        <f t="shared" si="35"/>
        <v>1.9817999999999998</v>
      </c>
    </row>
    <row r="161" spans="1:73" s="1" customFormat="1" ht="15.75" thickBot="1"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</row>
    <row r="162" spans="1:73" s="1" customFormat="1" ht="19.5" thickBot="1">
      <c r="B162" s="203" t="s">
        <v>309</v>
      </c>
      <c r="C162" s="203"/>
      <c r="D162" s="203"/>
      <c r="E162" s="203"/>
      <c r="F162" s="50">
        <f>ROUNDUP(SUM(B167:BU167),0)</f>
        <v>756</v>
      </c>
      <c r="G162" s="55"/>
      <c r="I162" s="4"/>
      <c r="BQ162"/>
      <c r="BR162"/>
      <c r="BS162"/>
      <c r="BT162"/>
      <c r="BU162"/>
    </row>
    <row r="163" spans="1:73" s="1" customFormat="1" ht="12.75">
      <c r="B163" s="1" t="str">
        <f>B156</f>
        <v>BM 1</v>
      </c>
      <c r="C163" s="1" t="str">
        <f t="shared" ref="C163:BN166" si="36">C156</f>
        <v>BM 2</v>
      </c>
      <c r="D163" s="1" t="str">
        <f t="shared" si="36"/>
        <v>BM 3</v>
      </c>
      <c r="E163" s="1" t="str">
        <f t="shared" si="36"/>
        <v>BM 4</v>
      </c>
      <c r="F163" s="1" t="str">
        <f t="shared" si="36"/>
        <v>BM 5</v>
      </c>
      <c r="G163" s="1" t="str">
        <f t="shared" si="36"/>
        <v>BM 6</v>
      </c>
      <c r="H163" s="1" t="str">
        <f t="shared" si="36"/>
        <v>BM 7</v>
      </c>
      <c r="I163" s="1" t="str">
        <f t="shared" si="36"/>
        <v>BM 8</v>
      </c>
      <c r="J163" s="1" t="str">
        <f t="shared" si="36"/>
        <v>BM 9</v>
      </c>
      <c r="K163" s="1" t="str">
        <f t="shared" si="36"/>
        <v>BM 10</v>
      </c>
      <c r="L163" s="1" t="str">
        <f t="shared" si="36"/>
        <v>BM 11</v>
      </c>
      <c r="M163" s="1" t="str">
        <f t="shared" si="36"/>
        <v>BM 12</v>
      </c>
      <c r="N163" s="1" t="str">
        <f t="shared" si="36"/>
        <v>BM 13</v>
      </c>
      <c r="O163" s="1" t="str">
        <f t="shared" si="36"/>
        <v>BM 14</v>
      </c>
      <c r="P163" s="1" t="str">
        <f t="shared" si="36"/>
        <v>BM 15</v>
      </c>
      <c r="Q163" s="1" t="str">
        <f t="shared" si="36"/>
        <v>BM 16</v>
      </c>
      <c r="R163" s="1" t="str">
        <f t="shared" si="36"/>
        <v>BM 17</v>
      </c>
      <c r="S163" s="1" t="str">
        <f t="shared" si="36"/>
        <v>BM 18</v>
      </c>
      <c r="T163" s="1" t="str">
        <f t="shared" si="36"/>
        <v>BM 19</v>
      </c>
      <c r="U163" s="1" t="str">
        <f t="shared" si="36"/>
        <v>BM 20</v>
      </c>
      <c r="V163" s="1" t="str">
        <f t="shared" si="36"/>
        <v>BM 21</v>
      </c>
      <c r="W163" s="1" t="str">
        <f t="shared" si="36"/>
        <v>BM 22</v>
      </c>
      <c r="X163" s="1" t="str">
        <f t="shared" si="36"/>
        <v>BM 23</v>
      </c>
      <c r="Y163" s="1" t="str">
        <f t="shared" si="36"/>
        <v>BM 24</v>
      </c>
      <c r="Z163" s="1" t="str">
        <f t="shared" si="36"/>
        <v>BM 25</v>
      </c>
      <c r="AA163" s="1" t="str">
        <f t="shared" si="36"/>
        <v>BM 26</v>
      </c>
      <c r="AB163" s="1" t="str">
        <f t="shared" si="36"/>
        <v>BM 27</v>
      </c>
      <c r="AC163" s="1" t="str">
        <f t="shared" si="36"/>
        <v>BM 28</v>
      </c>
      <c r="AD163" s="1" t="str">
        <f t="shared" si="36"/>
        <v>BM 29</v>
      </c>
      <c r="AE163" s="1" t="str">
        <f t="shared" si="36"/>
        <v>BM 30</v>
      </c>
      <c r="AF163" s="1" t="str">
        <f t="shared" si="36"/>
        <v>BM 31</v>
      </c>
      <c r="AG163" s="1" t="str">
        <f t="shared" si="36"/>
        <v>BM 32</v>
      </c>
      <c r="AH163" s="1" t="str">
        <f t="shared" si="36"/>
        <v>BM 33</v>
      </c>
      <c r="AI163" s="1" t="str">
        <f t="shared" si="36"/>
        <v>BM 34</v>
      </c>
      <c r="AJ163" s="1" t="str">
        <f t="shared" si="36"/>
        <v>BM 35</v>
      </c>
      <c r="AK163" s="1" t="str">
        <f t="shared" si="36"/>
        <v>BM 36</v>
      </c>
      <c r="AL163" s="1" t="str">
        <f t="shared" si="36"/>
        <v>BM 37</v>
      </c>
      <c r="AM163" s="1" t="str">
        <f t="shared" si="36"/>
        <v>BM 38</v>
      </c>
      <c r="AN163" s="1" t="str">
        <f t="shared" si="36"/>
        <v>BM 39</v>
      </c>
      <c r="AO163" s="1" t="str">
        <f t="shared" si="36"/>
        <v>BM 40</v>
      </c>
      <c r="AP163" s="1" t="str">
        <f t="shared" si="36"/>
        <v>BM 41</v>
      </c>
      <c r="AQ163" s="1" t="str">
        <f t="shared" si="36"/>
        <v>BM 42</v>
      </c>
      <c r="AR163" s="1" t="str">
        <f t="shared" si="36"/>
        <v>BM 43</v>
      </c>
      <c r="AS163" s="1" t="str">
        <f t="shared" si="36"/>
        <v>BM 44</v>
      </c>
      <c r="AT163" s="1" t="str">
        <f t="shared" si="36"/>
        <v>BM 45</v>
      </c>
      <c r="AU163" s="1" t="str">
        <f t="shared" si="36"/>
        <v>BM 46</v>
      </c>
      <c r="AV163" s="1" t="str">
        <f t="shared" si="36"/>
        <v>BM 47</v>
      </c>
      <c r="AW163" s="1" t="str">
        <f t="shared" si="36"/>
        <v>BM 48</v>
      </c>
      <c r="AX163" s="1" t="str">
        <f t="shared" si="36"/>
        <v>BM 49</v>
      </c>
      <c r="AY163" s="1" t="str">
        <f t="shared" si="36"/>
        <v>BM 50</v>
      </c>
      <c r="AZ163" s="1" t="str">
        <f t="shared" si="36"/>
        <v>BM 51</v>
      </c>
      <c r="BA163" s="1" t="str">
        <f t="shared" si="36"/>
        <v>BM 52</v>
      </c>
      <c r="BB163" s="1" t="str">
        <f t="shared" si="36"/>
        <v>BM 53</v>
      </c>
      <c r="BC163" s="1" t="str">
        <f t="shared" si="36"/>
        <v>BM 54</v>
      </c>
      <c r="BD163" s="1" t="str">
        <f t="shared" si="36"/>
        <v>BM 55</v>
      </c>
      <c r="BE163" s="1" t="str">
        <f t="shared" si="36"/>
        <v>BM 56</v>
      </c>
      <c r="BF163" s="1" t="str">
        <f t="shared" si="36"/>
        <v>BM 57</v>
      </c>
      <c r="BG163" s="1" t="str">
        <f t="shared" si="36"/>
        <v>BM 58</v>
      </c>
      <c r="BH163" s="1" t="str">
        <f t="shared" si="36"/>
        <v>BM 59</v>
      </c>
      <c r="BI163" s="1" t="str">
        <f t="shared" si="36"/>
        <v>BM 60</v>
      </c>
      <c r="BJ163" s="1" t="str">
        <f t="shared" si="36"/>
        <v>BM 61</v>
      </c>
      <c r="BK163" s="1" t="str">
        <f t="shared" si="36"/>
        <v>BM 62</v>
      </c>
      <c r="BL163" s="1" t="str">
        <f t="shared" si="36"/>
        <v>BM 63</v>
      </c>
      <c r="BM163" s="1" t="str">
        <f t="shared" si="36"/>
        <v>BM 64</v>
      </c>
      <c r="BN163" s="1" t="str">
        <f t="shared" si="36"/>
        <v>BM 65</v>
      </c>
      <c r="BO163" s="1" t="str">
        <f t="shared" ref="BO163:BU166" si="37">BO156</f>
        <v>BM 66</v>
      </c>
      <c r="BP163" s="1" t="str">
        <f t="shared" si="37"/>
        <v>BM 67</v>
      </c>
      <c r="BQ163" s="1" t="str">
        <f t="shared" si="37"/>
        <v>BM 68</v>
      </c>
      <c r="BR163" s="1" t="str">
        <f t="shared" si="37"/>
        <v>BM 69</v>
      </c>
      <c r="BS163" s="1" t="str">
        <f t="shared" si="37"/>
        <v>BM 70</v>
      </c>
      <c r="BT163" s="1" t="str">
        <f t="shared" si="37"/>
        <v>BM 71</v>
      </c>
      <c r="BU163" s="1" t="str">
        <f t="shared" si="37"/>
        <v>BM 72</v>
      </c>
    </row>
    <row r="164" spans="1:73" s="44" customFormat="1" ht="12.75">
      <c r="A164" s="44" t="str">
        <f>A157</f>
        <v>length</v>
      </c>
      <c r="B164" s="1">
        <f t="shared" ref="B164:BA166" si="38">B157</f>
        <v>22.1</v>
      </c>
      <c r="C164" s="1">
        <f t="shared" si="38"/>
        <v>2.95</v>
      </c>
      <c r="D164" s="1">
        <f t="shared" si="38"/>
        <v>10.7</v>
      </c>
      <c r="E164" s="1">
        <f t="shared" si="38"/>
        <v>8.5</v>
      </c>
      <c r="F164" s="1">
        <f t="shared" si="38"/>
        <v>5.19</v>
      </c>
      <c r="G164" s="1">
        <f t="shared" si="38"/>
        <v>4.82</v>
      </c>
      <c r="H164" s="1">
        <f t="shared" si="38"/>
        <v>9.5</v>
      </c>
      <c r="I164" s="1">
        <f t="shared" si="38"/>
        <v>9</v>
      </c>
      <c r="J164" s="1">
        <f t="shared" si="38"/>
        <v>7.3</v>
      </c>
      <c r="K164" s="1">
        <f t="shared" si="38"/>
        <v>5.4</v>
      </c>
      <c r="L164" s="1">
        <f t="shared" si="38"/>
        <v>1.8</v>
      </c>
      <c r="M164" s="1">
        <f t="shared" si="38"/>
        <v>8.3000000000000007</v>
      </c>
      <c r="N164" s="1">
        <f t="shared" si="38"/>
        <v>4.2</v>
      </c>
      <c r="O164" s="1">
        <f t="shared" si="38"/>
        <v>6.4</v>
      </c>
      <c r="P164" s="1">
        <f t="shared" si="38"/>
        <v>2.6</v>
      </c>
      <c r="Q164" s="1">
        <f t="shared" si="38"/>
        <v>7.3</v>
      </c>
      <c r="R164" s="1">
        <f t="shared" si="38"/>
        <v>2.2999999999999998</v>
      </c>
      <c r="S164" s="1">
        <f t="shared" si="38"/>
        <v>7.8</v>
      </c>
      <c r="T164" s="1">
        <f t="shared" si="38"/>
        <v>5.1100000000000003</v>
      </c>
      <c r="U164" s="1">
        <f t="shared" si="38"/>
        <v>9.43</v>
      </c>
      <c r="V164" s="1">
        <f t="shared" si="38"/>
        <v>8.3000000000000007</v>
      </c>
      <c r="W164" s="1">
        <f t="shared" si="38"/>
        <v>7.6</v>
      </c>
      <c r="X164" s="1">
        <f t="shared" si="38"/>
        <v>23.16</v>
      </c>
      <c r="Y164" s="1">
        <f t="shared" si="38"/>
        <v>10</v>
      </c>
      <c r="Z164" s="1">
        <f t="shared" si="38"/>
        <v>10.97</v>
      </c>
      <c r="AA164" s="1">
        <f t="shared" si="38"/>
        <v>3.82</v>
      </c>
      <c r="AB164" s="1">
        <f t="shared" si="38"/>
        <v>6.5</v>
      </c>
      <c r="AC164" s="1">
        <f t="shared" si="38"/>
        <v>6.43</v>
      </c>
      <c r="AD164" s="1">
        <f t="shared" si="38"/>
        <v>5.4</v>
      </c>
      <c r="AE164" s="1">
        <f t="shared" si="38"/>
        <v>1.95</v>
      </c>
      <c r="AF164" s="1">
        <f t="shared" si="38"/>
        <v>7.3</v>
      </c>
      <c r="AG164" s="1">
        <f t="shared" si="38"/>
        <v>2</v>
      </c>
      <c r="AH164" s="1">
        <f t="shared" si="38"/>
        <v>7.05</v>
      </c>
      <c r="AI164" s="1">
        <f t="shared" si="38"/>
        <v>1.5</v>
      </c>
      <c r="AJ164" s="1">
        <f t="shared" si="38"/>
        <v>6.3</v>
      </c>
      <c r="AK164" s="1">
        <f t="shared" si="38"/>
        <v>4.3</v>
      </c>
      <c r="AL164" s="1">
        <f t="shared" si="38"/>
        <v>2.95</v>
      </c>
      <c r="AM164" s="1">
        <f t="shared" si="38"/>
        <v>2</v>
      </c>
      <c r="AN164" s="1">
        <f t="shared" si="38"/>
        <v>5.18</v>
      </c>
      <c r="AO164" s="1">
        <f t="shared" si="38"/>
        <v>2.95</v>
      </c>
      <c r="AP164" s="1">
        <f t="shared" si="38"/>
        <v>14.1</v>
      </c>
      <c r="AQ164" s="1">
        <f t="shared" si="38"/>
        <v>9</v>
      </c>
      <c r="AR164" s="1">
        <f t="shared" si="38"/>
        <v>7.6</v>
      </c>
      <c r="AS164" s="1">
        <f t="shared" si="38"/>
        <v>10.4</v>
      </c>
      <c r="AT164" s="1">
        <f t="shared" si="38"/>
        <v>5.51</v>
      </c>
      <c r="AU164" s="1">
        <f t="shared" si="38"/>
        <v>19.399999999999999</v>
      </c>
      <c r="AV164" s="1">
        <f t="shared" si="38"/>
        <v>4.07</v>
      </c>
      <c r="AW164" s="1">
        <f t="shared" si="38"/>
        <v>6.33</v>
      </c>
      <c r="AX164" s="1">
        <f t="shared" si="38"/>
        <v>24.79</v>
      </c>
      <c r="AY164" s="1">
        <f t="shared" si="38"/>
        <v>5.5</v>
      </c>
      <c r="AZ164" s="1">
        <f t="shared" si="38"/>
        <v>4.2</v>
      </c>
      <c r="BA164" s="1">
        <f t="shared" si="38"/>
        <v>3.33</v>
      </c>
      <c r="BB164" s="1">
        <f t="shared" si="36"/>
        <v>2.95</v>
      </c>
      <c r="BC164" s="1">
        <f t="shared" si="36"/>
        <v>4.2</v>
      </c>
      <c r="BD164" s="1">
        <f t="shared" si="36"/>
        <v>4.25</v>
      </c>
      <c r="BE164" s="1">
        <f t="shared" si="36"/>
        <v>1.7</v>
      </c>
      <c r="BF164" s="1">
        <f t="shared" si="36"/>
        <v>2.75</v>
      </c>
      <c r="BG164" s="1">
        <f t="shared" si="36"/>
        <v>11.5</v>
      </c>
      <c r="BH164" s="1">
        <f t="shared" si="36"/>
        <v>7.58</v>
      </c>
      <c r="BI164" s="1">
        <f t="shared" si="36"/>
        <v>11.72</v>
      </c>
      <c r="BJ164" s="1">
        <f t="shared" si="36"/>
        <v>5.5</v>
      </c>
      <c r="BK164" s="1">
        <f t="shared" si="36"/>
        <v>5.18</v>
      </c>
      <c r="BL164" s="1">
        <f t="shared" si="36"/>
        <v>1.5</v>
      </c>
      <c r="BM164" s="1">
        <f t="shared" si="36"/>
        <v>20.18</v>
      </c>
      <c r="BN164" s="1">
        <f t="shared" si="36"/>
        <v>4.29</v>
      </c>
      <c r="BO164" s="1">
        <f t="shared" si="37"/>
        <v>11.5</v>
      </c>
      <c r="BP164" s="1">
        <f t="shared" si="37"/>
        <v>8.68</v>
      </c>
      <c r="BQ164" s="1">
        <f t="shared" si="37"/>
        <v>10.9</v>
      </c>
      <c r="BR164" s="1">
        <f t="shared" si="37"/>
        <v>9.48</v>
      </c>
      <c r="BS164" s="1">
        <f t="shared" si="37"/>
        <v>4.29</v>
      </c>
      <c r="BT164" s="1">
        <f t="shared" si="37"/>
        <v>5.0999999999999996</v>
      </c>
      <c r="BU164" s="1">
        <f t="shared" si="37"/>
        <v>11.01</v>
      </c>
    </row>
    <row r="165" spans="1:73" s="1" customFormat="1" ht="12.75">
      <c r="A165" s="44" t="str">
        <f>A158</f>
        <v>depth</v>
      </c>
      <c r="B165" s="1">
        <f t="shared" si="38"/>
        <v>0.6</v>
      </c>
      <c r="C165" s="1">
        <f t="shared" si="38"/>
        <v>0.45</v>
      </c>
      <c r="D165" s="1">
        <f t="shared" si="38"/>
        <v>0.8</v>
      </c>
      <c r="E165" s="1">
        <f t="shared" si="38"/>
        <v>0.45</v>
      </c>
      <c r="F165" s="1">
        <f t="shared" si="38"/>
        <v>0.7</v>
      </c>
      <c r="G165" s="1">
        <f t="shared" si="38"/>
        <v>0.5</v>
      </c>
      <c r="H165" s="1">
        <f t="shared" si="38"/>
        <v>0.45</v>
      </c>
      <c r="I165" s="1">
        <f t="shared" si="38"/>
        <v>0.8</v>
      </c>
      <c r="J165" s="1">
        <f t="shared" si="38"/>
        <v>0.5</v>
      </c>
      <c r="K165" s="1">
        <f t="shared" si="38"/>
        <v>0.45</v>
      </c>
      <c r="L165" s="1">
        <f t="shared" si="38"/>
        <v>0.6</v>
      </c>
      <c r="M165" s="1">
        <f t="shared" si="38"/>
        <v>0.6</v>
      </c>
      <c r="N165" s="1">
        <f t="shared" si="38"/>
        <v>0.6</v>
      </c>
      <c r="O165" s="1">
        <f t="shared" si="38"/>
        <v>0.45</v>
      </c>
      <c r="P165" s="1">
        <f t="shared" si="38"/>
        <v>0.45</v>
      </c>
      <c r="Q165" s="1">
        <f t="shared" si="38"/>
        <v>0.6</v>
      </c>
      <c r="R165" s="1">
        <f t="shared" si="38"/>
        <v>0.45</v>
      </c>
      <c r="S165" s="1">
        <f t="shared" si="38"/>
        <v>0.6</v>
      </c>
      <c r="T165" s="1">
        <f t="shared" si="38"/>
        <v>0.6</v>
      </c>
      <c r="U165" s="1">
        <f t="shared" si="38"/>
        <v>0.45</v>
      </c>
      <c r="V165" s="1">
        <f t="shared" si="38"/>
        <v>0.6</v>
      </c>
      <c r="W165" s="1">
        <f t="shared" si="38"/>
        <v>0.6</v>
      </c>
      <c r="X165" s="1">
        <f t="shared" si="38"/>
        <v>0.6</v>
      </c>
      <c r="Y165" s="1">
        <f t="shared" si="38"/>
        <v>0.6</v>
      </c>
      <c r="Z165" s="1">
        <f t="shared" si="38"/>
        <v>0.6</v>
      </c>
      <c r="AA165" s="1">
        <f t="shared" si="38"/>
        <v>0.6</v>
      </c>
      <c r="AB165" s="1">
        <f t="shared" si="38"/>
        <v>0.6</v>
      </c>
      <c r="AC165" s="1">
        <f t="shared" si="38"/>
        <v>0.6</v>
      </c>
      <c r="AD165" s="1">
        <f t="shared" si="38"/>
        <v>0.45</v>
      </c>
      <c r="AE165" s="1">
        <f t="shared" si="38"/>
        <v>0.5</v>
      </c>
      <c r="AF165" s="1">
        <f t="shared" si="38"/>
        <v>0.5</v>
      </c>
      <c r="AG165" s="1">
        <f t="shared" si="38"/>
        <v>0.5</v>
      </c>
      <c r="AH165" s="1">
        <f t="shared" si="38"/>
        <v>0.8</v>
      </c>
      <c r="AI165" s="1">
        <f t="shared" si="38"/>
        <v>0.8</v>
      </c>
      <c r="AJ165" s="1">
        <f t="shared" si="38"/>
        <v>0.6</v>
      </c>
      <c r="AK165" s="1">
        <f t="shared" si="38"/>
        <v>0.6</v>
      </c>
      <c r="AL165" s="1">
        <f t="shared" si="38"/>
        <v>0.45</v>
      </c>
      <c r="AM165" s="1">
        <f t="shared" si="38"/>
        <v>0.6</v>
      </c>
      <c r="AN165" s="1">
        <f t="shared" si="38"/>
        <v>0.6</v>
      </c>
      <c r="AO165" s="1">
        <f t="shared" si="38"/>
        <v>0.45</v>
      </c>
      <c r="AP165" s="1">
        <f t="shared" si="38"/>
        <v>0.55000000000000004</v>
      </c>
      <c r="AQ165" s="1">
        <f t="shared" si="38"/>
        <v>0.8</v>
      </c>
      <c r="AR165" s="1">
        <f t="shared" si="38"/>
        <v>0.6</v>
      </c>
      <c r="AS165" s="1">
        <f t="shared" si="38"/>
        <v>0.6</v>
      </c>
      <c r="AT165" s="1">
        <f t="shared" si="38"/>
        <v>0.6</v>
      </c>
      <c r="AU165" s="1">
        <f t="shared" si="38"/>
        <v>0.45</v>
      </c>
      <c r="AV165" s="1">
        <f t="shared" si="38"/>
        <v>0.6</v>
      </c>
      <c r="AW165" s="1">
        <f t="shared" si="38"/>
        <v>0.45</v>
      </c>
      <c r="AX165" s="1">
        <f t="shared" si="38"/>
        <v>0.6</v>
      </c>
      <c r="AY165" s="1">
        <f t="shared" si="38"/>
        <v>0.6</v>
      </c>
      <c r="AZ165" s="1">
        <f t="shared" si="38"/>
        <v>0.6</v>
      </c>
      <c r="BA165" s="1">
        <f t="shared" si="38"/>
        <v>0.6</v>
      </c>
      <c r="BB165" s="1">
        <f t="shared" si="36"/>
        <v>0.45</v>
      </c>
      <c r="BC165" s="1">
        <f t="shared" si="36"/>
        <v>0.6</v>
      </c>
      <c r="BD165" s="1">
        <f t="shared" si="36"/>
        <v>0.6</v>
      </c>
      <c r="BE165" s="1">
        <f t="shared" si="36"/>
        <v>0.6</v>
      </c>
      <c r="BF165" s="1">
        <f t="shared" si="36"/>
        <v>0.6</v>
      </c>
      <c r="BG165" s="1">
        <f t="shared" si="36"/>
        <v>0.7</v>
      </c>
      <c r="BH165" s="1">
        <f t="shared" si="36"/>
        <v>0.6</v>
      </c>
      <c r="BI165" s="1">
        <f t="shared" si="36"/>
        <v>0.7</v>
      </c>
      <c r="BJ165" s="1">
        <f t="shared" si="36"/>
        <v>0.6</v>
      </c>
      <c r="BK165" s="1">
        <f t="shared" si="36"/>
        <v>0.6</v>
      </c>
      <c r="BL165" s="1">
        <f t="shared" si="36"/>
        <v>0.6</v>
      </c>
      <c r="BM165" s="1">
        <f t="shared" si="36"/>
        <v>0.6</v>
      </c>
      <c r="BN165" s="1">
        <f t="shared" si="36"/>
        <v>0.45</v>
      </c>
      <c r="BO165" s="1">
        <f t="shared" si="37"/>
        <v>0.6</v>
      </c>
      <c r="BP165" s="1">
        <f t="shared" si="37"/>
        <v>0.6</v>
      </c>
      <c r="BQ165" s="1">
        <f t="shared" si="37"/>
        <v>0.45</v>
      </c>
      <c r="BR165" s="1">
        <f t="shared" si="37"/>
        <v>0.45</v>
      </c>
      <c r="BS165" s="1">
        <f t="shared" si="37"/>
        <v>0.45</v>
      </c>
      <c r="BT165" s="1">
        <f t="shared" si="37"/>
        <v>0.8</v>
      </c>
      <c r="BU165" s="1">
        <f t="shared" si="37"/>
        <v>0.6</v>
      </c>
    </row>
    <row r="166" spans="1:73" s="1" customFormat="1" ht="12.75">
      <c r="A166" s="44" t="str">
        <f>A159</f>
        <v>width</v>
      </c>
      <c r="B166" s="1">
        <f t="shared" si="38"/>
        <v>0.23</v>
      </c>
      <c r="C166" s="1">
        <f t="shared" si="38"/>
        <v>0.23</v>
      </c>
      <c r="D166" s="1">
        <f t="shared" si="38"/>
        <v>0.3</v>
      </c>
      <c r="E166" s="1">
        <f t="shared" si="38"/>
        <v>0.23</v>
      </c>
      <c r="F166" s="1">
        <f t="shared" si="38"/>
        <v>0.3</v>
      </c>
      <c r="G166" s="1">
        <f t="shared" si="38"/>
        <v>0.23</v>
      </c>
      <c r="H166" s="1">
        <f t="shared" si="38"/>
        <v>0.23</v>
      </c>
      <c r="I166" s="1">
        <f t="shared" si="38"/>
        <v>0.3</v>
      </c>
      <c r="J166" s="1">
        <f t="shared" si="38"/>
        <v>0.23</v>
      </c>
      <c r="K166" s="1">
        <f t="shared" si="38"/>
        <v>0.23</v>
      </c>
      <c r="L166" s="1">
        <f t="shared" si="38"/>
        <v>0.3</v>
      </c>
      <c r="M166" s="1">
        <f t="shared" si="38"/>
        <v>0.3</v>
      </c>
      <c r="N166" s="1">
        <f t="shared" si="38"/>
        <v>0.3</v>
      </c>
      <c r="O166" s="1">
        <f t="shared" si="38"/>
        <v>0.23</v>
      </c>
      <c r="P166" s="1">
        <f t="shared" si="38"/>
        <v>0.23</v>
      </c>
      <c r="Q166" s="1">
        <f t="shared" si="38"/>
        <v>0.23</v>
      </c>
      <c r="R166" s="1">
        <f t="shared" si="38"/>
        <v>0.23</v>
      </c>
      <c r="S166" s="1">
        <f t="shared" si="38"/>
        <v>0.3</v>
      </c>
      <c r="T166" s="1">
        <f t="shared" si="38"/>
        <v>0.3</v>
      </c>
      <c r="U166" s="1">
        <f t="shared" si="38"/>
        <v>0.23</v>
      </c>
      <c r="V166" s="1">
        <f t="shared" si="38"/>
        <v>0.3</v>
      </c>
      <c r="W166" s="1">
        <f t="shared" si="38"/>
        <v>0.3</v>
      </c>
      <c r="X166" s="1">
        <f t="shared" si="38"/>
        <v>0.3</v>
      </c>
      <c r="Y166" s="1">
        <f t="shared" si="38"/>
        <v>0.3</v>
      </c>
      <c r="Z166" s="1">
        <f t="shared" si="38"/>
        <v>0.3</v>
      </c>
      <c r="AA166" s="1">
        <f t="shared" si="38"/>
        <v>0.3</v>
      </c>
      <c r="AB166" s="1">
        <f t="shared" si="38"/>
        <v>0.3</v>
      </c>
      <c r="AC166" s="1">
        <f t="shared" si="38"/>
        <v>0.3</v>
      </c>
      <c r="AD166" s="1">
        <f t="shared" si="38"/>
        <v>0.23</v>
      </c>
      <c r="AE166" s="1">
        <f t="shared" si="38"/>
        <v>0.23</v>
      </c>
      <c r="AF166" s="1">
        <f t="shared" si="38"/>
        <v>0.23</v>
      </c>
      <c r="AG166" s="1">
        <f t="shared" si="38"/>
        <v>0.23</v>
      </c>
      <c r="AH166" s="1">
        <f t="shared" si="38"/>
        <v>0.3</v>
      </c>
      <c r="AI166" s="1">
        <f t="shared" si="38"/>
        <v>0.3</v>
      </c>
      <c r="AJ166" s="1">
        <f t="shared" si="38"/>
        <v>0.3</v>
      </c>
      <c r="AK166" s="1">
        <f t="shared" si="38"/>
        <v>0.3</v>
      </c>
      <c r="AL166" s="1">
        <f t="shared" si="38"/>
        <v>0.23</v>
      </c>
      <c r="AM166" s="1">
        <f t="shared" si="38"/>
        <v>0.3</v>
      </c>
      <c r="AN166" s="1">
        <f t="shared" si="38"/>
        <v>0.3</v>
      </c>
      <c r="AO166" s="1">
        <f t="shared" si="38"/>
        <v>0.23</v>
      </c>
      <c r="AP166" s="1">
        <f t="shared" si="38"/>
        <v>0.23</v>
      </c>
      <c r="AQ166" s="1">
        <f t="shared" si="38"/>
        <v>0.3</v>
      </c>
      <c r="AR166" s="1">
        <f t="shared" si="38"/>
        <v>0.3</v>
      </c>
      <c r="AS166" s="1">
        <f t="shared" si="38"/>
        <v>0.3</v>
      </c>
      <c r="AT166" s="1">
        <f t="shared" si="38"/>
        <v>0.3</v>
      </c>
      <c r="AU166" s="1">
        <f t="shared" si="38"/>
        <v>0.23</v>
      </c>
      <c r="AV166" s="1">
        <f t="shared" si="38"/>
        <v>0.3</v>
      </c>
      <c r="AW166" s="1">
        <f t="shared" si="38"/>
        <v>0.23</v>
      </c>
      <c r="AX166" s="1">
        <f t="shared" si="38"/>
        <v>0.3</v>
      </c>
      <c r="AY166" s="1">
        <f t="shared" si="38"/>
        <v>0.3</v>
      </c>
      <c r="AZ166" s="1">
        <f t="shared" si="38"/>
        <v>0.3</v>
      </c>
      <c r="BA166" s="1">
        <f t="shared" si="38"/>
        <v>0.3</v>
      </c>
      <c r="BB166" s="1">
        <f t="shared" si="36"/>
        <v>0.23</v>
      </c>
      <c r="BC166" s="1">
        <f t="shared" si="36"/>
        <v>0.3</v>
      </c>
      <c r="BD166" s="1">
        <f t="shared" si="36"/>
        <v>0.3</v>
      </c>
      <c r="BE166" s="1">
        <f t="shared" si="36"/>
        <v>0.3</v>
      </c>
      <c r="BF166" s="1">
        <f t="shared" si="36"/>
        <v>0.3</v>
      </c>
      <c r="BG166" s="1">
        <f t="shared" si="36"/>
        <v>0.23</v>
      </c>
      <c r="BH166" s="1">
        <f t="shared" si="36"/>
        <v>0.3</v>
      </c>
      <c r="BI166" s="1">
        <f t="shared" si="36"/>
        <v>0.3</v>
      </c>
      <c r="BJ166" s="1">
        <f t="shared" si="36"/>
        <v>0.3</v>
      </c>
      <c r="BK166" s="1">
        <f t="shared" si="36"/>
        <v>0.3</v>
      </c>
      <c r="BL166" s="1">
        <f t="shared" si="36"/>
        <v>0.3</v>
      </c>
      <c r="BM166" s="1">
        <f t="shared" si="36"/>
        <v>0.3</v>
      </c>
      <c r="BN166" s="1">
        <f t="shared" si="36"/>
        <v>0.23</v>
      </c>
      <c r="BO166" s="1">
        <f t="shared" si="37"/>
        <v>0.3</v>
      </c>
      <c r="BP166" s="1">
        <f t="shared" si="37"/>
        <v>0.3</v>
      </c>
      <c r="BQ166" s="1">
        <f t="shared" si="37"/>
        <v>0.23</v>
      </c>
      <c r="BR166" s="1">
        <f t="shared" si="37"/>
        <v>0.23</v>
      </c>
      <c r="BS166" s="1">
        <f t="shared" si="37"/>
        <v>0.23</v>
      </c>
      <c r="BT166" s="1">
        <f t="shared" si="37"/>
        <v>0.3</v>
      </c>
      <c r="BU166" s="1">
        <f t="shared" si="37"/>
        <v>0.3</v>
      </c>
    </row>
    <row r="167" spans="1:73" s="1" customFormat="1" ht="12.75">
      <c r="B167" s="8">
        <f t="shared" ref="B167:BM167" si="39">(B164*B165*2)+(B164*B166)</f>
        <v>31.603000000000002</v>
      </c>
      <c r="C167" s="8">
        <f t="shared" si="39"/>
        <v>3.3335000000000004</v>
      </c>
      <c r="D167" s="8">
        <f t="shared" si="39"/>
        <v>20.330000000000002</v>
      </c>
      <c r="E167" s="8">
        <f t="shared" si="39"/>
        <v>9.6050000000000004</v>
      </c>
      <c r="F167" s="8">
        <f t="shared" si="39"/>
        <v>8.8230000000000004</v>
      </c>
      <c r="G167" s="8">
        <f t="shared" si="39"/>
        <v>5.9286000000000003</v>
      </c>
      <c r="H167" s="8">
        <f t="shared" si="39"/>
        <v>10.735000000000001</v>
      </c>
      <c r="I167" s="8">
        <f t="shared" si="39"/>
        <v>17.100000000000001</v>
      </c>
      <c r="J167" s="8">
        <f t="shared" si="39"/>
        <v>8.9789999999999992</v>
      </c>
      <c r="K167" s="8">
        <f t="shared" si="39"/>
        <v>6.1020000000000003</v>
      </c>
      <c r="L167" s="8">
        <f t="shared" si="39"/>
        <v>2.7</v>
      </c>
      <c r="M167" s="8">
        <f t="shared" si="39"/>
        <v>12.450000000000001</v>
      </c>
      <c r="N167" s="8">
        <f t="shared" si="39"/>
        <v>6.3</v>
      </c>
      <c r="O167" s="8">
        <f t="shared" si="39"/>
        <v>7.2320000000000011</v>
      </c>
      <c r="P167" s="8">
        <f t="shared" si="39"/>
        <v>2.9380000000000006</v>
      </c>
      <c r="Q167" s="8">
        <f t="shared" si="39"/>
        <v>10.439</v>
      </c>
      <c r="R167" s="8">
        <f t="shared" si="39"/>
        <v>2.5989999999999998</v>
      </c>
      <c r="S167" s="8">
        <f t="shared" si="39"/>
        <v>11.7</v>
      </c>
      <c r="T167" s="8">
        <f t="shared" si="39"/>
        <v>7.6650000000000009</v>
      </c>
      <c r="U167" s="8">
        <f t="shared" si="39"/>
        <v>10.655899999999999</v>
      </c>
      <c r="V167" s="8">
        <f t="shared" si="39"/>
        <v>12.450000000000001</v>
      </c>
      <c r="W167" s="8">
        <f t="shared" si="39"/>
        <v>11.399999999999999</v>
      </c>
      <c r="X167" s="8">
        <f t="shared" si="39"/>
        <v>34.739999999999995</v>
      </c>
      <c r="Y167" s="8">
        <f t="shared" si="39"/>
        <v>15</v>
      </c>
      <c r="Z167" s="8">
        <f t="shared" si="39"/>
        <v>16.454999999999998</v>
      </c>
      <c r="AA167" s="8">
        <f t="shared" si="39"/>
        <v>5.7299999999999995</v>
      </c>
      <c r="AB167" s="8">
        <f t="shared" si="39"/>
        <v>9.75</v>
      </c>
      <c r="AC167" s="8">
        <f t="shared" si="39"/>
        <v>9.6449999999999996</v>
      </c>
      <c r="AD167" s="8">
        <f t="shared" si="39"/>
        <v>6.1020000000000003</v>
      </c>
      <c r="AE167" s="8">
        <f t="shared" si="39"/>
        <v>2.3984999999999999</v>
      </c>
      <c r="AF167" s="8">
        <f t="shared" si="39"/>
        <v>8.9789999999999992</v>
      </c>
      <c r="AG167" s="8">
        <f t="shared" si="39"/>
        <v>2.46</v>
      </c>
      <c r="AH167" s="8">
        <f t="shared" si="39"/>
        <v>13.395000000000001</v>
      </c>
      <c r="AI167" s="8">
        <f t="shared" si="39"/>
        <v>2.8500000000000005</v>
      </c>
      <c r="AJ167" s="8">
        <f t="shared" si="39"/>
        <v>9.4499999999999993</v>
      </c>
      <c r="AK167" s="8">
        <f t="shared" si="39"/>
        <v>6.4499999999999993</v>
      </c>
      <c r="AL167" s="8">
        <f t="shared" si="39"/>
        <v>3.3335000000000004</v>
      </c>
      <c r="AM167" s="8">
        <f t="shared" si="39"/>
        <v>3</v>
      </c>
      <c r="AN167" s="8">
        <f t="shared" si="39"/>
        <v>7.77</v>
      </c>
      <c r="AO167" s="8">
        <f t="shared" si="39"/>
        <v>3.3335000000000004</v>
      </c>
      <c r="AP167" s="8">
        <f t="shared" si="39"/>
        <v>18.753</v>
      </c>
      <c r="AQ167" s="8">
        <f t="shared" si="39"/>
        <v>17.100000000000001</v>
      </c>
      <c r="AR167" s="8">
        <f t="shared" si="39"/>
        <v>11.399999999999999</v>
      </c>
      <c r="AS167" s="8">
        <f t="shared" si="39"/>
        <v>15.600000000000001</v>
      </c>
      <c r="AT167" s="8">
        <f t="shared" si="39"/>
        <v>8.2649999999999988</v>
      </c>
      <c r="AU167" s="8">
        <f t="shared" si="39"/>
        <v>21.922000000000001</v>
      </c>
      <c r="AV167" s="8">
        <f t="shared" si="39"/>
        <v>6.1050000000000004</v>
      </c>
      <c r="AW167" s="8">
        <f t="shared" si="39"/>
        <v>7.1528999999999998</v>
      </c>
      <c r="AX167" s="8">
        <f t="shared" si="39"/>
        <v>37.184999999999995</v>
      </c>
      <c r="AY167" s="8">
        <f t="shared" si="39"/>
        <v>8.25</v>
      </c>
      <c r="AZ167" s="8">
        <f t="shared" si="39"/>
        <v>6.3</v>
      </c>
      <c r="BA167" s="8">
        <f t="shared" si="39"/>
        <v>4.9950000000000001</v>
      </c>
      <c r="BB167" s="8">
        <f t="shared" si="39"/>
        <v>3.3335000000000004</v>
      </c>
      <c r="BC167" s="8">
        <f t="shared" si="39"/>
        <v>6.3</v>
      </c>
      <c r="BD167" s="8">
        <f t="shared" si="39"/>
        <v>6.375</v>
      </c>
      <c r="BE167" s="8">
        <f t="shared" si="39"/>
        <v>2.5499999999999998</v>
      </c>
      <c r="BF167" s="8">
        <f t="shared" si="39"/>
        <v>4.125</v>
      </c>
      <c r="BG167" s="8">
        <f t="shared" si="39"/>
        <v>18.744999999999997</v>
      </c>
      <c r="BH167" s="8">
        <f t="shared" si="39"/>
        <v>11.370000000000001</v>
      </c>
      <c r="BI167" s="8">
        <f t="shared" si="39"/>
        <v>19.923999999999999</v>
      </c>
      <c r="BJ167" s="8">
        <f t="shared" si="39"/>
        <v>8.25</v>
      </c>
      <c r="BK167" s="8">
        <f t="shared" si="39"/>
        <v>7.77</v>
      </c>
      <c r="BL167" s="8">
        <f t="shared" si="39"/>
        <v>2.25</v>
      </c>
      <c r="BM167" s="8">
        <f t="shared" si="39"/>
        <v>30.269999999999996</v>
      </c>
      <c r="BN167" s="8">
        <f t="shared" ref="BN167:BU167" si="40">(BN164*BN165*2)+(BN164*BN166)</f>
        <v>4.8477000000000006</v>
      </c>
      <c r="BO167" s="8">
        <f t="shared" si="40"/>
        <v>17.25</v>
      </c>
      <c r="BP167" s="8">
        <f t="shared" si="40"/>
        <v>13.019999999999998</v>
      </c>
      <c r="BQ167" s="8">
        <f t="shared" si="40"/>
        <v>12.317</v>
      </c>
      <c r="BR167" s="8">
        <f t="shared" si="40"/>
        <v>10.712400000000001</v>
      </c>
      <c r="BS167" s="8">
        <f t="shared" si="40"/>
        <v>4.8477000000000006</v>
      </c>
      <c r="BT167" s="8">
        <f t="shared" si="40"/>
        <v>9.69</v>
      </c>
      <c r="BU167" s="8">
        <f t="shared" si="40"/>
        <v>16.515000000000001</v>
      </c>
    </row>
    <row r="168" spans="1:73" s="1" customFormat="1" ht="15.75" thickBot="1"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 s="4"/>
      <c r="BR168"/>
      <c r="BS168"/>
      <c r="BT168"/>
      <c r="BU168"/>
    </row>
    <row r="169" spans="1:73" s="1" customFormat="1" ht="19.5" thickBot="1">
      <c r="B169" s="203" t="s">
        <v>310</v>
      </c>
      <c r="C169" s="203"/>
      <c r="D169" s="203"/>
      <c r="E169" s="203"/>
      <c r="F169" s="50">
        <f>ROUNDUP(SUM(B175:BP175),0)</f>
        <v>13380</v>
      </c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 s="4"/>
      <c r="BR169"/>
      <c r="BS169"/>
      <c r="BT169"/>
      <c r="BU169"/>
    </row>
    <row r="170" spans="1:73" s="1" customFormat="1">
      <c r="C170" s="1" t="s">
        <v>105</v>
      </c>
      <c r="D170" s="1">
        <v>6822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 s="4"/>
      <c r="BR170"/>
      <c r="BS170"/>
      <c r="BT170"/>
      <c r="BU170"/>
    </row>
    <row r="171" spans="1:73" s="1" customFormat="1">
      <c r="C171" s="1" t="s">
        <v>70</v>
      </c>
      <c r="D171" s="1">
        <v>1419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 s="4"/>
      <c r="BR171"/>
      <c r="BS171"/>
      <c r="BT171"/>
      <c r="BU171"/>
    </row>
    <row r="172" spans="1:73" s="1" customFormat="1">
      <c r="C172" s="1" t="s">
        <v>71</v>
      </c>
      <c r="D172" s="1">
        <v>3130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 s="4"/>
      <c r="BR172"/>
      <c r="BS172"/>
      <c r="BT172"/>
      <c r="BU172"/>
    </row>
    <row r="173" spans="1:73" s="1" customFormat="1">
      <c r="C173" s="1" t="s">
        <v>68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 s="4"/>
      <c r="BR173"/>
      <c r="BS173"/>
      <c r="BT173"/>
      <c r="BU173"/>
    </row>
    <row r="174" spans="1:73" s="1" customFormat="1">
      <c r="C174" s="1" t="s">
        <v>108</v>
      </c>
      <c r="D174" s="1">
        <v>2009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 s="4"/>
      <c r="BR174"/>
      <c r="BS174"/>
      <c r="BT174"/>
      <c r="BU174"/>
    </row>
    <row r="175" spans="1:73" s="1" customFormat="1">
      <c r="D175" s="5">
        <f>SUM(D170:D174)</f>
        <v>13380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 s="4"/>
      <c r="BR175"/>
      <c r="BS175"/>
      <c r="BT175"/>
      <c r="BU175"/>
    </row>
    <row r="176" spans="1:73" s="1" customFormat="1"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 s="4"/>
      <c r="BR176"/>
      <c r="BS176"/>
      <c r="BT176"/>
      <c r="BU176"/>
    </row>
    <row r="177" spans="1:73" s="1" customFormat="1" ht="15.75" thickBot="1"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 s="4"/>
      <c r="BR177"/>
      <c r="BS177"/>
      <c r="BT177"/>
      <c r="BU177"/>
    </row>
    <row r="178" spans="1:73" s="1" customFormat="1" ht="19.5" thickBot="1">
      <c r="B178" s="203" t="s">
        <v>312</v>
      </c>
      <c r="C178" s="203"/>
      <c r="D178" s="203"/>
      <c r="E178" s="203"/>
      <c r="F178" s="50">
        <f>ROUNDUP(SUM(B183:BP183),0)</f>
        <v>90</v>
      </c>
      <c r="I178" s="4"/>
      <c r="BQ178"/>
      <c r="BR178"/>
      <c r="BS178"/>
      <c r="BT178"/>
      <c r="BU178"/>
    </row>
    <row r="179" spans="1:73" s="1" customFormat="1" ht="12.75">
      <c r="A179" s="44"/>
      <c r="B179" s="1" t="s">
        <v>127</v>
      </c>
      <c r="C179" s="1" t="s">
        <v>128</v>
      </c>
      <c r="D179" s="1" t="s">
        <v>129</v>
      </c>
      <c r="E179" s="1" t="s">
        <v>130</v>
      </c>
      <c r="F179" s="1" t="s">
        <v>131</v>
      </c>
      <c r="G179" s="1" t="s">
        <v>132</v>
      </c>
      <c r="H179" s="1" t="s">
        <v>133</v>
      </c>
      <c r="I179" s="1" t="s">
        <v>134</v>
      </c>
      <c r="J179" s="1" t="s">
        <v>135</v>
      </c>
      <c r="K179" s="1" t="s">
        <v>136</v>
      </c>
      <c r="L179" s="1" t="s">
        <v>137</v>
      </c>
      <c r="M179" s="1" t="s">
        <v>138</v>
      </c>
      <c r="N179" s="1" t="s">
        <v>139</v>
      </c>
      <c r="O179" s="1" t="s">
        <v>140</v>
      </c>
      <c r="P179" s="1" t="s">
        <v>141</v>
      </c>
      <c r="Q179" s="1" t="s">
        <v>142</v>
      </c>
      <c r="R179" s="1" t="s">
        <v>143</v>
      </c>
      <c r="S179" s="1" t="s">
        <v>144</v>
      </c>
      <c r="T179" s="1" t="s">
        <v>145</v>
      </c>
      <c r="U179" s="1" t="s">
        <v>146</v>
      </c>
      <c r="V179" s="1" t="s">
        <v>147</v>
      </c>
      <c r="W179" s="1" t="s">
        <v>148</v>
      </c>
      <c r="X179" s="1" t="s">
        <v>149</v>
      </c>
      <c r="Y179" s="1" t="s">
        <v>150</v>
      </c>
      <c r="Z179" s="1" t="s">
        <v>151</v>
      </c>
      <c r="AA179" s="1" t="s">
        <v>152</v>
      </c>
      <c r="AB179" s="1" t="s">
        <v>153</v>
      </c>
      <c r="AC179" s="1" t="s">
        <v>154</v>
      </c>
      <c r="AD179" s="1" t="s">
        <v>155</v>
      </c>
      <c r="AE179" s="1" t="s">
        <v>156</v>
      </c>
      <c r="AF179" s="1" t="s">
        <v>157</v>
      </c>
      <c r="AG179" s="1" t="s">
        <v>158</v>
      </c>
      <c r="AH179" s="1" t="s">
        <v>159</v>
      </c>
      <c r="AI179" s="1" t="s">
        <v>160</v>
      </c>
      <c r="AJ179" s="1" t="s">
        <v>161</v>
      </c>
      <c r="AK179" s="1" t="s">
        <v>162</v>
      </c>
      <c r="AL179" s="1" t="s">
        <v>163</v>
      </c>
      <c r="AM179" s="1" t="s">
        <v>277</v>
      </c>
      <c r="AN179" s="1" t="s">
        <v>278</v>
      </c>
      <c r="AO179" s="1" t="s">
        <v>279</v>
      </c>
      <c r="AP179" s="1" t="s">
        <v>280</v>
      </c>
      <c r="AQ179" s="1" t="s">
        <v>281</v>
      </c>
      <c r="AR179" s="1" t="s">
        <v>282</v>
      </c>
      <c r="AS179" s="1" t="s">
        <v>283</v>
      </c>
      <c r="AT179" s="1" t="s">
        <v>284</v>
      </c>
      <c r="AU179" s="1" t="s">
        <v>285</v>
      </c>
      <c r="AV179" s="1" t="s">
        <v>286</v>
      </c>
      <c r="AW179" s="1" t="s">
        <v>287</v>
      </c>
      <c r="AX179" s="1" t="s">
        <v>288</v>
      </c>
      <c r="AY179" s="1" t="s">
        <v>289</v>
      </c>
      <c r="AZ179" s="1" t="s">
        <v>290</v>
      </c>
      <c r="BA179" s="1" t="s">
        <v>291</v>
      </c>
      <c r="BB179" s="1" t="s">
        <v>292</v>
      </c>
      <c r="BC179" s="1" t="s">
        <v>293</v>
      </c>
      <c r="BD179" s="1" t="s">
        <v>294</v>
      </c>
      <c r="BE179" s="1" t="s">
        <v>295</v>
      </c>
      <c r="BF179" s="1" t="s">
        <v>296</v>
      </c>
      <c r="BG179" s="1" t="s">
        <v>297</v>
      </c>
      <c r="BH179" s="1" t="s">
        <v>298</v>
      </c>
      <c r="BI179" s="1" t="s">
        <v>299</v>
      </c>
      <c r="BJ179" s="1" t="s">
        <v>300</v>
      </c>
      <c r="BK179" s="1" t="s">
        <v>301</v>
      </c>
      <c r="BL179" s="1" t="s">
        <v>302</v>
      </c>
      <c r="BM179" s="1" t="s">
        <v>303</v>
      </c>
      <c r="BN179" s="1" t="s">
        <v>304</v>
      </c>
      <c r="BO179" s="1" t="s">
        <v>305</v>
      </c>
      <c r="BP179" s="1" t="s">
        <v>306</v>
      </c>
      <c r="BQ179" s="1" t="s">
        <v>315</v>
      </c>
      <c r="BR179" s="1" t="s">
        <v>316</v>
      </c>
    </row>
    <row r="180" spans="1:73" s="44" customFormat="1" ht="12.75">
      <c r="A180" s="44" t="s">
        <v>37</v>
      </c>
      <c r="B180" s="51">
        <v>4.7699999999999996</v>
      </c>
      <c r="C180" s="51">
        <v>8.01</v>
      </c>
      <c r="D180" s="52">
        <v>4.72</v>
      </c>
      <c r="E180" s="52">
        <v>1.5</v>
      </c>
      <c r="F180" s="52">
        <v>16.3</v>
      </c>
      <c r="G180" s="52">
        <v>5.18</v>
      </c>
      <c r="H180" s="52">
        <v>4.4000000000000004</v>
      </c>
      <c r="I180" s="52">
        <v>5.4</v>
      </c>
      <c r="J180" s="52">
        <v>3.82</v>
      </c>
      <c r="K180" s="52">
        <v>5.07</v>
      </c>
      <c r="L180" s="52">
        <v>16.3</v>
      </c>
      <c r="M180" s="52">
        <v>2.95</v>
      </c>
      <c r="N180" s="52">
        <v>4</v>
      </c>
      <c r="O180" s="52">
        <v>22.11</v>
      </c>
      <c r="P180" s="51">
        <v>2.54</v>
      </c>
      <c r="Q180" s="51">
        <v>10.199999999999999</v>
      </c>
      <c r="R180" s="51">
        <v>2.65</v>
      </c>
      <c r="S180" s="51">
        <v>7.76</v>
      </c>
      <c r="T180" s="51">
        <f>S180</f>
        <v>7.76</v>
      </c>
      <c r="U180" s="51">
        <f>3.82*2</f>
        <v>7.64</v>
      </c>
      <c r="V180" s="51">
        <v>1.5</v>
      </c>
      <c r="W180" s="51">
        <v>12.62</v>
      </c>
      <c r="X180" s="51">
        <v>8.01</v>
      </c>
      <c r="Y180" s="51">
        <v>11.2</v>
      </c>
      <c r="Z180" s="51">
        <v>2.65</v>
      </c>
      <c r="AA180" s="51">
        <v>6.34</v>
      </c>
      <c r="AB180" s="51">
        <v>2.95</v>
      </c>
      <c r="AC180" s="51">
        <v>8.01</v>
      </c>
      <c r="AD180" s="51">
        <v>11.18</v>
      </c>
      <c r="AE180" s="51">
        <v>6.34</v>
      </c>
      <c r="AF180" s="51">
        <v>7.76</v>
      </c>
      <c r="AG180" s="51">
        <v>4.2</v>
      </c>
      <c r="AH180" s="51">
        <v>7.3</v>
      </c>
      <c r="AI180" s="51">
        <v>19.2</v>
      </c>
      <c r="AJ180" s="51">
        <v>3.2</v>
      </c>
      <c r="AK180" s="51">
        <v>2.95</v>
      </c>
      <c r="AL180" s="51">
        <v>8.3000000000000007</v>
      </c>
      <c r="AM180" s="51">
        <v>8.8000000000000007</v>
      </c>
      <c r="AN180" s="51">
        <v>7.7</v>
      </c>
      <c r="AO180" s="51">
        <v>11.58</v>
      </c>
      <c r="AP180" s="51">
        <v>3.81</v>
      </c>
      <c r="AQ180" s="51">
        <v>10.97</v>
      </c>
      <c r="AR180" s="51">
        <v>3.7</v>
      </c>
      <c r="AS180" s="51">
        <v>12.79</v>
      </c>
      <c r="AT180" s="51">
        <v>3.04</v>
      </c>
      <c r="AU180" s="51">
        <v>11.43</v>
      </c>
      <c r="AV180" s="51">
        <v>3.63</v>
      </c>
      <c r="AW180" s="51">
        <v>2.5</v>
      </c>
      <c r="AX180" s="53">
        <v>2.35</v>
      </c>
      <c r="AY180" s="53">
        <v>18.05</v>
      </c>
      <c r="AZ180" s="53">
        <v>3.7</v>
      </c>
      <c r="BA180" s="53">
        <v>6.34</v>
      </c>
      <c r="BB180" s="53">
        <v>16.78</v>
      </c>
      <c r="BC180" s="53">
        <v>3.92</v>
      </c>
      <c r="BD180" s="53">
        <v>6.89</v>
      </c>
      <c r="BE180" s="53">
        <v>7.1</v>
      </c>
      <c r="BF180" s="53">
        <f>3.59*2</f>
        <v>7.18</v>
      </c>
      <c r="BG180" s="53">
        <f>9.71*2</f>
        <v>19.420000000000002</v>
      </c>
      <c r="BH180" s="53">
        <v>5.13</v>
      </c>
      <c r="BI180" s="53">
        <v>5.57</v>
      </c>
      <c r="BJ180" s="53">
        <v>6.2</v>
      </c>
      <c r="BK180" s="53">
        <v>14.9</v>
      </c>
      <c r="BL180" s="53">
        <v>5.57</v>
      </c>
      <c r="BM180" s="53">
        <v>14.9</v>
      </c>
      <c r="BN180" s="53">
        <v>10.1</v>
      </c>
      <c r="BO180" s="53">
        <v>14.9</v>
      </c>
      <c r="BP180" s="53">
        <v>4.1500000000000004</v>
      </c>
      <c r="BQ180" s="53">
        <v>2.99</v>
      </c>
      <c r="BR180" s="53">
        <v>8.98</v>
      </c>
      <c r="BS180" s="53"/>
      <c r="BT180" s="53"/>
      <c r="BU180" s="53"/>
    </row>
    <row r="181" spans="1:73" s="1" customFormat="1" ht="12.75">
      <c r="A181" s="44" t="s">
        <v>165</v>
      </c>
      <c r="B181" s="1">
        <v>0.7</v>
      </c>
      <c r="C181" s="1">
        <v>0.8</v>
      </c>
      <c r="D181" s="1">
        <v>0.7</v>
      </c>
      <c r="E181" s="1">
        <v>0.6</v>
      </c>
      <c r="F181" s="1">
        <v>0.75</v>
      </c>
      <c r="G181" s="1">
        <v>0.6</v>
      </c>
      <c r="H181" s="1">
        <f t="shared" ref="H181:L182" si="41">G181</f>
        <v>0.6</v>
      </c>
      <c r="I181" s="1">
        <f t="shared" si="41"/>
        <v>0.6</v>
      </c>
      <c r="J181" s="1">
        <f t="shared" si="41"/>
        <v>0.6</v>
      </c>
      <c r="K181" s="1">
        <f t="shared" si="41"/>
        <v>0.6</v>
      </c>
      <c r="L181" s="1">
        <f t="shared" si="41"/>
        <v>0.6</v>
      </c>
      <c r="M181" s="1">
        <v>0.45</v>
      </c>
      <c r="N181" s="1">
        <f t="shared" ref="N181:N182" si="42">M181</f>
        <v>0.45</v>
      </c>
      <c r="O181" s="1">
        <v>0.9</v>
      </c>
      <c r="P181" s="1">
        <v>0.6</v>
      </c>
      <c r="Q181" s="1">
        <f>P181</f>
        <v>0.6</v>
      </c>
      <c r="R181" s="1">
        <v>0.45</v>
      </c>
      <c r="S181" s="1">
        <v>0.7</v>
      </c>
      <c r="T181" s="1">
        <f t="shared" ref="T181" si="43">S181</f>
        <v>0.7</v>
      </c>
      <c r="U181" s="1">
        <v>0.6</v>
      </c>
      <c r="V181" s="1">
        <v>0.45</v>
      </c>
      <c r="W181" s="1">
        <v>0.6</v>
      </c>
      <c r="X181" s="1">
        <v>0.8</v>
      </c>
      <c r="Y181" s="1">
        <v>0.6</v>
      </c>
      <c r="Z181" s="1">
        <v>0.45</v>
      </c>
      <c r="AA181" s="1">
        <v>0.7</v>
      </c>
      <c r="AB181" s="1">
        <v>0.45</v>
      </c>
      <c r="AC181" s="1">
        <v>0.75</v>
      </c>
      <c r="AD181" s="1">
        <v>0.7</v>
      </c>
      <c r="AE181" s="1">
        <v>0.6</v>
      </c>
      <c r="AF181" s="1">
        <v>0.6</v>
      </c>
      <c r="AG181" s="1">
        <f>AF181</f>
        <v>0.6</v>
      </c>
      <c r="AH181" s="1">
        <f t="shared" ref="AH181:AI182" si="44">AG181</f>
        <v>0.6</v>
      </c>
      <c r="AI181" s="1">
        <v>0.6</v>
      </c>
      <c r="AJ181" s="1">
        <f t="shared" ref="AJ181:AL182" si="45">AI181</f>
        <v>0.6</v>
      </c>
      <c r="AK181" s="1">
        <f>AJ181</f>
        <v>0.6</v>
      </c>
      <c r="AL181" s="1">
        <v>0.6</v>
      </c>
      <c r="AM181" s="1">
        <f>AL181</f>
        <v>0.6</v>
      </c>
      <c r="AN181" s="1">
        <f t="shared" ref="AN181:AT182" si="46">AM181</f>
        <v>0.6</v>
      </c>
      <c r="AO181" s="1">
        <f t="shared" si="46"/>
        <v>0.6</v>
      </c>
      <c r="AP181" s="1">
        <f t="shared" si="46"/>
        <v>0.6</v>
      </c>
      <c r="AQ181" s="1">
        <f t="shared" si="46"/>
        <v>0.6</v>
      </c>
      <c r="AR181" s="1">
        <f t="shared" si="46"/>
        <v>0.6</v>
      </c>
      <c r="AS181" s="1">
        <f t="shared" si="46"/>
        <v>0.6</v>
      </c>
      <c r="AT181" s="1">
        <f t="shared" si="46"/>
        <v>0.6</v>
      </c>
      <c r="AU181" s="1">
        <v>0.7</v>
      </c>
      <c r="AV181" s="1">
        <v>0.6</v>
      </c>
      <c r="AW181" s="1">
        <v>0.6</v>
      </c>
      <c r="AX181" s="1">
        <f>AW181</f>
        <v>0.6</v>
      </c>
      <c r="AY181" s="1">
        <v>0.75</v>
      </c>
      <c r="AZ181" s="1">
        <v>0.6</v>
      </c>
      <c r="BA181" s="1">
        <f>AZ181</f>
        <v>0.6</v>
      </c>
      <c r="BB181" s="1">
        <f t="shared" ref="BB181:BF182" si="47">BA181</f>
        <v>0.6</v>
      </c>
      <c r="BC181" s="1">
        <f t="shared" si="47"/>
        <v>0.6</v>
      </c>
      <c r="BD181" s="1">
        <f t="shared" si="47"/>
        <v>0.6</v>
      </c>
      <c r="BE181" s="1">
        <f t="shared" si="47"/>
        <v>0.6</v>
      </c>
      <c r="BF181" s="1">
        <f t="shared" si="47"/>
        <v>0.6</v>
      </c>
      <c r="BG181" s="1">
        <v>0.45</v>
      </c>
      <c r="BH181" s="1">
        <v>0.6</v>
      </c>
      <c r="BI181" s="1">
        <f t="shared" ref="BI181:BK182" si="48">BH181</f>
        <v>0.6</v>
      </c>
      <c r="BJ181" s="1">
        <f t="shared" si="48"/>
        <v>0.6</v>
      </c>
      <c r="BK181" s="1">
        <v>0.75</v>
      </c>
      <c r="BL181" s="1">
        <f>BK181</f>
        <v>0.75</v>
      </c>
      <c r="BM181" s="1">
        <v>0.6</v>
      </c>
      <c r="BN181" s="1">
        <f t="shared" ref="BN181:BQ182" si="49">BM181</f>
        <v>0.6</v>
      </c>
      <c r="BO181" s="1">
        <v>0.7</v>
      </c>
      <c r="BP181" s="1">
        <v>0.6</v>
      </c>
      <c r="BQ181" s="1">
        <v>1.6</v>
      </c>
      <c r="BR181" s="1">
        <v>2.6</v>
      </c>
    </row>
    <row r="182" spans="1:73" s="1" customFormat="1" ht="12.75">
      <c r="A182" s="44" t="s">
        <v>166</v>
      </c>
      <c r="B182" s="1">
        <v>0.25</v>
      </c>
      <c r="C182" s="1">
        <v>0.3</v>
      </c>
      <c r="D182" s="1">
        <v>0.25</v>
      </c>
      <c r="E182" s="1">
        <f t="shared" ref="E182" si="50">D182</f>
        <v>0.25</v>
      </c>
      <c r="F182" s="1">
        <v>0.25</v>
      </c>
      <c r="G182" s="1">
        <f t="shared" ref="G182" si="51">F182</f>
        <v>0.25</v>
      </c>
      <c r="H182" s="1">
        <f t="shared" si="41"/>
        <v>0.25</v>
      </c>
      <c r="I182" s="1">
        <f t="shared" si="41"/>
        <v>0.25</v>
      </c>
      <c r="J182" s="1">
        <f t="shared" si="41"/>
        <v>0.25</v>
      </c>
      <c r="K182" s="1">
        <f t="shared" si="41"/>
        <v>0.25</v>
      </c>
      <c r="L182" s="1">
        <f t="shared" si="41"/>
        <v>0.25</v>
      </c>
      <c r="M182" s="1">
        <v>0.23</v>
      </c>
      <c r="N182" s="1">
        <f t="shared" si="42"/>
        <v>0.23</v>
      </c>
      <c r="O182" s="1">
        <v>0.4</v>
      </c>
      <c r="P182" s="1">
        <v>0.25</v>
      </c>
      <c r="Q182" s="1">
        <f t="shared" ref="Q182:R182" si="52">P182</f>
        <v>0.25</v>
      </c>
      <c r="R182" s="1">
        <f t="shared" si="52"/>
        <v>0.25</v>
      </c>
      <c r="S182" s="1">
        <v>0.25</v>
      </c>
      <c r="T182" s="1">
        <v>0.3</v>
      </c>
      <c r="U182" s="1">
        <v>0.25</v>
      </c>
      <c r="V182" s="1">
        <v>0.23</v>
      </c>
      <c r="W182" s="1">
        <v>0.25</v>
      </c>
      <c r="X182" s="1">
        <v>0.25</v>
      </c>
      <c r="Y182" s="1">
        <v>0.25</v>
      </c>
      <c r="Z182" s="1">
        <v>0.23</v>
      </c>
      <c r="AA182" s="1">
        <v>0.35</v>
      </c>
      <c r="AB182" s="1">
        <v>0.23</v>
      </c>
      <c r="AC182" s="1">
        <v>0.35</v>
      </c>
      <c r="AD182" s="1">
        <f t="shared" ref="AD182" si="53">AC182</f>
        <v>0.35</v>
      </c>
      <c r="AE182" s="1">
        <v>0.25</v>
      </c>
      <c r="AF182" s="1">
        <f t="shared" ref="AF182" si="54">AE182</f>
        <v>0.25</v>
      </c>
      <c r="AG182" s="1">
        <f>AF182</f>
        <v>0.25</v>
      </c>
      <c r="AH182" s="1">
        <f t="shared" si="44"/>
        <v>0.25</v>
      </c>
      <c r="AI182" s="1">
        <f t="shared" si="44"/>
        <v>0.25</v>
      </c>
      <c r="AJ182" s="1">
        <f t="shared" si="45"/>
        <v>0.25</v>
      </c>
      <c r="AK182" s="1">
        <f t="shared" si="45"/>
        <v>0.25</v>
      </c>
      <c r="AL182" s="1">
        <f t="shared" si="45"/>
        <v>0.25</v>
      </c>
      <c r="AM182" s="1">
        <f>AL182</f>
        <v>0.25</v>
      </c>
      <c r="AN182" s="1">
        <f t="shared" si="46"/>
        <v>0.25</v>
      </c>
      <c r="AO182" s="1">
        <f t="shared" si="46"/>
        <v>0.25</v>
      </c>
      <c r="AP182" s="1">
        <f t="shared" si="46"/>
        <v>0.25</v>
      </c>
      <c r="AQ182" s="1">
        <f t="shared" si="46"/>
        <v>0.25</v>
      </c>
      <c r="AR182" s="1">
        <f t="shared" si="46"/>
        <v>0.25</v>
      </c>
      <c r="AS182" s="1">
        <f t="shared" si="46"/>
        <v>0.25</v>
      </c>
      <c r="AT182" s="1">
        <f t="shared" si="46"/>
        <v>0.25</v>
      </c>
      <c r="AU182" s="1">
        <v>0.25</v>
      </c>
      <c r="AV182" s="1">
        <v>0.25</v>
      </c>
      <c r="AW182" s="1">
        <v>0.25</v>
      </c>
      <c r="AX182" s="1">
        <f>AW182</f>
        <v>0.25</v>
      </c>
      <c r="AY182" s="1">
        <v>0.35</v>
      </c>
      <c r="AZ182" s="1">
        <v>0.25</v>
      </c>
      <c r="BA182" s="1">
        <f>AZ182</f>
        <v>0.25</v>
      </c>
      <c r="BB182" s="1">
        <f t="shared" si="47"/>
        <v>0.25</v>
      </c>
      <c r="BC182" s="1">
        <f t="shared" si="47"/>
        <v>0.25</v>
      </c>
      <c r="BD182" s="1">
        <f t="shared" si="47"/>
        <v>0.25</v>
      </c>
      <c r="BE182" s="1">
        <f t="shared" si="47"/>
        <v>0.25</v>
      </c>
      <c r="BF182" s="1">
        <f t="shared" si="47"/>
        <v>0.25</v>
      </c>
      <c r="BG182" s="1">
        <v>0.23</v>
      </c>
      <c r="BH182" s="1">
        <v>0.25</v>
      </c>
      <c r="BI182" s="1">
        <f t="shared" si="48"/>
        <v>0.25</v>
      </c>
      <c r="BJ182" s="1">
        <f t="shared" si="48"/>
        <v>0.25</v>
      </c>
      <c r="BK182" s="1">
        <f t="shared" si="48"/>
        <v>0.25</v>
      </c>
      <c r="BL182" s="1">
        <v>0.3</v>
      </c>
      <c r="BM182" s="1">
        <v>0.25</v>
      </c>
      <c r="BN182" s="1">
        <f t="shared" si="49"/>
        <v>0.25</v>
      </c>
      <c r="BO182" s="1">
        <f t="shared" si="49"/>
        <v>0.25</v>
      </c>
      <c r="BP182" s="1">
        <f t="shared" si="49"/>
        <v>0.25</v>
      </c>
      <c r="BQ182" s="1">
        <f t="shared" si="49"/>
        <v>0.25</v>
      </c>
      <c r="BR182" s="1">
        <v>0.23</v>
      </c>
    </row>
    <row r="183" spans="1:73" s="1" customFormat="1" ht="12.75">
      <c r="A183" s="44"/>
      <c r="B183" s="8">
        <f t="shared" ref="B183:BM183" si="55">B180*B181*B182</f>
        <v>0.83474999999999988</v>
      </c>
      <c r="C183" s="8">
        <f t="shared" si="55"/>
        <v>1.9224000000000001</v>
      </c>
      <c r="D183" s="8">
        <f t="shared" si="55"/>
        <v>0.82599999999999996</v>
      </c>
      <c r="E183" s="8">
        <f t="shared" si="55"/>
        <v>0.22499999999999998</v>
      </c>
      <c r="F183" s="8">
        <f t="shared" si="55"/>
        <v>3.0562500000000004</v>
      </c>
      <c r="G183" s="8">
        <f t="shared" si="55"/>
        <v>0.77699999999999991</v>
      </c>
      <c r="H183" s="8">
        <f t="shared" si="55"/>
        <v>0.66</v>
      </c>
      <c r="I183" s="8">
        <f t="shared" si="55"/>
        <v>0.81</v>
      </c>
      <c r="J183" s="8">
        <f t="shared" si="55"/>
        <v>0.57299999999999995</v>
      </c>
      <c r="K183" s="8">
        <f t="shared" si="55"/>
        <v>0.76050000000000006</v>
      </c>
      <c r="L183" s="8">
        <f t="shared" si="55"/>
        <v>2.4449999999999998</v>
      </c>
      <c r="M183" s="8">
        <f t="shared" si="55"/>
        <v>0.30532500000000007</v>
      </c>
      <c r="N183" s="8">
        <f t="shared" si="55"/>
        <v>0.41400000000000003</v>
      </c>
      <c r="O183" s="8">
        <f t="shared" si="55"/>
        <v>7.9596000000000009</v>
      </c>
      <c r="P183" s="8">
        <f t="shared" si="55"/>
        <v>0.38100000000000001</v>
      </c>
      <c r="Q183" s="8">
        <f t="shared" si="55"/>
        <v>1.5299999999999998</v>
      </c>
      <c r="R183" s="8">
        <f t="shared" si="55"/>
        <v>0.29812499999999997</v>
      </c>
      <c r="S183" s="8">
        <f t="shared" si="55"/>
        <v>1.3579999999999999</v>
      </c>
      <c r="T183" s="8">
        <f t="shared" si="55"/>
        <v>1.6295999999999997</v>
      </c>
      <c r="U183" s="8">
        <f t="shared" si="55"/>
        <v>1.1459999999999999</v>
      </c>
      <c r="V183" s="8">
        <f t="shared" si="55"/>
        <v>0.15525000000000003</v>
      </c>
      <c r="W183" s="8">
        <f t="shared" si="55"/>
        <v>1.8929999999999998</v>
      </c>
      <c r="X183" s="8">
        <f t="shared" si="55"/>
        <v>1.6020000000000001</v>
      </c>
      <c r="Y183" s="8">
        <f t="shared" si="55"/>
        <v>1.68</v>
      </c>
      <c r="Z183" s="8">
        <f t="shared" si="55"/>
        <v>0.27427499999999999</v>
      </c>
      <c r="AA183" s="8">
        <f t="shared" si="55"/>
        <v>1.5532999999999999</v>
      </c>
      <c r="AB183" s="8">
        <f t="shared" si="55"/>
        <v>0.30532500000000007</v>
      </c>
      <c r="AC183" s="8">
        <f t="shared" si="55"/>
        <v>2.1026249999999997</v>
      </c>
      <c r="AD183" s="8">
        <f t="shared" si="55"/>
        <v>2.7390999999999996</v>
      </c>
      <c r="AE183" s="8">
        <f t="shared" si="55"/>
        <v>0.95099999999999996</v>
      </c>
      <c r="AF183" s="8">
        <f t="shared" si="55"/>
        <v>1.1639999999999999</v>
      </c>
      <c r="AG183" s="8">
        <f t="shared" si="55"/>
        <v>0.63</v>
      </c>
      <c r="AH183" s="8">
        <f t="shared" si="55"/>
        <v>1.095</v>
      </c>
      <c r="AI183" s="8">
        <f t="shared" si="55"/>
        <v>2.88</v>
      </c>
      <c r="AJ183" s="8">
        <f t="shared" si="55"/>
        <v>0.48</v>
      </c>
      <c r="AK183" s="8">
        <f t="shared" si="55"/>
        <v>0.4425</v>
      </c>
      <c r="AL183" s="8">
        <f t="shared" si="55"/>
        <v>1.2450000000000001</v>
      </c>
      <c r="AM183" s="8">
        <f t="shared" si="55"/>
        <v>1.32</v>
      </c>
      <c r="AN183" s="8">
        <f t="shared" si="55"/>
        <v>1.155</v>
      </c>
      <c r="AO183" s="8">
        <f t="shared" si="55"/>
        <v>1.7369999999999999</v>
      </c>
      <c r="AP183" s="8">
        <f t="shared" si="55"/>
        <v>0.57150000000000001</v>
      </c>
      <c r="AQ183" s="8">
        <f t="shared" si="55"/>
        <v>1.6455</v>
      </c>
      <c r="AR183" s="8">
        <f t="shared" si="55"/>
        <v>0.55500000000000005</v>
      </c>
      <c r="AS183" s="8">
        <f t="shared" si="55"/>
        <v>1.9184999999999999</v>
      </c>
      <c r="AT183" s="8">
        <f t="shared" si="55"/>
        <v>0.45599999999999996</v>
      </c>
      <c r="AU183" s="8">
        <f t="shared" si="55"/>
        <v>2.0002499999999999</v>
      </c>
      <c r="AV183" s="8">
        <f t="shared" si="55"/>
        <v>0.54449999999999998</v>
      </c>
      <c r="AW183" s="8">
        <f t="shared" si="55"/>
        <v>0.375</v>
      </c>
      <c r="AX183" s="8">
        <f t="shared" si="55"/>
        <v>0.35249999999999998</v>
      </c>
      <c r="AY183" s="8">
        <f t="shared" si="55"/>
        <v>4.7381250000000001</v>
      </c>
      <c r="AZ183" s="8">
        <f t="shared" si="55"/>
        <v>0.55500000000000005</v>
      </c>
      <c r="BA183" s="8">
        <f t="shared" si="55"/>
        <v>0.95099999999999996</v>
      </c>
      <c r="BB183" s="8">
        <f t="shared" si="55"/>
        <v>2.5169999999999999</v>
      </c>
      <c r="BC183" s="8">
        <f t="shared" si="55"/>
        <v>0.58799999999999997</v>
      </c>
      <c r="BD183" s="8">
        <f t="shared" si="55"/>
        <v>1.0334999999999999</v>
      </c>
      <c r="BE183" s="8">
        <f t="shared" si="55"/>
        <v>1.0649999999999999</v>
      </c>
      <c r="BF183" s="8">
        <f t="shared" si="55"/>
        <v>1.077</v>
      </c>
      <c r="BG183" s="8">
        <f t="shared" si="55"/>
        <v>2.0099700000000005</v>
      </c>
      <c r="BH183" s="8">
        <f t="shared" si="55"/>
        <v>0.76949999999999996</v>
      </c>
      <c r="BI183" s="8">
        <f t="shared" si="55"/>
        <v>0.83550000000000002</v>
      </c>
      <c r="BJ183" s="8">
        <f t="shared" si="55"/>
        <v>0.92999999999999994</v>
      </c>
      <c r="BK183" s="8">
        <f t="shared" si="55"/>
        <v>2.7937500000000002</v>
      </c>
      <c r="BL183" s="8">
        <f t="shared" si="55"/>
        <v>1.25325</v>
      </c>
      <c r="BM183" s="8">
        <f t="shared" si="55"/>
        <v>2.2349999999999999</v>
      </c>
      <c r="BN183" s="8">
        <f t="shared" ref="BN183:BR183" si="56">BN180*BN181*BN182</f>
        <v>1.5149999999999999</v>
      </c>
      <c r="BO183" s="8">
        <f t="shared" si="56"/>
        <v>2.6074999999999999</v>
      </c>
      <c r="BP183" s="8">
        <f t="shared" si="56"/>
        <v>0.62250000000000005</v>
      </c>
      <c r="BQ183" s="8">
        <f t="shared" si="56"/>
        <v>1.1960000000000002</v>
      </c>
      <c r="BR183" s="8">
        <f t="shared" si="56"/>
        <v>5.3700400000000013</v>
      </c>
      <c r="BS183" s="8"/>
      <c r="BT183" s="8"/>
      <c r="BU183" s="8"/>
    </row>
    <row r="184" spans="1:73" s="1" customFormat="1" ht="15.75" thickBot="1"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</row>
    <row r="185" spans="1:73" s="1" customFormat="1" ht="19.5" thickBot="1">
      <c r="B185" s="203" t="s">
        <v>313</v>
      </c>
      <c r="C185" s="203"/>
      <c r="D185" s="203"/>
      <c r="E185" s="203"/>
      <c r="F185" s="50">
        <f>ROUNDUP(SUM(B190:BP190),0)</f>
        <v>804</v>
      </c>
      <c r="G185" s="55"/>
      <c r="I185" s="4"/>
      <c r="BQ185"/>
      <c r="BR185"/>
      <c r="BS185"/>
      <c r="BT185"/>
      <c r="BU185"/>
    </row>
    <row r="186" spans="1:73" s="1" customFormat="1">
      <c r="B186" s="1" t="str">
        <f>B179</f>
        <v>BM 1</v>
      </c>
      <c r="C186" s="1" t="str">
        <f t="shared" ref="C186:BN189" si="57">C179</f>
        <v>BM 2</v>
      </c>
      <c r="D186" s="1" t="str">
        <f t="shared" si="57"/>
        <v>BM 3</v>
      </c>
      <c r="E186" s="1" t="str">
        <f t="shared" si="57"/>
        <v>BM 4</v>
      </c>
      <c r="F186" s="1" t="str">
        <f t="shared" si="57"/>
        <v>BM 5</v>
      </c>
      <c r="G186" s="1" t="str">
        <f t="shared" si="57"/>
        <v>BM 6</v>
      </c>
      <c r="H186" s="1" t="str">
        <f t="shared" si="57"/>
        <v>BM 7</v>
      </c>
      <c r="I186" s="1" t="str">
        <f t="shared" si="57"/>
        <v>BM 8</v>
      </c>
      <c r="J186" s="1" t="str">
        <f t="shared" si="57"/>
        <v>BM 9</v>
      </c>
      <c r="K186" s="1" t="str">
        <f t="shared" si="57"/>
        <v>BM 10</v>
      </c>
      <c r="L186" s="1" t="str">
        <f t="shared" si="57"/>
        <v>BM 11</v>
      </c>
      <c r="M186" s="1" t="str">
        <f t="shared" si="57"/>
        <v>BM 12</v>
      </c>
      <c r="N186" s="1" t="str">
        <f t="shared" si="57"/>
        <v>BM 13</v>
      </c>
      <c r="O186" s="1" t="str">
        <f t="shared" si="57"/>
        <v>BM 14</v>
      </c>
      <c r="P186" s="1" t="str">
        <f t="shared" si="57"/>
        <v>BM 15</v>
      </c>
      <c r="Q186" s="1" t="str">
        <f t="shared" si="57"/>
        <v>BM 16</v>
      </c>
      <c r="R186" s="1" t="str">
        <f t="shared" si="57"/>
        <v>BM 17</v>
      </c>
      <c r="S186" s="1" t="str">
        <f t="shared" si="57"/>
        <v>BM 18</v>
      </c>
      <c r="T186" s="1" t="str">
        <f t="shared" si="57"/>
        <v>BM 19</v>
      </c>
      <c r="U186" s="1" t="str">
        <f t="shared" si="57"/>
        <v>BM 20</v>
      </c>
      <c r="V186" s="1" t="str">
        <f t="shared" si="57"/>
        <v>BM 21</v>
      </c>
      <c r="W186" s="1" t="str">
        <f t="shared" si="57"/>
        <v>BM 22</v>
      </c>
      <c r="X186" s="1" t="str">
        <f t="shared" si="57"/>
        <v>BM 23</v>
      </c>
      <c r="Y186" s="1" t="str">
        <f t="shared" si="57"/>
        <v>BM 24</v>
      </c>
      <c r="Z186" s="1" t="str">
        <f t="shared" si="57"/>
        <v>BM 25</v>
      </c>
      <c r="AA186" s="1" t="str">
        <f t="shared" si="57"/>
        <v>BM 26</v>
      </c>
      <c r="AB186" s="1" t="str">
        <f t="shared" si="57"/>
        <v>BM 27</v>
      </c>
      <c r="AC186" s="1" t="str">
        <f t="shared" si="57"/>
        <v>BM 28</v>
      </c>
      <c r="AD186" s="1" t="str">
        <f t="shared" si="57"/>
        <v>BM 29</v>
      </c>
      <c r="AE186" s="1" t="str">
        <f t="shared" si="57"/>
        <v>BM 30</v>
      </c>
      <c r="AF186" s="1" t="str">
        <f t="shared" si="57"/>
        <v>BM 31</v>
      </c>
      <c r="AG186" s="1" t="str">
        <f t="shared" si="57"/>
        <v>BM 32</v>
      </c>
      <c r="AH186" s="1" t="str">
        <f t="shared" si="57"/>
        <v>BM 33</v>
      </c>
      <c r="AI186" s="1" t="str">
        <f t="shared" si="57"/>
        <v>BM 34</v>
      </c>
      <c r="AJ186" s="1" t="str">
        <f t="shared" si="57"/>
        <v>BM 35</v>
      </c>
      <c r="AK186" s="1" t="str">
        <f t="shared" si="57"/>
        <v>BM 36</v>
      </c>
      <c r="AL186" s="1" t="str">
        <f t="shared" si="57"/>
        <v>BM 37</v>
      </c>
      <c r="AM186" s="1" t="str">
        <f t="shared" si="57"/>
        <v>BM 38</v>
      </c>
      <c r="AN186" s="1" t="str">
        <f t="shared" si="57"/>
        <v>BM 39</v>
      </c>
      <c r="AO186" s="1" t="str">
        <f t="shared" si="57"/>
        <v>BM 40</v>
      </c>
      <c r="AP186" s="1" t="str">
        <f t="shared" si="57"/>
        <v>BM 41</v>
      </c>
      <c r="AQ186" s="1" t="str">
        <f t="shared" si="57"/>
        <v>BM 42</v>
      </c>
      <c r="AR186" s="1" t="str">
        <f t="shared" si="57"/>
        <v>BM 43</v>
      </c>
      <c r="AS186" s="1" t="str">
        <f t="shared" si="57"/>
        <v>BM 44</v>
      </c>
      <c r="AT186" s="1" t="str">
        <f t="shared" si="57"/>
        <v>BM 45</v>
      </c>
      <c r="AU186" s="1" t="str">
        <f t="shared" si="57"/>
        <v>BM 46</v>
      </c>
      <c r="AV186" s="1" t="str">
        <f t="shared" si="57"/>
        <v>BM 47</v>
      </c>
      <c r="AW186" s="1" t="str">
        <f t="shared" si="57"/>
        <v>BM 48</v>
      </c>
      <c r="AX186" s="1" t="str">
        <f t="shared" si="57"/>
        <v>BM 49</v>
      </c>
      <c r="AY186" s="1" t="str">
        <f t="shared" si="57"/>
        <v>BM 50</v>
      </c>
      <c r="AZ186" s="1" t="str">
        <f t="shared" si="57"/>
        <v>BM 51</v>
      </c>
      <c r="BA186" s="1" t="str">
        <f t="shared" si="57"/>
        <v>BM 52</v>
      </c>
      <c r="BB186" s="1" t="str">
        <f t="shared" si="57"/>
        <v>BM 53</v>
      </c>
      <c r="BC186" s="1" t="str">
        <f t="shared" si="57"/>
        <v>BM 54</v>
      </c>
      <c r="BD186" s="1" t="str">
        <f t="shared" si="57"/>
        <v>BM 55</v>
      </c>
      <c r="BE186" s="1" t="str">
        <f t="shared" si="57"/>
        <v>BM 56</v>
      </c>
      <c r="BF186" s="1" t="str">
        <f t="shared" si="57"/>
        <v>BM 57</v>
      </c>
      <c r="BG186" s="1" t="str">
        <f t="shared" si="57"/>
        <v>BM 58</v>
      </c>
      <c r="BH186" s="1" t="str">
        <f t="shared" si="57"/>
        <v>BM 59</v>
      </c>
      <c r="BI186" s="1" t="str">
        <f t="shared" si="57"/>
        <v>BM 60</v>
      </c>
      <c r="BJ186" s="1" t="str">
        <f t="shared" si="57"/>
        <v>BM 61</v>
      </c>
      <c r="BK186" s="1" t="str">
        <f t="shared" si="57"/>
        <v>BM 62</v>
      </c>
      <c r="BL186" s="1" t="str">
        <f t="shared" si="57"/>
        <v>BM 63</v>
      </c>
      <c r="BM186" s="1" t="str">
        <f t="shared" si="57"/>
        <v>BM 64</v>
      </c>
      <c r="BN186" s="1" t="str">
        <f t="shared" si="57"/>
        <v>BM 65</v>
      </c>
      <c r="BO186" s="1" t="str">
        <f t="shared" ref="BO186:BR189" si="58">BO179</f>
        <v>BM 66</v>
      </c>
      <c r="BP186" s="1" t="str">
        <f t="shared" si="58"/>
        <v>BM 67</v>
      </c>
      <c r="BQ186" s="1" t="str">
        <f t="shared" si="58"/>
        <v>BM 68</v>
      </c>
      <c r="BR186" s="1" t="str">
        <f t="shared" si="58"/>
        <v>BM 69</v>
      </c>
      <c r="BS186"/>
      <c r="BT186"/>
      <c r="BU186"/>
    </row>
    <row r="187" spans="1:73" s="44" customFormat="1" ht="12.75">
      <c r="A187" s="44" t="str">
        <f>A180</f>
        <v>length</v>
      </c>
      <c r="B187" s="1">
        <f t="shared" ref="B187:BM189" si="59">B180</f>
        <v>4.7699999999999996</v>
      </c>
      <c r="C187" s="1">
        <f t="shared" si="59"/>
        <v>8.01</v>
      </c>
      <c r="D187" s="1">
        <f t="shared" si="59"/>
        <v>4.72</v>
      </c>
      <c r="E187" s="1">
        <f t="shared" si="59"/>
        <v>1.5</v>
      </c>
      <c r="F187" s="1">
        <f t="shared" si="59"/>
        <v>16.3</v>
      </c>
      <c r="G187" s="1">
        <f t="shared" si="59"/>
        <v>5.18</v>
      </c>
      <c r="H187" s="1">
        <f t="shared" si="59"/>
        <v>4.4000000000000004</v>
      </c>
      <c r="I187" s="1">
        <f t="shared" si="59"/>
        <v>5.4</v>
      </c>
      <c r="J187" s="1">
        <f t="shared" si="59"/>
        <v>3.82</v>
      </c>
      <c r="K187" s="1">
        <f t="shared" si="59"/>
        <v>5.07</v>
      </c>
      <c r="L187" s="1">
        <f t="shared" si="59"/>
        <v>16.3</v>
      </c>
      <c r="M187" s="1">
        <f t="shared" si="59"/>
        <v>2.95</v>
      </c>
      <c r="N187" s="1">
        <f t="shared" si="59"/>
        <v>4</v>
      </c>
      <c r="O187" s="1">
        <f t="shared" si="59"/>
        <v>22.11</v>
      </c>
      <c r="P187" s="1">
        <f t="shared" si="59"/>
        <v>2.54</v>
      </c>
      <c r="Q187" s="1">
        <f t="shared" si="59"/>
        <v>10.199999999999999</v>
      </c>
      <c r="R187" s="1">
        <f t="shared" si="59"/>
        <v>2.65</v>
      </c>
      <c r="S187" s="1">
        <f t="shared" si="59"/>
        <v>7.76</v>
      </c>
      <c r="T187" s="1">
        <f t="shared" si="59"/>
        <v>7.76</v>
      </c>
      <c r="U187" s="1">
        <f t="shared" si="59"/>
        <v>7.64</v>
      </c>
      <c r="V187" s="1">
        <f t="shared" si="59"/>
        <v>1.5</v>
      </c>
      <c r="W187" s="1">
        <f t="shared" si="59"/>
        <v>12.62</v>
      </c>
      <c r="X187" s="1">
        <f t="shared" si="59"/>
        <v>8.01</v>
      </c>
      <c r="Y187" s="1">
        <f t="shared" si="59"/>
        <v>11.2</v>
      </c>
      <c r="Z187" s="1">
        <f t="shared" si="59"/>
        <v>2.65</v>
      </c>
      <c r="AA187" s="1">
        <f t="shared" si="59"/>
        <v>6.34</v>
      </c>
      <c r="AB187" s="1">
        <f t="shared" si="59"/>
        <v>2.95</v>
      </c>
      <c r="AC187" s="1">
        <f t="shared" si="59"/>
        <v>8.01</v>
      </c>
      <c r="AD187" s="1">
        <f t="shared" si="59"/>
        <v>11.18</v>
      </c>
      <c r="AE187" s="1">
        <f t="shared" si="59"/>
        <v>6.34</v>
      </c>
      <c r="AF187" s="1">
        <f t="shared" si="59"/>
        <v>7.76</v>
      </c>
      <c r="AG187" s="1">
        <f t="shared" si="59"/>
        <v>4.2</v>
      </c>
      <c r="AH187" s="1">
        <f t="shared" si="59"/>
        <v>7.3</v>
      </c>
      <c r="AI187" s="1">
        <f t="shared" si="59"/>
        <v>19.2</v>
      </c>
      <c r="AJ187" s="1">
        <f t="shared" si="59"/>
        <v>3.2</v>
      </c>
      <c r="AK187" s="1">
        <f t="shared" si="59"/>
        <v>2.95</v>
      </c>
      <c r="AL187" s="1">
        <f t="shared" si="59"/>
        <v>8.3000000000000007</v>
      </c>
      <c r="AM187" s="1">
        <f t="shared" si="59"/>
        <v>8.8000000000000007</v>
      </c>
      <c r="AN187" s="1">
        <f t="shared" si="59"/>
        <v>7.7</v>
      </c>
      <c r="AO187" s="1">
        <f t="shared" si="59"/>
        <v>11.58</v>
      </c>
      <c r="AP187" s="1">
        <f t="shared" si="59"/>
        <v>3.81</v>
      </c>
      <c r="AQ187" s="1">
        <f t="shared" si="59"/>
        <v>10.97</v>
      </c>
      <c r="AR187" s="1">
        <f t="shared" si="59"/>
        <v>3.7</v>
      </c>
      <c r="AS187" s="1">
        <f t="shared" si="59"/>
        <v>12.79</v>
      </c>
      <c r="AT187" s="1">
        <f t="shared" si="59"/>
        <v>3.04</v>
      </c>
      <c r="AU187" s="1">
        <f t="shared" si="59"/>
        <v>11.43</v>
      </c>
      <c r="AV187" s="1">
        <f t="shared" si="59"/>
        <v>3.63</v>
      </c>
      <c r="AW187" s="1">
        <f t="shared" si="59"/>
        <v>2.5</v>
      </c>
      <c r="AX187" s="1">
        <f t="shared" si="59"/>
        <v>2.35</v>
      </c>
      <c r="AY187" s="1">
        <f t="shared" si="59"/>
        <v>18.05</v>
      </c>
      <c r="AZ187" s="1">
        <f t="shared" si="59"/>
        <v>3.7</v>
      </c>
      <c r="BA187" s="1">
        <f t="shared" si="59"/>
        <v>6.34</v>
      </c>
      <c r="BB187" s="1">
        <f t="shared" si="59"/>
        <v>16.78</v>
      </c>
      <c r="BC187" s="1">
        <f t="shared" si="59"/>
        <v>3.92</v>
      </c>
      <c r="BD187" s="1">
        <f t="shared" si="59"/>
        <v>6.89</v>
      </c>
      <c r="BE187" s="1">
        <f t="shared" si="59"/>
        <v>7.1</v>
      </c>
      <c r="BF187" s="1">
        <f t="shared" si="59"/>
        <v>7.18</v>
      </c>
      <c r="BG187" s="1">
        <f t="shared" si="59"/>
        <v>19.420000000000002</v>
      </c>
      <c r="BH187" s="1">
        <f t="shared" si="59"/>
        <v>5.13</v>
      </c>
      <c r="BI187" s="1">
        <f t="shared" si="59"/>
        <v>5.57</v>
      </c>
      <c r="BJ187" s="1">
        <f t="shared" si="59"/>
        <v>6.2</v>
      </c>
      <c r="BK187" s="1">
        <f t="shared" si="59"/>
        <v>14.9</v>
      </c>
      <c r="BL187" s="1">
        <f t="shared" si="59"/>
        <v>5.57</v>
      </c>
      <c r="BM187" s="1">
        <f t="shared" si="59"/>
        <v>14.9</v>
      </c>
      <c r="BN187" s="1">
        <f t="shared" si="57"/>
        <v>10.1</v>
      </c>
      <c r="BO187" s="1">
        <f t="shared" si="58"/>
        <v>14.9</v>
      </c>
      <c r="BP187" s="1">
        <f t="shared" si="58"/>
        <v>4.1500000000000004</v>
      </c>
      <c r="BQ187" s="1">
        <f t="shared" si="58"/>
        <v>2.99</v>
      </c>
      <c r="BR187" s="1">
        <f t="shared" si="58"/>
        <v>8.98</v>
      </c>
    </row>
    <row r="188" spans="1:73" s="1" customFormat="1">
      <c r="A188" s="44" t="str">
        <f>A181</f>
        <v>depth</v>
      </c>
      <c r="B188" s="1">
        <f t="shared" si="59"/>
        <v>0.7</v>
      </c>
      <c r="C188" s="1">
        <f t="shared" si="59"/>
        <v>0.8</v>
      </c>
      <c r="D188" s="1">
        <f t="shared" si="59"/>
        <v>0.7</v>
      </c>
      <c r="E188" s="1">
        <f t="shared" si="59"/>
        <v>0.6</v>
      </c>
      <c r="F188" s="1">
        <f t="shared" si="59"/>
        <v>0.75</v>
      </c>
      <c r="G188" s="1">
        <f t="shared" si="59"/>
        <v>0.6</v>
      </c>
      <c r="H188" s="1">
        <f t="shared" si="59"/>
        <v>0.6</v>
      </c>
      <c r="I188" s="1">
        <f t="shared" si="59"/>
        <v>0.6</v>
      </c>
      <c r="J188" s="1">
        <f t="shared" si="59"/>
        <v>0.6</v>
      </c>
      <c r="K188" s="1">
        <f t="shared" si="59"/>
        <v>0.6</v>
      </c>
      <c r="L188" s="1">
        <f t="shared" si="59"/>
        <v>0.6</v>
      </c>
      <c r="M188" s="1">
        <f t="shared" si="59"/>
        <v>0.45</v>
      </c>
      <c r="N188" s="1">
        <f t="shared" si="59"/>
        <v>0.45</v>
      </c>
      <c r="O188" s="1">
        <f t="shared" si="59"/>
        <v>0.9</v>
      </c>
      <c r="P188" s="1">
        <f t="shared" si="59"/>
        <v>0.6</v>
      </c>
      <c r="Q188" s="1">
        <f t="shared" si="59"/>
        <v>0.6</v>
      </c>
      <c r="R188" s="1">
        <f t="shared" si="59"/>
        <v>0.45</v>
      </c>
      <c r="S188" s="1">
        <f t="shared" si="59"/>
        <v>0.7</v>
      </c>
      <c r="T188" s="1">
        <f t="shared" si="59"/>
        <v>0.7</v>
      </c>
      <c r="U188" s="1">
        <f t="shared" si="59"/>
        <v>0.6</v>
      </c>
      <c r="V188" s="1">
        <f t="shared" si="59"/>
        <v>0.45</v>
      </c>
      <c r="W188" s="1">
        <f t="shared" si="59"/>
        <v>0.6</v>
      </c>
      <c r="X188" s="1">
        <f t="shared" si="59"/>
        <v>0.8</v>
      </c>
      <c r="Y188" s="1">
        <f t="shared" si="59"/>
        <v>0.6</v>
      </c>
      <c r="Z188" s="1">
        <f t="shared" si="59"/>
        <v>0.45</v>
      </c>
      <c r="AA188" s="1">
        <f t="shared" si="59"/>
        <v>0.7</v>
      </c>
      <c r="AB188" s="1">
        <f t="shared" si="59"/>
        <v>0.45</v>
      </c>
      <c r="AC188" s="1">
        <f t="shared" si="59"/>
        <v>0.75</v>
      </c>
      <c r="AD188" s="1">
        <f t="shared" si="59"/>
        <v>0.7</v>
      </c>
      <c r="AE188" s="1">
        <f t="shared" si="59"/>
        <v>0.6</v>
      </c>
      <c r="AF188" s="1">
        <f t="shared" si="59"/>
        <v>0.6</v>
      </c>
      <c r="AG188" s="1">
        <f t="shared" si="59"/>
        <v>0.6</v>
      </c>
      <c r="AH188" s="1">
        <f t="shared" si="59"/>
        <v>0.6</v>
      </c>
      <c r="AI188" s="1">
        <f t="shared" si="59"/>
        <v>0.6</v>
      </c>
      <c r="AJ188" s="1">
        <f t="shared" si="59"/>
        <v>0.6</v>
      </c>
      <c r="AK188" s="1">
        <f t="shared" si="59"/>
        <v>0.6</v>
      </c>
      <c r="AL188" s="1">
        <f t="shared" si="59"/>
        <v>0.6</v>
      </c>
      <c r="AM188" s="1">
        <f t="shared" si="59"/>
        <v>0.6</v>
      </c>
      <c r="AN188" s="1">
        <f t="shared" si="59"/>
        <v>0.6</v>
      </c>
      <c r="AO188" s="1">
        <f t="shared" si="59"/>
        <v>0.6</v>
      </c>
      <c r="AP188" s="1">
        <f t="shared" si="59"/>
        <v>0.6</v>
      </c>
      <c r="AQ188" s="1">
        <f t="shared" si="59"/>
        <v>0.6</v>
      </c>
      <c r="AR188" s="1">
        <f t="shared" si="59"/>
        <v>0.6</v>
      </c>
      <c r="AS188" s="1">
        <f t="shared" si="59"/>
        <v>0.6</v>
      </c>
      <c r="AT188" s="1">
        <f t="shared" si="59"/>
        <v>0.6</v>
      </c>
      <c r="AU188" s="1">
        <f t="shared" si="59"/>
        <v>0.7</v>
      </c>
      <c r="AV188" s="1">
        <f t="shared" si="59"/>
        <v>0.6</v>
      </c>
      <c r="AW188" s="1">
        <f t="shared" si="59"/>
        <v>0.6</v>
      </c>
      <c r="AX188" s="1">
        <f t="shared" si="59"/>
        <v>0.6</v>
      </c>
      <c r="AY188" s="1">
        <f t="shared" si="59"/>
        <v>0.75</v>
      </c>
      <c r="AZ188" s="1">
        <f t="shared" si="59"/>
        <v>0.6</v>
      </c>
      <c r="BA188" s="1">
        <f t="shared" si="59"/>
        <v>0.6</v>
      </c>
      <c r="BB188" s="1">
        <f t="shared" si="59"/>
        <v>0.6</v>
      </c>
      <c r="BC188" s="1">
        <f t="shared" si="59"/>
        <v>0.6</v>
      </c>
      <c r="BD188" s="1">
        <f t="shared" si="59"/>
        <v>0.6</v>
      </c>
      <c r="BE188" s="1">
        <f t="shared" si="59"/>
        <v>0.6</v>
      </c>
      <c r="BF188" s="1">
        <f t="shared" si="59"/>
        <v>0.6</v>
      </c>
      <c r="BG188" s="1">
        <f t="shared" si="59"/>
        <v>0.45</v>
      </c>
      <c r="BH188" s="1">
        <f t="shared" si="59"/>
        <v>0.6</v>
      </c>
      <c r="BI188" s="1">
        <f t="shared" si="59"/>
        <v>0.6</v>
      </c>
      <c r="BJ188" s="1">
        <f t="shared" si="59"/>
        <v>0.6</v>
      </c>
      <c r="BK188" s="1">
        <f t="shared" si="59"/>
        <v>0.75</v>
      </c>
      <c r="BL188" s="1">
        <f t="shared" si="59"/>
        <v>0.75</v>
      </c>
      <c r="BM188" s="1">
        <f t="shared" si="59"/>
        <v>0.6</v>
      </c>
      <c r="BN188" s="1">
        <f t="shared" si="57"/>
        <v>0.6</v>
      </c>
      <c r="BO188" s="1">
        <f t="shared" si="58"/>
        <v>0.7</v>
      </c>
      <c r="BP188" s="1">
        <f t="shared" si="58"/>
        <v>0.6</v>
      </c>
      <c r="BQ188" s="1">
        <f t="shared" si="58"/>
        <v>1.6</v>
      </c>
      <c r="BR188" s="1">
        <f t="shared" si="58"/>
        <v>2.6</v>
      </c>
      <c r="BS188"/>
      <c r="BT188"/>
      <c r="BU188"/>
    </row>
    <row r="189" spans="1:73" s="1" customFormat="1">
      <c r="A189" s="44" t="str">
        <f>A182</f>
        <v>width</v>
      </c>
      <c r="B189" s="1">
        <f t="shared" si="59"/>
        <v>0.25</v>
      </c>
      <c r="C189" s="1">
        <f t="shared" si="59"/>
        <v>0.3</v>
      </c>
      <c r="D189" s="1">
        <f t="shared" si="59"/>
        <v>0.25</v>
      </c>
      <c r="E189" s="1">
        <f t="shared" si="59"/>
        <v>0.25</v>
      </c>
      <c r="F189" s="1">
        <f t="shared" si="59"/>
        <v>0.25</v>
      </c>
      <c r="G189" s="1">
        <f t="shared" si="59"/>
        <v>0.25</v>
      </c>
      <c r="H189" s="1">
        <f t="shared" si="59"/>
        <v>0.25</v>
      </c>
      <c r="I189" s="1">
        <f t="shared" si="59"/>
        <v>0.25</v>
      </c>
      <c r="J189" s="1">
        <f t="shared" si="59"/>
        <v>0.25</v>
      </c>
      <c r="K189" s="1">
        <f t="shared" si="59"/>
        <v>0.25</v>
      </c>
      <c r="L189" s="1">
        <f t="shared" si="59"/>
        <v>0.25</v>
      </c>
      <c r="M189" s="1">
        <f t="shared" si="59"/>
        <v>0.23</v>
      </c>
      <c r="N189" s="1">
        <f t="shared" si="59"/>
        <v>0.23</v>
      </c>
      <c r="O189" s="1">
        <f t="shared" si="59"/>
        <v>0.4</v>
      </c>
      <c r="P189" s="1">
        <f t="shared" si="59"/>
        <v>0.25</v>
      </c>
      <c r="Q189" s="1">
        <f t="shared" si="59"/>
        <v>0.25</v>
      </c>
      <c r="R189" s="1">
        <f t="shared" si="59"/>
        <v>0.25</v>
      </c>
      <c r="S189" s="1">
        <f t="shared" si="59"/>
        <v>0.25</v>
      </c>
      <c r="T189" s="1">
        <f t="shared" si="59"/>
        <v>0.3</v>
      </c>
      <c r="U189" s="1">
        <f t="shared" si="59"/>
        <v>0.25</v>
      </c>
      <c r="V189" s="1">
        <f t="shared" si="59"/>
        <v>0.23</v>
      </c>
      <c r="W189" s="1">
        <f t="shared" si="59"/>
        <v>0.25</v>
      </c>
      <c r="X189" s="1">
        <f t="shared" si="59"/>
        <v>0.25</v>
      </c>
      <c r="Y189" s="1">
        <f t="shared" si="59"/>
        <v>0.25</v>
      </c>
      <c r="Z189" s="1">
        <f t="shared" si="59"/>
        <v>0.23</v>
      </c>
      <c r="AA189" s="1">
        <f t="shared" si="59"/>
        <v>0.35</v>
      </c>
      <c r="AB189" s="1">
        <f t="shared" si="59"/>
        <v>0.23</v>
      </c>
      <c r="AC189" s="1">
        <f t="shared" si="59"/>
        <v>0.35</v>
      </c>
      <c r="AD189" s="1">
        <f t="shared" si="59"/>
        <v>0.35</v>
      </c>
      <c r="AE189" s="1">
        <f t="shared" si="59"/>
        <v>0.25</v>
      </c>
      <c r="AF189" s="1">
        <f t="shared" si="59"/>
        <v>0.25</v>
      </c>
      <c r="AG189" s="1">
        <f t="shared" si="59"/>
        <v>0.25</v>
      </c>
      <c r="AH189" s="1">
        <f t="shared" si="59"/>
        <v>0.25</v>
      </c>
      <c r="AI189" s="1">
        <f t="shared" si="59"/>
        <v>0.25</v>
      </c>
      <c r="AJ189" s="1">
        <f t="shared" si="59"/>
        <v>0.25</v>
      </c>
      <c r="AK189" s="1">
        <f t="shared" si="59"/>
        <v>0.25</v>
      </c>
      <c r="AL189" s="1">
        <f t="shared" si="59"/>
        <v>0.25</v>
      </c>
      <c r="AM189" s="1">
        <f t="shared" si="59"/>
        <v>0.25</v>
      </c>
      <c r="AN189" s="1">
        <f t="shared" si="59"/>
        <v>0.25</v>
      </c>
      <c r="AO189" s="1">
        <f t="shared" si="59"/>
        <v>0.25</v>
      </c>
      <c r="AP189" s="1">
        <f t="shared" si="59"/>
        <v>0.25</v>
      </c>
      <c r="AQ189" s="1">
        <f t="shared" si="59"/>
        <v>0.25</v>
      </c>
      <c r="AR189" s="1">
        <f t="shared" si="59"/>
        <v>0.25</v>
      </c>
      <c r="AS189" s="1">
        <f t="shared" si="59"/>
        <v>0.25</v>
      </c>
      <c r="AT189" s="1">
        <f t="shared" si="59"/>
        <v>0.25</v>
      </c>
      <c r="AU189" s="1">
        <f t="shared" si="59"/>
        <v>0.25</v>
      </c>
      <c r="AV189" s="1">
        <f t="shared" si="59"/>
        <v>0.25</v>
      </c>
      <c r="AW189" s="1">
        <f t="shared" si="59"/>
        <v>0.25</v>
      </c>
      <c r="AX189" s="1">
        <f t="shared" si="59"/>
        <v>0.25</v>
      </c>
      <c r="AY189" s="1">
        <f t="shared" si="59"/>
        <v>0.35</v>
      </c>
      <c r="AZ189" s="1">
        <f t="shared" si="59"/>
        <v>0.25</v>
      </c>
      <c r="BA189" s="1">
        <f t="shared" si="59"/>
        <v>0.25</v>
      </c>
      <c r="BB189" s="1">
        <f t="shared" si="59"/>
        <v>0.25</v>
      </c>
      <c r="BC189" s="1">
        <f t="shared" si="59"/>
        <v>0.25</v>
      </c>
      <c r="BD189" s="1">
        <f t="shared" si="59"/>
        <v>0.25</v>
      </c>
      <c r="BE189" s="1">
        <f t="shared" si="59"/>
        <v>0.25</v>
      </c>
      <c r="BF189" s="1">
        <f t="shared" si="59"/>
        <v>0.25</v>
      </c>
      <c r="BG189" s="1">
        <f t="shared" si="59"/>
        <v>0.23</v>
      </c>
      <c r="BH189" s="1">
        <f t="shared" si="59"/>
        <v>0.25</v>
      </c>
      <c r="BI189" s="1">
        <f t="shared" si="59"/>
        <v>0.25</v>
      </c>
      <c r="BJ189" s="1">
        <f t="shared" si="59"/>
        <v>0.25</v>
      </c>
      <c r="BK189" s="1">
        <f t="shared" si="59"/>
        <v>0.25</v>
      </c>
      <c r="BL189" s="1">
        <f t="shared" si="59"/>
        <v>0.3</v>
      </c>
      <c r="BM189" s="1">
        <f t="shared" si="59"/>
        <v>0.25</v>
      </c>
      <c r="BN189" s="1">
        <f t="shared" si="57"/>
        <v>0.25</v>
      </c>
      <c r="BO189" s="1">
        <f t="shared" si="58"/>
        <v>0.25</v>
      </c>
      <c r="BP189" s="1">
        <f t="shared" si="58"/>
        <v>0.25</v>
      </c>
      <c r="BQ189" s="1">
        <f t="shared" si="58"/>
        <v>0.25</v>
      </c>
      <c r="BR189" s="1">
        <f t="shared" si="58"/>
        <v>0.23</v>
      </c>
      <c r="BS189"/>
      <c r="BT189"/>
      <c r="BU189"/>
    </row>
    <row r="190" spans="1:73" s="1" customFormat="1">
      <c r="B190" s="8">
        <f t="shared" ref="B190:BM190" si="60">(B187*B188*2)+(B187*B189)</f>
        <v>7.8704999999999989</v>
      </c>
      <c r="C190" s="8">
        <f t="shared" si="60"/>
        <v>15.219000000000001</v>
      </c>
      <c r="D190" s="8">
        <f t="shared" si="60"/>
        <v>7.7879999999999994</v>
      </c>
      <c r="E190" s="8">
        <f t="shared" si="60"/>
        <v>2.1749999999999998</v>
      </c>
      <c r="F190" s="8">
        <f t="shared" si="60"/>
        <v>28.525000000000002</v>
      </c>
      <c r="G190" s="8">
        <f t="shared" si="60"/>
        <v>7.5109999999999992</v>
      </c>
      <c r="H190" s="8">
        <f t="shared" si="60"/>
        <v>6.3800000000000008</v>
      </c>
      <c r="I190" s="8">
        <f t="shared" si="60"/>
        <v>7.83</v>
      </c>
      <c r="J190" s="8">
        <f t="shared" si="60"/>
        <v>5.5389999999999997</v>
      </c>
      <c r="K190" s="8">
        <f t="shared" si="60"/>
        <v>7.3515000000000006</v>
      </c>
      <c r="L190" s="8">
        <f t="shared" si="60"/>
        <v>23.634999999999998</v>
      </c>
      <c r="M190" s="8">
        <f t="shared" si="60"/>
        <v>3.3335000000000004</v>
      </c>
      <c r="N190" s="8">
        <f t="shared" si="60"/>
        <v>4.5200000000000005</v>
      </c>
      <c r="O190" s="8">
        <f t="shared" si="60"/>
        <v>48.642000000000003</v>
      </c>
      <c r="P190" s="8">
        <f t="shared" si="60"/>
        <v>3.6829999999999998</v>
      </c>
      <c r="Q190" s="8">
        <f t="shared" si="60"/>
        <v>14.79</v>
      </c>
      <c r="R190" s="8">
        <f t="shared" si="60"/>
        <v>3.0474999999999999</v>
      </c>
      <c r="S190" s="8">
        <f t="shared" si="60"/>
        <v>12.803999999999998</v>
      </c>
      <c r="T190" s="8">
        <f t="shared" si="60"/>
        <v>13.191999999999998</v>
      </c>
      <c r="U190" s="8">
        <f t="shared" si="60"/>
        <v>11.077999999999999</v>
      </c>
      <c r="V190" s="8">
        <f t="shared" si="60"/>
        <v>1.6950000000000001</v>
      </c>
      <c r="W190" s="8">
        <f t="shared" si="60"/>
        <v>18.298999999999999</v>
      </c>
      <c r="X190" s="8">
        <f t="shared" si="60"/>
        <v>14.8185</v>
      </c>
      <c r="Y190" s="8">
        <f t="shared" si="60"/>
        <v>16.239999999999998</v>
      </c>
      <c r="Z190" s="8">
        <f t="shared" si="60"/>
        <v>2.9944999999999999</v>
      </c>
      <c r="AA190" s="8">
        <f t="shared" si="60"/>
        <v>11.094999999999999</v>
      </c>
      <c r="AB190" s="8">
        <f t="shared" si="60"/>
        <v>3.3335000000000004</v>
      </c>
      <c r="AC190" s="8">
        <f t="shared" si="60"/>
        <v>14.8185</v>
      </c>
      <c r="AD190" s="8">
        <f t="shared" si="60"/>
        <v>19.564999999999998</v>
      </c>
      <c r="AE190" s="8">
        <f t="shared" si="60"/>
        <v>9.1929999999999996</v>
      </c>
      <c r="AF190" s="8">
        <f t="shared" si="60"/>
        <v>11.251999999999999</v>
      </c>
      <c r="AG190" s="8">
        <f t="shared" si="60"/>
        <v>6.09</v>
      </c>
      <c r="AH190" s="8">
        <f t="shared" si="60"/>
        <v>10.584999999999999</v>
      </c>
      <c r="AI190" s="8">
        <f t="shared" si="60"/>
        <v>27.84</v>
      </c>
      <c r="AJ190" s="8">
        <f t="shared" si="60"/>
        <v>4.6399999999999997</v>
      </c>
      <c r="AK190" s="8">
        <f t="shared" si="60"/>
        <v>4.2774999999999999</v>
      </c>
      <c r="AL190" s="8">
        <f t="shared" si="60"/>
        <v>12.035</v>
      </c>
      <c r="AM190" s="8">
        <f t="shared" si="60"/>
        <v>12.760000000000002</v>
      </c>
      <c r="AN190" s="8">
        <f t="shared" si="60"/>
        <v>11.165000000000001</v>
      </c>
      <c r="AO190" s="8">
        <f t="shared" si="60"/>
        <v>16.791</v>
      </c>
      <c r="AP190" s="8">
        <f t="shared" si="60"/>
        <v>5.5244999999999997</v>
      </c>
      <c r="AQ190" s="8">
        <f t="shared" si="60"/>
        <v>15.906499999999999</v>
      </c>
      <c r="AR190" s="8">
        <f t="shared" si="60"/>
        <v>5.3650000000000002</v>
      </c>
      <c r="AS190" s="8">
        <f t="shared" si="60"/>
        <v>18.545499999999997</v>
      </c>
      <c r="AT190" s="8">
        <f t="shared" si="60"/>
        <v>4.4079999999999995</v>
      </c>
      <c r="AU190" s="8">
        <f t="shared" si="60"/>
        <v>18.859499999999997</v>
      </c>
      <c r="AV190" s="8">
        <f t="shared" si="60"/>
        <v>5.2634999999999996</v>
      </c>
      <c r="AW190" s="8">
        <f t="shared" si="60"/>
        <v>3.625</v>
      </c>
      <c r="AX190" s="8">
        <f t="shared" si="60"/>
        <v>3.4074999999999998</v>
      </c>
      <c r="AY190" s="8">
        <f t="shared" si="60"/>
        <v>33.392500000000005</v>
      </c>
      <c r="AZ190" s="8">
        <f t="shared" si="60"/>
        <v>5.3650000000000002</v>
      </c>
      <c r="BA190" s="8">
        <f t="shared" si="60"/>
        <v>9.1929999999999996</v>
      </c>
      <c r="BB190" s="8">
        <f t="shared" si="60"/>
        <v>24.331</v>
      </c>
      <c r="BC190" s="8">
        <f t="shared" si="60"/>
        <v>5.6839999999999993</v>
      </c>
      <c r="BD190" s="8">
        <f t="shared" si="60"/>
        <v>9.990499999999999</v>
      </c>
      <c r="BE190" s="8">
        <f t="shared" si="60"/>
        <v>10.295</v>
      </c>
      <c r="BF190" s="8">
        <f t="shared" si="60"/>
        <v>10.411</v>
      </c>
      <c r="BG190" s="8">
        <f t="shared" si="60"/>
        <v>21.944600000000001</v>
      </c>
      <c r="BH190" s="8">
        <f t="shared" si="60"/>
        <v>7.4384999999999994</v>
      </c>
      <c r="BI190" s="8">
        <f t="shared" si="60"/>
        <v>8.0764999999999993</v>
      </c>
      <c r="BJ190" s="8">
        <f t="shared" si="60"/>
        <v>8.99</v>
      </c>
      <c r="BK190" s="8">
        <f t="shared" si="60"/>
        <v>26.075000000000003</v>
      </c>
      <c r="BL190" s="8">
        <f t="shared" si="60"/>
        <v>10.026</v>
      </c>
      <c r="BM190" s="8">
        <f t="shared" si="60"/>
        <v>21.605</v>
      </c>
      <c r="BN190" s="8">
        <f t="shared" ref="BN190:BR190" si="61">(BN187*BN188*2)+(BN187*BN189)</f>
        <v>14.645</v>
      </c>
      <c r="BO190" s="8">
        <f t="shared" si="61"/>
        <v>24.585000000000001</v>
      </c>
      <c r="BP190" s="8">
        <f t="shared" si="61"/>
        <v>6.0175000000000001</v>
      </c>
      <c r="BQ190" s="8">
        <f t="shared" si="61"/>
        <v>10.315500000000002</v>
      </c>
      <c r="BR190" s="8">
        <f t="shared" si="61"/>
        <v>48.761400000000009</v>
      </c>
      <c r="BS190"/>
      <c r="BT190"/>
      <c r="BU190"/>
    </row>
    <row r="191" spans="1:73" s="1" customFormat="1" ht="15.75" thickBot="1"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 s="4"/>
      <c r="BR191"/>
      <c r="BS191"/>
      <c r="BT191"/>
      <c r="BU191"/>
    </row>
    <row r="192" spans="1:73" s="1" customFormat="1" ht="19.5" thickBot="1">
      <c r="B192" s="203" t="s">
        <v>314</v>
      </c>
      <c r="C192" s="203"/>
      <c r="D192" s="203"/>
      <c r="E192" s="203"/>
      <c r="F192" s="50">
        <f>ROUNDUP(SUM(B198:BP198),0)</f>
        <v>13238</v>
      </c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 s="4"/>
      <c r="BR192"/>
      <c r="BS192"/>
      <c r="BT192"/>
      <c r="BU192"/>
    </row>
    <row r="193" spans="1:73" s="1" customFormat="1">
      <c r="C193" s="1" t="s">
        <v>105</v>
      </c>
      <c r="D193" s="1">
        <f>ROUNDUP(7045.56818181818,0)</f>
        <v>7046</v>
      </c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 s="4"/>
      <c r="BR193"/>
      <c r="BS193"/>
      <c r="BT193"/>
      <c r="BU193"/>
    </row>
    <row r="194" spans="1:73" s="1" customFormat="1">
      <c r="C194" s="1" t="s">
        <v>70</v>
      </c>
      <c r="D194" s="1">
        <f>ROUNDUP(1508.52272727273,0)</f>
        <v>1509</v>
      </c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 s="4"/>
      <c r="BR194"/>
      <c r="BS194"/>
      <c r="BT194"/>
      <c r="BU194"/>
    </row>
    <row r="195" spans="1:73" s="1" customFormat="1">
      <c r="C195" s="1" t="s">
        <v>71</v>
      </c>
      <c r="D195" s="1">
        <f>ROUNDUP(2704.09090909091,0)</f>
        <v>2705</v>
      </c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 s="4"/>
      <c r="BR195"/>
      <c r="BS195"/>
      <c r="BT195"/>
      <c r="BU195"/>
    </row>
    <row r="196" spans="1:73" s="1" customFormat="1">
      <c r="C196" s="1" t="s">
        <v>68</v>
      </c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 s="4"/>
      <c r="BR196"/>
      <c r="BS196"/>
      <c r="BT196"/>
      <c r="BU196"/>
    </row>
    <row r="197" spans="1:73" s="1" customFormat="1">
      <c r="C197" s="1" t="s">
        <v>108</v>
      </c>
      <c r="D197" s="1">
        <f>ROUNDUP(1977.95454545455,0)</f>
        <v>1978</v>
      </c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 s="4"/>
      <c r="BR197"/>
      <c r="BS197"/>
      <c r="BT197"/>
      <c r="BU197"/>
    </row>
    <row r="198" spans="1:73" s="1" customFormat="1">
      <c r="D198" s="100">
        <f>SUM(D193:D197)</f>
        <v>13238</v>
      </c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 s="4"/>
      <c r="BR198"/>
      <c r="BS198"/>
      <c r="BT198"/>
      <c r="BU198"/>
    </row>
    <row r="199" spans="1:73" s="1" customFormat="1"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 s="4"/>
      <c r="BR199"/>
      <c r="BS199"/>
      <c r="BT199"/>
      <c r="BU199"/>
    </row>
    <row r="200" spans="1:73" s="1" customFormat="1" ht="15.75" thickBot="1"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 s="4"/>
      <c r="BR200"/>
      <c r="BS200"/>
      <c r="BT200"/>
      <c r="BU200"/>
    </row>
    <row r="201" spans="1:73" s="1" customFormat="1" ht="19.5" thickBot="1">
      <c r="B201" s="203" t="s">
        <v>317</v>
      </c>
      <c r="C201" s="203"/>
      <c r="D201" s="203"/>
      <c r="E201" s="203"/>
      <c r="F201" s="50">
        <f>ROUNDUP(SUM(B206:BP206),0)</f>
        <v>73</v>
      </c>
      <c r="I201" s="4"/>
      <c r="BQ201"/>
      <c r="BR201"/>
      <c r="BS201"/>
      <c r="BT201"/>
      <c r="BU201"/>
    </row>
    <row r="202" spans="1:73" s="1" customFormat="1" ht="12.75">
      <c r="A202" s="44"/>
      <c r="B202" s="1" t="s">
        <v>127</v>
      </c>
      <c r="C202" s="1" t="s">
        <v>128</v>
      </c>
      <c r="D202" s="1" t="s">
        <v>129</v>
      </c>
      <c r="E202" s="1" t="s">
        <v>130</v>
      </c>
      <c r="F202" s="1" t="s">
        <v>131</v>
      </c>
      <c r="G202" s="1" t="s">
        <v>132</v>
      </c>
      <c r="H202" s="1" t="s">
        <v>133</v>
      </c>
      <c r="I202" s="1" t="s">
        <v>134</v>
      </c>
      <c r="J202" s="1" t="s">
        <v>135</v>
      </c>
      <c r="K202" s="1" t="s">
        <v>136</v>
      </c>
      <c r="L202" s="1" t="s">
        <v>137</v>
      </c>
      <c r="M202" s="1" t="s">
        <v>138</v>
      </c>
      <c r="N202" s="1" t="s">
        <v>139</v>
      </c>
      <c r="O202" s="1" t="s">
        <v>140</v>
      </c>
      <c r="P202" s="1" t="s">
        <v>141</v>
      </c>
      <c r="Q202" s="1" t="s">
        <v>142</v>
      </c>
      <c r="R202" s="1" t="s">
        <v>143</v>
      </c>
      <c r="S202" s="1" t="s">
        <v>144</v>
      </c>
      <c r="T202" s="1" t="s">
        <v>145</v>
      </c>
      <c r="U202" s="1" t="s">
        <v>146</v>
      </c>
      <c r="V202" s="1" t="s">
        <v>147</v>
      </c>
      <c r="W202" s="1" t="s">
        <v>148</v>
      </c>
      <c r="X202" s="1" t="s">
        <v>149</v>
      </c>
      <c r="Y202" s="1" t="s">
        <v>150</v>
      </c>
      <c r="Z202" s="1" t="s">
        <v>151</v>
      </c>
      <c r="AA202" s="1" t="s">
        <v>152</v>
      </c>
      <c r="AB202" s="1" t="s">
        <v>153</v>
      </c>
      <c r="AC202" s="1" t="s">
        <v>154</v>
      </c>
      <c r="AD202" s="1" t="s">
        <v>155</v>
      </c>
      <c r="AE202" s="1" t="s">
        <v>156</v>
      </c>
      <c r="AF202" s="1" t="s">
        <v>157</v>
      </c>
      <c r="AG202" s="1" t="s">
        <v>158</v>
      </c>
      <c r="AH202" s="1" t="s">
        <v>159</v>
      </c>
      <c r="AI202" s="1" t="s">
        <v>160</v>
      </c>
      <c r="AJ202" s="1" t="s">
        <v>161</v>
      </c>
      <c r="AK202" s="1" t="s">
        <v>162</v>
      </c>
      <c r="AL202" s="1" t="s">
        <v>163</v>
      </c>
      <c r="AM202" s="1" t="s">
        <v>277</v>
      </c>
      <c r="AN202" s="1" t="s">
        <v>278</v>
      </c>
      <c r="AO202" s="1" t="s">
        <v>279</v>
      </c>
      <c r="AP202" s="1" t="s">
        <v>280</v>
      </c>
      <c r="AQ202" s="1" t="s">
        <v>281</v>
      </c>
      <c r="AR202" s="1" t="s">
        <v>282</v>
      </c>
    </row>
    <row r="203" spans="1:73" s="44" customFormat="1" ht="12.75">
      <c r="A203" s="44" t="s">
        <v>37</v>
      </c>
      <c r="B203" s="51">
        <v>9</v>
      </c>
      <c r="C203" s="51">
        <v>25.13</v>
      </c>
      <c r="D203" s="52">
        <v>2.65</v>
      </c>
      <c r="E203" s="52">
        <v>2.95</v>
      </c>
      <c r="F203" s="52">
        <v>7.6</v>
      </c>
      <c r="G203" s="52">
        <v>9</v>
      </c>
      <c r="H203" s="52">
        <v>25.13</v>
      </c>
      <c r="I203" s="52">
        <v>2.95</v>
      </c>
      <c r="J203" s="52">
        <v>2.9</v>
      </c>
      <c r="K203" s="52">
        <v>16.3</v>
      </c>
      <c r="L203" s="52">
        <v>6.77</v>
      </c>
      <c r="M203" s="52">
        <v>14.23</v>
      </c>
      <c r="N203" s="52">
        <v>8.4499999999999993</v>
      </c>
      <c r="O203" s="52">
        <v>16.3</v>
      </c>
      <c r="P203" s="51">
        <v>15.3</v>
      </c>
      <c r="Q203" s="51">
        <v>8.8000000000000007</v>
      </c>
      <c r="R203" s="51">
        <v>7.23</v>
      </c>
      <c r="S203" s="51">
        <v>16.3</v>
      </c>
      <c r="T203" s="51">
        <v>8.75</v>
      </c>
      <c r="U203" s="51">
        <v>15.3</v>
      </c>
      <c r="V203" s="51">
        <v>11.04</v>
      </c>
      <c r="W203" s="51">
        <v>3.63</v>
      </c>
      <c r="X203" s="51">
        <v>8.1</v>
      </c>
      <c r="Y203" s="51">
        <v>15.83</v>
      </c>
      <c r="Z203" s="51">
        <v>12.93</v>
      </c>
      <c r="AA203" s="51">
        <v>14.43</v>
      </c>
      <c r="AB203" s="51">
        <v>2.2000000000000002</v>
      </c>
      <c r="AC203" s="51">
        <v>3.77</v>
      </c>
      <c r="AD203" s="51">
        <v>6.63</v>
      </c>
      <c r="AE203" s="51">
        <v>4.3</v>
      </c>
      <c r="AF203" s="51">
        <v>7.73</v>
      </c>
      <c r="AG203" s="51">
        <v>9.7100000000000009</v>
      </c>
      <c r="AH203" s="51">
        <v>4.3</v>
      </c>
      <c r="AI203" s="51">
        <v>8</v>
      </c>
      <c r="AJ203" s="51">
        <v>14.48</v>
      </c>
      <c r="AK203" s="51">
        <v>7.73</v>
      </c>
      <c r="AL203" s="51">
        <v>9.7100000000000009</v>
      </c>
      <c r="AM203" s="51">
        <v>8.1</v>
      </c>
      <c r="AN203" s="51">
        <v>10.4</v>
      </c>
      <c r="AO203" s="51">
        <v>7.73</v>
      </c>
      <c r="AP203" s="51">
        <v>8.1</v>
      </c>
      <c r="AQ203" s="51">
        <v>10.1</v>
      </c>
      <c r="AR203" s="51">
        <v>8.1</v>
      </c>
      <c r="AS203" s="51"/>
      <c r="AT203" s="51"/>
      <c r="AU203" s="51"/>
      <c r="AV203" s="51"/>
      <c r="AW203" s="51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</row>
    <row r="204" spans="1:73" s="1" customFormat="1" ht="12.75">
      <c r="A204" s="44" t="s">
        <v>165</v>
      </c>
      <c r="B204" s="1">
        <v>0.75</v>
      </c>
      <c r="C204" s="1">
        <v>0.7</v>
      </c>
      <c r="D204" s="1">
        <v>0.6</v>
      </c>
      <c r="E204" s="1">
        <v>0.45</v>
      </c>
      <c r="F204" s="1">
        <v>0.6</v>
      </c>
      <c r="G204" s="1">
        <v>0.75</v>
      </c>
      <c r="H204" s="1">
        <v>0.6</v>
      </c>
      <c r="I204" s="1">
        <f t="shared" ref="I204:AJ205" si="62">H204</f>
        <v>0.6</v>
      </c>
      <c r="J204" s="1">
        <f t="shared" si="62"/>
        <v>0.6</v>
      </c>
      <c r="K204" s="1">
        <v>0.85</v>
      </c>
      <c r="L204" s="1">
        <v>0.6</v>
      </c>
      <c r="M204" s="1">
        <f t="shared" si="62"/>
        <v>0.6</v>
      </c>
      <c r="N204" s="1">
        <f t="shared" si="62"/>
        <v>0.6</v>
      </c>
      <c r="O204" s="1">
        <v>0.7</v>
      </c>
      <c r="P204" s="1">
        <v>0.6</v>
      </c>
      <c r="Q204" s="1">
        <f t="shared" si="62"/>
        <v>0.6</v>
      </c>
      <c r="R204" s="1">
        <f t="shared" si="62"/>
        <v>0.6</v>
      </c>
      <c r="S204" s="1">
        <f t="shared" si="62"/>
        <v>0.6</v>
      </c>
      <c r="T204" s="1">
        <f t="shared" si="62"/>
        <v>0.6</v>
      </c>
      <c r="U204" s="1">
        <f t="shared" si="62"/>
        <v>0.6</v>
      </c>
      <c r="V204" s="1">
        <f t="shared" si="62"/>
        <v>0.6</v>
      </c>
      <c r="W204" s="1">
        <f t="shared" si="62"/>
        <v>0.6</v>
      </c>
      <c r="X204" s="1">
        <f t="shared" si="62"/>
        <v>0.6</v>
      </c>
      <c r="Y204" s="1">
        <v>0.45</v>
      </c>
      <c r="Z204" s="1">
        <v>0.7</v>
      </c>
      <c r="AA204" s="1">
        <f t="shared" si="62"/>
        <v>0.7</v>
      </c>
      <c r="AB204" s="1">
        <v>0.6</v>
      </c>
      <c r="AC204" s="1">
        <f t="shared" si="62"/>
        <v>0.6</v>
      </c>
      <c r="AD204" s="1">
        <v>0.75</v>
      </c>
      <c r="AE204" s="1">
        <v>0.45</v>
      </c>
      <c r="AF204" s="1">
        <v>0.6</v>
      </c>
      <c r="AG204" s="1">
        <v>0.45</v>
      </c>
      <c r="AH204" s="1">
        <v>0.8</v>
      </c>
      <c r="AI204" s="1">
        <v>0.6</v>
      </c>
      <c r="AJ204" s="1">
        <f t="shared" si="62"/>
        <v>0.6</v>
      </c>
      <c r="AK204" s="1">
        <v>0.6</v>
      </c>
      <c r="AL204" s="1">
        <v>0.45</v>
      </c>
      <c r="AM204" s="1">
        <v>0.75</v>
      </c>
      <c r="AN204" s="1">
        <v>0.6</v>
      </c>
      <c r="AO204" s="1">
        <v>0.75</v>
      </c>
      <c r="AP204" s="1">
        <v>0.85</v>
      </c>
      <c r="AQ204" s="1">
        <v>0.6</v>
      </c>
      <c r="AR204" s="1">
        <v>0.75</v>
      </c>
    </row>
    <row r="205" spans="1:73" s="1" customFormat="1" ht="12.75">
      <c r="A205" s="44" t="s">
        <v>166</v>
      </c>
      <c r="B205" s="1">
        <v>0.35</v>
      </c>
      <c r="C205" s="1">
        <v>0.25</v>
      </c>
      <c r="D205" s="1">
        <v>0.23</v>
      </c>
      <c r="E205" s="1">
        <f t="shared" ref="E205" si="63">D205</f>
        <v>0.23</v>
      </c>
      <c r="F205" s="1">
        <v>0.25</v>
      </c>
      <c r="G205" s="1">
        <v>0.35</v>
      </c>
      <c r="H205" s="1">
        <v>0.25</v>
      </c>
      <c r="I205" s="1">
        <f t="shared" si="62"/>
        <v>0.25</v>
      </c>
      <c r="J205" s="1">
        <f t="shared" si="62"/>
        <v>0.25</v>
      </c>
      <c r="K205" s="1">
        <v>0.3</v>
      </c>
      <c r="L205" s="1">
        <v>0.25</v>
      </c>
      <c r="M205" s="1">
        <f t="shared" si="62"/>
        <v>0.25</v>
      </c>
      <c r="N205" s="1">
        <f t="shared" si="62"/>
        <v>0.25</v>
      </c>
      <c r="O205" s="1">
        <v>0.35</v>
      </c>
      <c r="P205" s="1">
        <v>0.25</v>
      </c>
      <c r="Q205" s="1">
        <f t="shared" si="62"/>
        <v>0.25</v>
      </c>
      <c r="R205" s="1">
        <f t="shared" si="62"/>
        <v>0.25</v>
      </c>
      <c r="S205" s="1">
        <f t="shared" si="62"/>
        <v>0.25</v>
      </c>
      <c r="T205" s="1">
        <f t="shared" si="62"/>
        <v>0.25</v>
      </c>
      <c r="U205" s="1">
        <f t="shared" si="62"/>
        <v>0.25</v>
      </c>
      <c r="V205" s="1">
        <f t="shared" si="62"/>
        <v>0.25</v>
      </c>
      <c r="W205" s="1">
        <f t="shared" si="62"/>
        <v>0.25</v>
      </c>
      <c r="X205" s="1">
        <f t="shared" si="62"/>
        <v>0.25</v>
      </c>
      <c r="Y205" s="1">
        <v>0.23</v>
      </c>
      <c r="Z205" s="1">
        <v>0.35</v>
      </c>
      <c r="AA205" s="1">
        <f t="shared" si="62"/>
        <v>0.35</v>
      </c>
      <c r="AB205" s="1">
        <v>0.25</v>
      </c>
      <c r="AC205" s="1">
        <f t="shared" si="62"/>
        <v>0.25</v>
      </c>
      <c r="AD205" s="1">
        <f t="shared" si="62"/>
        <v>0.25</v>
      </c>
      <c r="AE205" s="1">
        <v>0.23</v>
      </c>
      <c r="AF205" s="1">
        <v>0.25</v>
      </c>
      <c r="AG205" s="1">
        <v>0.23</v>
      </c>
      <c r="AH205" s="1">
        <v>0.35</v>
      </c>
      <c r="AI205" s="1">
        <v>0.25</v>
      </c>
      <c r="AJ205" s="1">
        <f t="shared" si="62"/>
        <v>0.25</v>
      </c>
      <c r="AK205" s="1">
        <v>0.25</v>
      </c>
      <c r="AL205" s="1">
        <v>0.23</v>
      </c>
      <c r="AM205" s="1">
        <v>0.25</v>
      </c>
      <c r="AN205" s="1">
        <f t="shared" ref="AN205:AR205" si="64">AM205</f>
        <v>0.25</v>
      </c>
      <c r="AO205" s="1">
        <v>0.35</v>
      </c>
      <c r="AP205" s="1">
        <f t="shared" si="64"/>
        <v>0.35</v>
      </c>
      <c r="AQ205" s="1">
        <v>0.25</v>
      </c>
      <c r="AR205" s="1">
        <f t="shared" si="64"/>
        <v>0.25</v>
      </c>
    </row>
    <row r="206" spans="1:73" s="1" customFormat="1" ht="12.75">
      <c r="A206" s="44"/>
      <c r="B206" s="8">
        <f t="shared" ref="B206:AR206" si="65">B203*B204*B205</f>
        <v>2.3624999999999998</v>
      </c>
      <c r="C206" s="8">
        <f t="shared" si="65"/>
        <v>4.3977499999999994</v>
      </c>
      <c r="D206" s="8">
        <f t="shared" si="65"/>
        <v>0.36569999999999997</v>
      </c>
      <c r="E206" s="8">
        <f t="shared" si="65"/>
        <v>0.30532500000000007</v>
      </c>
      <c r="F206" s="8">
        <f t="shared" si="65"/>
        <v>1.1399999999999999</v>
      </c>
      <c r="G206" s="8">
        <f t="shared" si="65"/>
        <v>2.3624999999999998</v>
      </c>
      <c r="H206" s="8">
        <f t="shared" si="65"/>
        <v>3.7694999999999999</v>
      </c>
      <c r="I206" s="8">
        <f t="shared" si="65"/>
        <v>0.4425</v>
      </c>
      <c r="J206" s="8">
        <f t="shared" si="65"/>
        <v>0.435</v>
      </c>
      <c r="K206" s="8">
        <f t="shared" si="65"/>
        <v>4.1565000000000003</v>
      </c>
      <c r="L206" s="8">
        <f t="shared" si="65"/>
        <v>1.0154999999999998</v>
      </c>
      <c r="M206" s="8">
        <f t="shared" si="65"/>
        <v>2.1345000000000001</v>
      </c>
      <c r="N206" s="8">
        <f t="shared" si="65"/>
        <v>1.2674999999999998</v>
      </c>
      <c r="O206" s="8">
        <f t="shared" si="65"/>
        <v>3.9934999999999996</v>
      </c>
      <c r="P206" s="8">
        <f t="shared" si="65"/>
        <v>2.2949999999999999</v>
      </c>
      <c r="Q206" s="8">
        <f t="shared" si="65"/>
        <v>1.32</v>
      </c>
      <c r="R206" s="8">
        <f t="shared" si="65"/>
        <v>1.0845</v>
      </c>
      <c r="S206" s="8">
        <f t="shared" si="65"/>
        <v>2.4449999999999998</v>
      </c>
      <c r="T206" s="8">
        <f t="shared" si="65"/>
        <v>1.3125</v>
      </c>
      <c r="U206" s="8">
        <f t="shared" si="65"/>
        <v>2.2949999999999999</v>
      </c>
      <c r="V206" s="8">
        <f t="shared" si="65"/>
        <v>1.6559999999999999</v>
      </c>
      <c r="W206" s="8">
        <f t="shared" si="65"/>
        <v>0.54449999999999998</v>
      </c>
      <c r="X206" s="8">
        <f t="shared" si="65"/>
        <v>1.2149999999999999</v>
      </c>
      <c r="Y206" s="8">
        <f t="shared" si="65"/>
        <v>1.6384050000000001</v>
      </c>
      <c r="Z206" s="8">
        <f t="shared" si="65"/>
        <v>3.1678499999999992</v>
      </c>
      <c r="AA206" s="8">
        <f t="shared" si="65"/>
        <v>3.5353499999999993</v>
      </c>
      <c r="AB206" s="8">
        <f t="shared" si="65"/>
        <v>0.33</v>
      </c>
      <c r="AC206" s="8">
        <f t="shared" si="65"/>
        <v>0.5655</v>
      </c>
      <c r="AD206" s="8">
        <f t="shared" si="65"/>
        <v>1.243125</v>
      </c>
      <c r="AE206" s="8">
        <f t="shared" si="65"/>
        <v>0.44505000000000006</v>
      </c>
      <c r="AF206" s="8">
        <f t="shared" si="65"/>
        <v>1.1595</v>
      </c>
      <c r="AG206" s="8">
        <f t="shared" si="65"/>
        <v>1.0049850000000002</v>
      </c>
      <c r="AH206" s="8">
        <f t="shared" si="65"/>
        <v>1.204</v>
      </c>
      <c r="AI206" s="8">
        <f t="shared" si="65"/>
        <v>1.2</v>
      </c>
      <c r="AJ206" s="8">
        <f t="shared" si="65"/>
        <v>2.1720000000000002</v>
      </c>
      <c r="AK206" s="8">
        <f t="shared" si="65"/>
        <v>1.1595</v>
      </c>
      <c r="AL206" s="8">
        <f t="shared" si="65"/>
        <v>1.0049850000000002</v>
      </c>
      <c r="AM206" s="8">
        <f t="shared" si="65"/>
        <v>1.5187499999999998</v>
      </c>
      <c r="AN206" s="8">
        <f t="shared" si="65"/>
        <v>1.56</v>
      </c>
      <c r="AO206" s="8">
        <f t="shared" si="65"/>
        <v>2.0291250000000001</v>
      </c>
      <c r="AP206" s="8">
        <f t="shared" si="65"/>
        <v>2.4097499999999998</v>
      </c>
      <c r="AQ206" s="8">
        <f t="shared" si="65"/>
        <v>1.5149999999999999</v>
      </c>
      <c r="AR206" s="8">
        <f t="shared" si="65"/>
        <v>1.5187499999999998</v>
      </c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</row>
    <row r="207" spans="1:73" s="1" customFormat="1" ht="15.75" thickBot="1"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</row>
    <row r="208" spans="1:73" s="1" customFormat="1" ht="19.5" thickBot="1">
      <c r="B208" s="203" t="s">
        <v>318</v>
      </c>
      <c r="C208" s="203"/>
      <c r="D208" s="203"/>
      <c r="E208" s="203"/>
      <c r="F208" s="50">
        <f>ROUNDUP(SUM(B213:BP213),0)</f>
        <v>644</v>
      </c>
      <c r="G208" s="55"/>
      <c r="I208" s="4"/>
      <c r="BQ208"/>
      <c r="BR208"/>
      <c r="BS208"/>
      <c r="BT208"/>
      <c r="BU208"/>
    </row>
    <row r="209" spans="1:73" s="1" customFormat="1">
      <c r="B209" s="1" t="str">
        <f t="shared" ref="B209:AR212" si="66">B202</f>
        <v>BM 1</v>
      </c>
      <c r="C209" s="1" t="str">
        <f t="shared" si="66"/>
        <v>BM 2</v>
      </c>
      <c r="D209" s="1" t="str">
        <f t="shared" si="66"/>
        <v>BM 3</v>
      </c>
      <c r="E209" s="1" t="str">
        <f t="shared" si="66"/>
        <v>BM 4</v>
      </c>
      <c r="F209" s="1" t="str">
        <f t="shared" si="66"/>
        <v>BM 5</v>
      </c>
      <c r="G209" s="1" t="str">
        <f t="shared" si="66"/>
        <v>BM 6</v>
      </c>
      <c r="H209" s="1" t="str">
        <f t="shared" si="66"/>
        <v>BM 7</v>
      </c>
      <c r="I209" s="1" t="str">
        <f t="shared" si="66"/>
        <v>BM 8</v>
      </c>
      <c r="J209" s="1" t="str">
        <f t="shared" si="66"/>
        <v>BM 9</v>
      </c>
      <c r="K209" s="1" t="str">
        <f t="shared" si="66"/>
        <v>BM 10</v>
      </c>
      <c r="L209" s="1" t="str">
        <f t="shared" si="66"/>
        <v>BM 11</v>
      </c>
      <c r="M209" s="1" t="str">
        <f t="shared" si="66"/>
        <v>BM 12</v>
      </c>
      <c r="N209" s="1" t="str">
        <f t="shared" si="66"/>
        <v>BM 13</v>
      </c>
      <c r="O209" s="1" t="str">
        <f t="shared" si="66"/>
        <v>BM 14</v>
      </c>
      <c r="P209" s="1" t="str">
        <f t="shared" si="66"/>
        <v>BM 15</v>
      </c>
      <c r="Q209" s="1" t="str">
        <f t="shared" si="66"/>
        <v>BM 16</v>
      </c>
      <c r="R209" s="1" t="str">
        <f t="shared" si="66"/>
        <v>BM 17</v>
      </c>
      <c r="S209" s="1" t="str">
        <f t="shared" si="66"/>
        <v>BM 18</v>
      </c>
      <c r="T209" s="1" t="str">
        <f t="shared" si="66"/>
        <v>BM 19</v>
      </c>
      <c r="U209" s="1" t="str">
        <f t="shared" si="66"/>
        <v>BM 20</v>
      </c>
      <c r="V209" s="1" t="str">
        <f t="shared" si="66"/>
        <v>BM 21</v>
      </c>
      <c r="W209" s="1" t="str">
        <f t="shared" si="66"/>
        <v>BM 22</v>
      </c>
      <c r="X209" s="1" t="str">
        <f t="shared" si="66"/>
        <v>BM 23</v>
      </c>
      <c r="Y209" s="1" t="str">
        <f t="shared" si="66"/>
        <v>BM 24</v>
      </c>
      <c r="Z209" s="1" t="str">
        <f t="shared" si="66"/>
        <v>BM 25</v>
      </c>
      <c r="AA209" s="1" t="str">
        <f t="shared" si="66"/>
        <v>BM 26</v>
      </c>
      <c r="AB209" s="1" t="str">
        <f t="shared" si="66"/>
        <v>BM 27</v>
      </c>
      <c r="AC209" s="1" t="str">
        <f t="shared" si="66"/>
        <v>BM 28</v>
      </c>
      <c r="AD209" s="1" t="str">
        <f t="shared" si="66"/>
        <v>BM 29</v>
      </c>
      <c r="AE209" s="1" t="str">
        <f t="shared" si="66"/>
        <v>BM 30</v>
      </c>
      <c r="AF209" s="1" t="str">
        <f t="shared" si="66"/>
        <v>BM 31</v>
      </c>
      <c r="AG209" s="1" t="str">
        <f t="shared" si="66"/>
        <v>BM 32</v>
      </c>
      <c r="AH209" s="1" t="str">
        <f t="shared" si="66"/>
        <v>BM 33</v>
      </c>
      <c r="AI209" s="1" t="str">
        <f t="shared" si="66"/>
        <v>BM 34</v>
      </c>
      <c r="AJ209" s="1" t="str">
        <f t="shared" si="66"/>
        <v>BM 35</v>
      </c>
      <c r="AK209" s="1" t="str">
        <f t="shared" si="66"/>
        <v>BM 36</v>
      </c>
      <c r="AL209" s="1" t="str">
        <f t="shared" si="66"/>
        <v>BM 37</v>
      </c>
      <c r="AM209" s="1" t="str">
        <f t="shared" si="66"/>
        <v>BM 38</v>
      </c>
      <c r="AN209" s="1" t="str">
        <f t="shared" si="66"/>
        <v>BM 39</v>
      </c>
      <c r="AO209" s="1" t="str">
        <f t="shared" si="66"/>
        <v>BM 40</v>
      </c>
      <c r="AP209" s="1" t="str">
        <f t="shared" si="66"/>
        <v>BM 41</v>
      </c>
      <c r="AQ209" s="1" t="str">
        <f t="shared" si="66"/>
        <v>BM 42</v>
      </c>
      <c r="AR209" s="1" t="str">
        <f t="shared" si="66"/>
        <v>BM 43</v>
      </c>
      <c r="BS209"/>
      <c r="BT209"/>
      <c r="BU209"/>
    </row>
    <row r="210" spans="1:73" s="44" customFormat="1" ht="12.75">
      <c r="A210" s="44" t="str">
        <f>A203</f>
        <v>length</v>
      </c>
      <c r="B210" s="1">
        <f t="shared" si="66"/>
        <v>9</v>
      </c>
      <c r="C210" s="1">
        <f t="shared" si="66"/>
        <v>25.13</v>
      </c>
      <c r="D210" s="1">
        <f t="shared" si="66"/>
        <v>2.65</v>
      </c>
      <c r="E210" s="1">
        <f t="shared" si="66"/>
        <v>2.95</v>
      </c>
      <c r="F210" s="1">
        <f t="shared" si="66"/>
        <v>7.6</v>
      </c>
      <c r="G210" s="1">
        <f t="shared" si="66"/>
        <v>9</v>
      </c>
      <c r="H210" s="1">
        <f t="shared" si="66"/>
        <v>25.13</v>
      </c>
      <c r="I210" s="1">
        <f t="shared" si="66"/>
        <v>2.95</v>
      </c>
      <c r="J210" s="1">
        <f t="shared" si="66"/>
        <v>2.9</v>
      </c>
      <c r="K210" s="1">
        <f t="shared" si="66"/>
        <v>16.3</v>
      </c>
      <c r="L210" s="1">
        <f t="shared" si="66"/>
        <v>6.77</v>
      </c>
      <c r="M210" s="1">
        <f t="shared" si="66"/>
        <v>14.23</v>
      </c>
      <c r="N210" s="1">
        <f t="shared" si="66"/>
        <v>8.4499999999999993</v>
      </c>
      <c r="O210" s="1">
        <f t="shared" si="66"/>
        <v>16.3</v>
      </c>
      <c r="P210" s="1">
        <f t="shared" si="66"/>
        <v>15.3</v>
      </c>
      <c r="Q210" s="1">
        <f t="shared" si="66"/>
        <v>8.8000000000000007</v>
      </c>
      <c r="R210" s="1">
        <f t="shared" si="66"/>
        <v>7.23</v>
      </c>
      <c r="S210" s="1">
        <f t="shared" si="66"/>
        <v>16.3</v>
      </c>
      <c r="T210" s="1">
        <f t="shared" si="66"/>
        <v>8.75</v>
      </c>
      <c r="U210" s="1">
        <f t="shared" si="66"/>
        <v>15.3</v>
      </c>
      <c r="V210" s="1">
        <f t="shared" si="66"/>
        <v>11.04</v>
      </c>
      <c r="W210" s="1">
        <f t="shared" si="66"/>
        <v>3.63</v>
      </c>
      <c r="X210" s="1">
        <f t="shared" si="66"/>
        <v>8.1</v>
      </c>
      <c r="Y210" s="1">
        <f t="shared" si="66"/>
        <v>15.83</v>
      </c>
      <c r="Z210" s="1">
        <f t="shared" si="66"/>
        <v>12.93</v>
      </c>
      <c r="AA210" s="1">
        <f t="shared" si="66"/>
        <v>14.43</v>
      </c>
      <c r="AB210" s="1">
        <f t="shared" si="66"/>
        <v>2.2000000000000002</v>
      </c>
      <c r="AC210" s="1">
        <f t="shared" si="66"/>
        <v>3.77</v>
      </c>
      <c r="AD210" s="1">
        <f t="shared" si="66"/>
        <v>6.63</v>
      </c>
      <c r="AE210" s="1">
        <f t="shared" si="66"/>
        <v>4.3</v>
      </c>
      <c r="AF210" s="1">
        <f t="shared" si="66"/>
        <v>7.73</v>
      </c>
      <c r="AG210" s="1">
        <f t="shared" si="66"/>
        <v>9.7100000000000009</v>
      </c>
      <c r="AH210" s="1">
        <f t="shared" si="66"/>
        <v>4.3</v>
      </c>
      <c r="AI210" s="1">
        <f t="shared" si="66"/>
        <v>8</v>
      </c>
      <c r="AJ210" s="1">
        <f t="shared" si="66"/>
        <v>14.48</v>
      </c>
      <c r="AK210" s="1">
        <f t="shared" si="66"/>
        <v>7.73</v>
      </c>
      <c r="AL210" s="1">
        <f t="shared" si="66"/>
        <v>9.7100000000000009</v>
      </c>
      <c r="AM210" s="1">
        <f t="shared" si="66"/>
        <v>8.1</v>
      </c>
      <c r="AN210" s="1">
        <f t="shared" si="66"/>
        <v>10.4</v>
      </c>
      <c r="AO210" s="1">
        <f t="shared" si="66"/>
        <v>7.73</v>
      </c>
      <c r="AP210" s="1">
        <f t="shared" si="66"/>
        <v>8.1</v>
      </c>
      <c r="AQ210" s="1">
        <f t="shared" si="66"/>
        <v>10.1</v>
      </c>
      <c r="AR210" s="1">
        <f t="shared" si="66"/>
        <v>8.1</v>
      </c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3" s="1" customFormat="1">
      <c r="A211" s="44" t="str">
        <f>A204</f>
        <v>depth</v>
      </c>
      <c r="B211" s="1">
        <f t="shared" si="66"/>
        <v>0.75</v>
      </c>
      <c r="C211" s="1">
        <f t="shared" si="66"/>
        <v>0.7</v>
      </c>
      <c r="D211" s="1">
        <f t="shared" si="66"/>
        <v>0.6</v>
      </c>
      <c r="E211" s="1">
        <f t="shared" si="66"/>
        <v>0.45</v>
      </c>
      <c r="F211" s="1">
        <f t="shared" si="66"/>
        <v>0.6</v>
      </c>
      <c r="G211" s="1">
        <f t="shared" si="66"/>
        <v>0.75</v>
      </c>
      <c r="H211" s="1">
        <f t="shared" si="66"/>
        <v>0.6</v>
      </c>
      <c r="I211" s="1">
        <f t="shared" si="66"/>
        <v>0.6</v>
      </c>
      <c r="J211" s="1">
        <f t="shared" si="66"/>
        <v>0.6</v>
      </c>
      <c r="K211" s="1">
        <f t="shared" si="66"/>
        <v>0.85</v>
      </c>
      <c r="L211" s="1">
        <f t="shared" si="66"/>
        <v>0.6</v>
      </c>
      <c r="M211" s="1">
        <f t="shared" si="66"/>
        <v>0.6</v>
      </c>
      <c r="N211" s="1">
        <f t="shared" si="66"/>
        <v>0.6</v>
      </c>
      <c r="O211" s="1">
        <f t="shared" si="66"/>
        <v>0.7</v>
      </c>
      <c r="P211" s="1">
        <f t="shared" si="66"/>
        <v>0.6</v>
      </c>
      <c r="Q211" s="1">
        <f t="shared" si="66"/>
        <v>0.6</v>
      </c>
      <c r="R211" s="1">
        <f t="shared" si="66"/>
        <v>0.6</v>
      </c>
      <c r="S211" s="1">
        <f t="shared" si="66"/>
        <v>0.6</v>
      </c>
      <c r="T211" s="1">
        <f t="shared" si="66"/>
        <v>0.6</v>
      </c>
      <c r="U211" s="1">
        <f t="shared" si="66"/>
        <v>0.6</v>
      </c>
      <c r="V211" s="1">
        <f t="shared" si="66"/>
        <v>0.6</v>
      </c>
      <c r="W211" s="1">
        <f t="shared" si="66"/>
        <v>0.6</v>
      </c>
      <c r="X211" s="1">
        <f t="shared" si="66"/>
        <v>0.6</v>
      </c>
      <c r="Y211" s="1">
        <f t="shared" si="66"/>
        <v>0.45</v>
      </c>
      <c r="Z211" s="1">
        <f t="shared" si="66"/>
        <v>0.7</v>
      </c>
      <c r="AA211" s="1">
        <f t="shared" si="66"/>
        <v>0.7</v>
      </c>
      <c r="AB211" s="1">
        <f t="shared" si="66"/>
        <v>0.6</v>
      </c>
      <c r="AC211" s="1">
        <f t="shared" si="66"/>
        <v>0.6</v>
      </c>
      <c r="AD211" s="1">
        <f t="shared" si="66"/>
        <v>0.75</v>
      </c>
      <c r="AE211" s="1">
        <f t="shared" si="66"/>
        <v>0.45</v>
      </c>
      <c r="AF211" s="1">
        <f t="shared" si="66"/>
        <v>0.6</v>
      </c>
      <c r="AG211" s="1">
        <f t="shared" si="66"/>
        <v>0.45</v>
      </c>
      <c r="AH211" s="1">
        <f t="shared" si="66"/>
        <v>0.8</v>
      </c>
      <c r="AI211" s="1">
        <f t="shared" si="66"/>
        <v>0.6</v>
      </c>
      <c r="AJ211" s="1">
        <f t="shared" si="66"/>
        <v>0.6</v>
      </c>
      <c r="AK211" s="1">
        <f t="shared" si="66"/>
        <v>0.6</v>
      </c>
      <c r="AL211" s="1">
        <f t="shared" si="66"/>
        <v>0.45</v>
      </c>
      <c r="AM211" s="1">
        <f t="shared" si="66"/>
        <v>0.75</v>
      </c>
      <c r="AN211" s="1">
        <f t="shared" si="66"/>
        <v>0.6</v>
      </c>
      <c r="AO211" s="1">
        <f t="shared" si="66"/>
        <v>0.75</v>
      </c>
      <c r="AP211" s="1">
        <f t="shared" si="66"/>
        <v>0.85</v>
      </c>
      <c r="AQ211" s="1">
        <f t="shared" si="66"/>
        <v>0.6</v>
      </c>
      <c r="AR211" s="1">
        <f t="shared" si="66"/>
        <v>0.75</v>
      </c>
      <c r="BS211"/>
      <c r="BT211"/>
      <c r="BU211"/>
    </row>
    <row r="212" spans="1:73" s="1" customFormat="1">
      <c r="A212" s="44" t="str">
        <f>A205</f>
        <v>width</v>
      </c>
      <c r="B212" s="1">
        <f t="shared" si="66"/>
        <v>0.35</v>
      </c>
      <c r="C212" s="1">
        <f t="shared" si="66"/>
        <v>0.25</v>
      </c>
      <c r="D212" s="1">
        <f t="shared" si="66"/>
        <v>0.23</v>
      </c>
      <c r="E212" s="1">
        <f t="shared" si="66"/>
        <v>0.23</v>
      </c>
      <c r="F212" s="1">
        <f t="shared" si="66"/>
        <v>0.25</v>
      </c>
      <c r="G212" s="1">
        <f t="shared" si="66"/>
        <v>0.35</v>
      </c>
      <c r="H212" s="1">
        <f t="shared" si="66"/>
        <v>0.25</v>
      </c>
      <c r="I212" s="1">
        <f t="shared" si="66"/>
        <v>0.25</v>
      </c>
      <c r="J212" s="1">
        <f t="shared" si="66"/>
        <v>0.25</v>
      </c>
      <c r="K212" s="1">
        <f t="shared" si="66"/>
        <v>0.3</v>
      </c>
      <c r="L212" s="1">
        <f t="shared" si="66"/>
        <v>0.25</v>
      </c>
      <c r="M212" s="1">
        <f t="shared" si="66"/>
        <v>0.25</v>
      </c>
      <c r="N212" s="1">
        <f t="shared" si="66"/>
        <v>0.25</v>
      </c>
      <c r="O212" s="1">
        <f t="shared" si="66"/>
        <v>0.35</v>
      </c>
      <c r="P212" s="1">
        <f t="shared" si="66"/>
        <v>0.25</v>
      </c>
      <c r="Q212" s="1">
        <f t="shared" si="66"/>
        <v>0.25</v>
      </c>
      <c r="R212" s="1">
        <f t="shared" si="66"/>
        <v>0.25</v>
      </c>
      <c r="S212" s="1">
        <f t="shared" si="66"/>
        <v>0.25</v>
      </c>
      <c r="T212" s="1">
        <f t="shared" si="66"/>
        <v>0.25</v>
      </c>
      <c r="U212" s="1">
        <f t="shared" si="66"/>
        <v>0.25</v>
      </c>
      <c r="V212" s="1">
        <f t="shared" si="66"/>
        <v>0.25</v>
      </c>
      <c r="W212" s="1">
        <f t="shared" si="66"/>
        <v>0.25</v>
      </c>
      <c r="X212" s="1">
        <f t="shared" si="66"/>
        <v>0.25</v>
      </c>
      <c r="Y212" s="1">
        <f t="shared" si="66"/>
        <v>0.23</v>
      </c>
      <c r="Z212" s="1">
        <f t="shared" si="66"/>
        <v>0.35</v>
      </c>
      <c r="AA212" s="1">
        <f t="shared" si="66"/>
        <v>0.35</v>
      </c>
      <c r="AB212" s="1">
        <f t="shared" si="66"/>
        <v>0.25</v>
      </c>
      <c r="AC212" s="1">
        <f t="shared" si="66"/>
        <v>0.25</v>
      </c>
      <c r="AD212" s="1">
        <f t="shared" si="66"/>
        <v>0.25</v>
      </c>
      <c r="AE212" s="1">
        <f t="shared" si="66"/>
        <v>0.23</v>
      </c>
      <c r="AF212" s="1">
        <f t="shared" si="66"/>
        <v>0.25</v>
      </c>
      <c r="AG212" s="1">
        <f t="shared" si="66"/>
        <v>0.23</v>
      </c>
      <c r="AH212" s="1">
        <f t="shared" si="66"/>
        <v>0.35</v>
      </c>
      <c r="AI212" s="1">
        <f t="shared" si="66"/>
        <v>0.25</v>
      </c>
      <c r="AJ212" s="1">
        <f t="shared" si="66"/>
        <v>0.25</v>
      </c>
      <c r="AK212" s="1">
        <f t="shared" si="66"/>
        <v>0.25</v>
      </c>
      <c r="AL212" s="1">
        <f t="shared" si="66"/>
        <v>0.23</v>
      </c>
      <c r="AM212" s="1">
        <f t="shared" si="66"/>
        <v>0.25</v>
      </c>
      <c r="AN212" s="1">
        <f t="shared" si="66"/>
        <v>0.25</v>
      </c>
      <c r="AO212" s="1">
        <f t="shared" si="66"/>
        <v>0.35</v>
      </c>
      <c r="AP212" s="1">
        <f t="shared" si="66"/>
        <v>0.35</v>
      </c>
      <c r="AQ212" s="1">
        <f t="shared" si="66"/>
        <v>0.25</v>
      </c>
      <c r="AR212" s="1">
        <f t="shared" si="66"/>
        <v>0.25</v>
      </c>
      <c r="BS212"/>
      <c r="BT212"/>
      <c r="BU212"/>
    </row>
    <row r="213" spans="1:73" s="1" customFormat="1">
      <c r="B213" s="8">
        <f t="shared" ref="B213:AR213" si="67">(B210*B211*2)+(B210*B212)</f>
        <v>16.649999999999999</v>
      </c>
      <c r="C213" s="8">
        <f t="shared" si="67"/>
        <v>41.464499999999994</v>
      </c>
      <c r="D213" s="8">
        <f t="shared" si="67"/>
        <v>3.7894999999999999</v>
      </c>
      <c r="E213" s="8">
        <f t="shared" si="67"/>
        <v>3.3335000000000004</v>
      </c>
      <c r="F213" s="8">
        <f t="shared" si="67"/>
        <v>11.02</v>
      </c>
      <c r="G213" s="8">
        <f t="shared" si="67"/>
        <v>16.649999999999999</v>
      </c>
      <c r="H213" s="8">
        <f t="shared" si="67"/>
        <v>36.438499999999998</v>
      </c>
      <c r="I213" s="8">
        <f t="shared" si="67"/>
        <v>4.2774999999999999</v>
      </c>
      <c r="J213" s="8">
        <f t="shared" si="67"/>
        <v>4.2050000000000001</v>
      </c>
      <c r="K213" s="8">
        <f t="shared" si="67"/>
        <v>32.6</v>
      </c>
      <c r="L213" s="8">
        <f t="shared" si="67"/>
        <v>9.8164999999999978</v>
      </c>
      <c r="M213" s="8">
        <f t="shared" si="67"/>
        <v>20.633500000000002</v>
      </c>
      <c r="N213" s="8">
        <f t="shared" si="67"/>
        <v>12.252499999999998</v>
      </c>
      <c r="O213" s="8">
        <f t="shared" si="67"/>
        <v>28.524999999999999</v>
      </c>
      <c r="P213" s="8">
        <f t="shared" si="67"/>
        <v>22.184999999999999</v>
      </c>
      <c r="Q213" s="8">
        <f t="shared" si="67"/>
        <v>12.760000000000002</v>
      </c>
      <c r="R213" s="8">
        <f t="shared" si="67"/>
        <v>10.483499999999999</v>
      </c>
      <c r="S213" s="8">
        <f t="shared" si="67"/>
        <v>23.634999999999998</v>
      </c>
      <c r="T213" s="8">
        <f t="shared" si="67"/>
        <v>12.6875</v>
      </c>
      <c r="U213" s="8">
        <f t="shared" si="67"/>
        <v>22.184999999999999</v>
      </c>
      <c r="V213" s="8">
        <f t="shared" si="67"/>
        <v>16.007999999999999</v>
      </c>
      <c r="W213" s="8">
        <f t="shared" si="67"/>
        <v>5.2634999999999996</v>
      </c>
      <c r="X213" s="8">
        <f t="shared" si="67"/>
        <v>11.744999999999999</v>
      </c>
      <c r="Y213" s="8">
        <f t="shared" si="67"/>
        <v>17.887900000000002</v>
      </c>
      <c r="Z213" s="8">
        <f t="shared" si="67"/>
        <v>22.627499999999998</v>
      </c>
      <c r="AA213" s="8">
        <f t="shared" si="67"/>
        <v>25.252499999999998</v>
      </c>
      <c r="AB213" s="8">
        <f t="shared" si="67"/>
        <v>3.1900000000000004</v>
      </c>
      <c r="AC213" s="8">
        <f t="shared" si="67"/>
        <v>5.4664999999999999</v>
      </c>
      <c r="AD213" s="8">
        <f t="shared" si="67"/>
        <v>11.602500000000001</v>
      </c>
      <c r="AE213" s="8">
        <f t="shared" si="67"/>
        <v>4.859</v>
      </c>
      <c r="AF213" s="8">
        <f t="shared" si="67"/>
        <v>11.208500000000001</v>
      </c>
      <c r="AG213" s="8">
        <f t="shared" si="67"/>
        <v>10.972300000000001</v>
      </c>
      <c r="AH213" s="8">
        <f t="shared" si="67"/>
        <v>8.3849999999999998</v>
      </c>
      <c r="AI213" s="8">
        <f t="shared" si="67"/>
        <v>11.6</v>
      </c>
      <c r="AJ213" s="8">
        <f t="shared" si="67"/>
        <v>20.996000000000002</v>
      </c>
      <c r="AK213" s="8">
        <f t="shared" si="67"/>
        <v>11.208500000000001</v>
      </c>
      <c r="AL213" s="8">
        <f t="shared" si="67"/>
        <v>10.972300000000001</v>
      </c>
      <c r="AM213" s="8">
        <f t="shared" si="67"/>
        <v>14.174999999999999</v>
      </c>
      <c r="AN213" s="8">
        <f t="shared" si="67"/>
        <v>15.08</v>
      </c>
      <c r="AO213" s="8">
        <f t="shared" si="67"/>
        <v>14.3005</v>
      </c>
      <c r="AP213" s="8">
        <f t="shared" si="67"/>
        <v>16.605</v>
      </c>
      <c r="AQ213" s="8">
        <f t="shared" si="67"/>
        <v>14.645</v>
      </c>
      <c r="AR213" s="8">
        <f t="shared" si="67"/>
        <v>14.174999999999999</v>
      </c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/>
      <c r="BT213"/>
      <c r="BU213"/>
    </row>
    <row r="214" spans="1:73" s="1" customFormat="1" ht="15.75" thickBot="1"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 s="4"/>
      <c r="BR214"/>
      <c r="BS214"/>
      <c r="BT214"/>
      <c r="BU214"/>
    </row>
    <row r="215" spans="1:73" s="1" customFormat="1" ht="19.5" thickBot="1">
      <c r="B215" s="203" t="s">
        <v>319</v>
      </c>
      <c r="C215" s="203"/>
      <c r="D215" s="203"/>
      <c r="E215" s="203"/>
      <c r="F215" s="50">
        <f>ROUNDUP(SUM(B221:BP221),0)</f>
        <v>10731</v>
      </c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 s="4"/>
      <c r="BR215"/>
      <c r="BS215"/>
      <c r="BT215"/>
      <c r="BU215"/>
    </row>
    <row r="216" spans="1:73" s="1" customFormat="1">
      <c r="C216" s="1" t="s">
        <v>105</v>
      </c>
      <c r="D216" s="1">
        <f>G216*F201</f>
        <v>5694</v>
      </c>
      <c r="G216" s="1">
        <v>78</v>
      </c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 s="4"/>
      <c r="BR216"/>
      <c r="BS216"/>
      <c r="BT216"/>
      <c r="BU216"/>
    </row>
    <row r="217" spans="1:73" s="1" customFormat="1">
      <c r="C217" s="1" t="s">
        <v>70</v>
      </c>
      <c r="D217" s="1">
        <f>F201*G217</f>
        <v>1241</v>
      </c>
      <c r="G217" s="1">
        <v>17</v>
      </c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 s="4"/>
      <c r="BR217"/>
      <c r="BS217"/>
      <c r="BT217"/>
      <c r="BU217"/>
    </row>
    <row r="218" spans="1:73" s="1" customFormat="1">
      <c r="C218" s="1" t="s">
        <v>71</v>
      </c>
      <c r="D218" s="1">
        <f>G218*F201</f>
        <v>2190</v>
      </c>
      <c r="G218" s="1">
        <v>30</v>
      </c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 s="4"/>
      <c r="BR218"/>
      <c r="BS218"/>
      <c r="BT218"/>
      <c r="BU218"/>
    </row>
    <row r="219" spans="1:73" s="1" customFormat="1">
      <c r="C219" s="1" t="s">
        <v>68</v>
      </c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 s="4"/>
      <c r="BR219"/>
      <c r="BS219"/>
      <c r="BT219"/>
      <c r="BU219"/>
    </row>
    <row r="220" spans="1:73" s="1" customFormat="1">
      <c r="C220" s="1" t="s">
        <v>108</v>
      </c>
      <c r="D220" s="1">
        <f>G220*F201</f>
        <v>1606</v>
      </c>
      <c r="G220" s="1">
        <v>22</v>
      </c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 s="4"/>
      <c r="BR220"/>
      <c r="BS220"/>
      <c r="BT220"/>
      <c r="BU220"/>
    </row>
    <row r="221" spans="1:73" s="1" customFormat="1">
      <c r="D221" s="100">
        <f>SUM(D216:D220)</f>
        <v>10731</v>
      </c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 s="4"/>
      <c r="BR221"/>
      <c r="BS221"/>
      <c r="BT221"/>
      <c r="BU221"/>
    </row>
    <row r="222" spans="1:73" s="1" customFormat="1"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 s="4"/>
      <c r="BR222"/>
      <c r="BS222"/>
      <c r="BT222"/>
      <c r="BU222"/>
    </row>
    <row r="223" spans="1:73" s="1" customFormat="1" ht="15.75" thickBot="1"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 s="4"/>
      <c r="BR223"/>
      <c r="BS223"/>
      <c r="BT223"/>
      <c r="BU223"/>
    </row>
    <row r="224" spans="1:73" s="1" customFormat="1" ht="19.5" thickBot="1">
      <c r="B224" s="203" t="s">
        <v>320</v>
      </c>
      <c r="C224" s="203"/>
      <c r="D224" s="203"/>
      <c r="E224" s="203"/>
      <c r="F224" s="50">
        <f>ROUNDUP(SUM(B229:BP229),0)</f>
        <v>120</v>
      </c>
      <c r="I224" s="4"/>
      <c r="BQ224"/>
      <c r="BR224"/>
      <c r="BS224"/>
      <c r="BT224"/>
      <c r="BU224"/>
    </row>
    <row r="225" spans="1:73" s="1" customFormat="1" ht="12.75">
      <c r="A225" s="44"/>
      <c r="B225" s="1" t="s">
        <v>127</v>
      </c>
      <c r="C225" s="1" t="s">
        <v>128</v>
      </c>
      <c r="D225" s="1" t="s">
        <v>129</v>
      </c>
      <c r="E225" s="1" t="s">
        <v>130</v>
      </c>
      <c r="F225" s="1" t="s">
        <v>131</v>
      </c>
      <c r="G225" s="1" t="s">
        <v>132</v>
      </c>
      <c r="H225" s="1" t="s">
        <v>133</v>
      </c>
      <c r="I225" s="1" t="s">
        <v>134</v>
      </c>
      <c r="J225" s="1" t="s">
        <v>135</v>
      </c>
      <c r="K225" s="1" t="s">
        <v>136</v>
      </c>
      <c r="L225" s="1" t="s">
        <v>137</v>
      </c>
      <c r="M225" s="1" t="s">
        <v>138</v>
      </c>
      <c r="N225" s="1" t="s">
        <v>139</v>
      </c>
      <c r="O225" s="1" t="s">
        <v>140</v>
      </c>
      <c r="P225" s="1" t="s">
        <v>141</v>
      </c>
      <c r="Q225" s="1" t="s">
        <v>142</v>
      </c>
      <c r="R225" s="1" t="s">
        <v>143</v>
      </c>
      <c r="S225" s="1" t="s">
        <v>144</v>
      </c>
      <c r="T225" s="1" t="s">
        <v>145</v>
      </c>
      <c r="U225" s="1" t="s">
        <v>146</v>
      </c>
      <c r="V225" s="1" t="s">
        <v>147</v>
      </c>
      <c r="W225" s="1" t="s">
        <v>148</v>
      </c>
      <c r="X225" s="1" t="s">
        <v>149</v>
      </c>
      <c r="Y225" s="1" t="s">
        <v>150</v>
      </c>
      <c r="Z225" s="1" t="s">
        <v>151</v>
      </c>
      <c r="AA225" s="1" t="s">
        <v>152</v>
      </c>
      <c r="AB225" s="1" t="s">
        <v>153</v>
      </c>
      <c r="AC225" s="1" t="s">
        <v>154</v>
      </c>
      <c r="AD225" s="1" t="s">
        <v>155</v>
      </c>
      <c r="AE225" s="1" t="s">
        <v>156</v>
      </c>
      <c r="AF225" s="1" t="s">
        <v>157</v>
      </c>
      <c r="AG225" s="1" t="s">
        <v>158</v>
      </c>
      <c r="AH225" s="1" t="s">
        <v>159</v>
      </c>
      <c r="AI225" s="1" t="s">
        <v>160</v>
      </c>
      <c r="AJ225" s="1" t="s">
        <v>161</v>
      </c>
      <c r="AK225" s="1" t="s">
        <v>162</v>
      </c>
      <c r="AL225" s="1" t="s">
        <v>163</v>
      </c>
      <c r="AM225" s="1" t="s">
        <v>277</v>
      </c>
      <c r="AN225" s="1" t="s">
        <v>278</v>
      </c>
      <c r="AO225" s="1" t="s">
        <v>279</v>
      </c>
      <c r="AP225" s="1" t="s">
        <v>280</v>
      </c>
    </row>
    <row r="226" spans="1:73" s="44" customFormat="1" ht="12.75">
      <c r="A226" s="44" t="s">
        <v>37</v>
      </c>
      <c r="B226" s="51">
        <v>24.75</v>
      </c>
      <c r="C226" s="51">
        <v>18.600000000000001</v>
      </c>
      <c r="D226" s="52">
        <v>2.95</v>
      </c>
      <c r="E226" s="52">
        <v>26.26</v>
      </c>
      <c r="F226" s="52">
        <v>3.55</v>
      </c>
      <c r="G226" s="52">
        <v>18.600000000000001</v>
      </c>
      <c r="H226" s="52">
        <v>3.2</v>
      </c>
      <c r="I226" s="52">
        <v>8.8000000000000007</v>
      </c>
      <c r="J226" s="52">
        <v>40.200000000000003</v>
      </c>
      <c r="K226" s="52">
        <v>11.42</v>
      </c>
      <c r="L226" s="52">
        <v>12.79</v>
      </c>
      <c r="M226" s="52">
        <v>8.1</v>
      </c>
      <c r="N226" s="52">
        <v>4.25</v>
      </c>
      <c r="O226" s="52">
        <v>4.3</v>
      </c>
      <c r="P226" s="51">
        <v>8.0299999999999994</v>
      </c>
      <c r="Q226" s="51">
        <v>4.2300000000000004</v>
      </c>
      <c r="R226" s="51">
        <v>7.9</v>
      </c>
      <c r="S226" s="51">
        <f>1.25*2</f>
        <v>2.5</v>
      </c>
      <c r="T226" s="51">
        <v>4.2300000000000004</v>
      </c>
      <c r="U226" s="51">
        <v>11.9</v>
      </c>
      <c r="V226" s="51">
        <v>4.2300000000000004</v>
      </c>
      <c r="W226" s="51">
        <v>5.18</v>
      </c>
      <c r="X226" s="51">
        <v>15.83</v>
      </c>
      <c r="Y226" s="51">
        <v>4.3</v>
      </c>
      <c r="Z226" s="51">
        <v>2.2000000000000002</v>
      </c>
      <c r="AA226" s="51">
        <f>2*2.67</f>
        <v>5.34</v>
      </c>
      <c r="AB226" s="51">
        <v>4.2300000000000004</v>
      </c>
      <c r="AC226" s="51">
        <v>15.83</v>
      </c>
      <c r="AD226" s="51">
        <v>0.95</v>
      </c>
      <c r="AE226" s="51">
        <v>4.2300000000000004</v>
      </c>
      <c r="AF226" s="51">
        <v>1.71</v>
      </c>
      <c r="AG226" s="51">
        <f>2*9.71</f>
        <v>19.420000000000002</v>
      </c>
      <c r="AH226" s="51">
        <v>2.0099999999999998</v>
      </c>
      <c r="AI226" s="51">
        <f>2*6.1</f>
        <v>12.2</v>
      </c>
      <c r="AJ226" s="51">
        <v>2.37</v>
      </c>
      <c r="AK226" s="51">
        <v>10.029999999999999</v>
      </c>
      <c r="AL226" s="51">
        <v>12.93</v>
      </c>
      <c r="AM226" s="51">
        <v>5.27</v>
      </c>
      <c r="AN226" s="51">
        <v>9.15</v>
      </c>
      <c r="AO226" s="51">
        <v>7.63</v>
      </c>
      <c r="AP226" s="51">
        <v>15.83</v>
      </c>
      <c r="AQ226" s="51"/>
      <c r="AR226" s="51"/>
      <c r="AS226" s="51"/>
      <c r="AT226" s="51"/>
      <c r="AU226" s="51"/>
      <c r="AV226" s="51"/>
      <c r="AW226" s="51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</row>
    <row r="227" spans="1:73" s="1" customFormat="1" ht="12.75">
      <c r="A227" s="44" t="s">
        <v>165</v>
      </c>
      <c r="B227" s="1">
        <v>0.95</v>
      </c>
      <c r="C227" s="1">
        <f>B227</f>
        <v>0.95</v>
      </c>
      <c r="D227" s="1">
        <v>0.45</v>
      </c>
      <c r="E227" s="1">
        <v>0.95</v>
      </c>
      <c r="F227" s="1">
        <v>0.7</v>
      </c>
      <c r="G227" s="1">
        <f>F227</f>
        <v>0.7</v>
      </c>
      <c r="H227" s="1">
        <f t="shared" ref="H227:H228" si="68">G227</f>
        <v>0.7</v>
      </c>
      <c r="I227" s="1">
        <v>0.6</v>
      </c>
      <c r="J227" s="1">
        <v>0.95</v>
      </c>
      <c r="K227" s="1">
        <v>0.6</v>
      </c>
      <c r="L227" s="1">
        <v>0.6</v>
      </c>
      <c r="M227" s="1">
        <v>0.5</v>
      </c>
      <c r="N227" s="1">
        <v>0.6</v>
      </c>
      <c r="O227" s="1">
        <v>0.7</v>
      </c>
      <c r="P227" s="1">
        <v>0.7</v>
      </c>
      <c r="Q227" s="1">
        <f t="shared" ref="Q227:W228" si="69">P227</f>
        <v>0.7</v>
      </c>
      <c r="R227" s="1">
        <v>0.95</v>
      </c>
      <c r="S227" s="1">
        <v>0.6</v>
      </c>
      <c r="T227" s="1">
        <v>0.7</v>
      </c>
      <c r="U227" s="1">
        <f t="shared" si="69"/>
        <v>0.7</v>
      </c>
      <c r="V227" s="1">
        <v>0.6</v>
      </c>
      <c r="W227" s="1">
        <v>0.55000000000000004</v>
      </c>
      <c r="X227" s="1">
        <v>0.95</v>
      </c>
      <c r="Y227" s="1">
        <v>0.7</v>
      </c>
      <c r="Z227" s="1">
        <v>0.6</v>
      </c>
      <c r="AA227" s="1">
        <f t="shared" ref="AA227" si="70">Z227</f>
        <v>0.6</v>
      </c>
      <c r="AB227" s="1">
        <v>0.7</v>
      </c>
      <c r="AC227" s="1">
        <v>0.8</v>
      </c>
      <c r="AD227" s="1">
        <v>0.6</v>
      </c>
      <c r="AE227" s="1">
        <v>0.7</v>
      </c>
      <c r="AF227" s="1">
        <v>0.45</v>
      </c>
      <c r="AG227" s="1">
        <v>0.45</v>
      </c>
      <c r="AH227" s="1">
        <f>AG227</f>
        <v>0.45</v>
      </c>
      <c r="AI227" s="1">
        <v>0.95</v>
      </c>
      <c r="AJ227" s="1">
        <v>0.6</v>
      </c>
      <c r="AK227" s="1">
        <v>0.85</v>
      </c>
      <c r="AL227" s="1">
        <v>0.95</v>
      </c>
      <c r="AM227" s="1">
        <v>0.6</v>
      </c>
      <c r="AN227" s="1">
        <v>0.95</v>
      </c>
      <c r="AO227" s="1">
        <v>1</v>
      </c>
      <c r="AP227" s="1">
        <v>0.95</v>
      </c>
    </row>
    <row r="228" spans="1:73" s="1" customFormat="1" ht="12.75">
      <c r="A228" s="44" t="s">
        <v>166</v>
      </c>
      <c r="B228" s="1">
        <v>0.35</v>
      </c>
      <c r="C228" s="1">
        <f>B228</f>
        <v>0.35</v>
      </c>
      <c r="D228" s="1">
        <v>0.23</v>
      </c>
      <c r="E228" s="1">
        <v>0.35</v>
      </c>
      <c r="F228" s="1">
        <v>0.35</v>
      </c>
      <c r="G228" s="1">
        <f>F228</f>
        <v>0.35</v>
      </c>
      <c r="H228" s="1">
        <f t="shared" si="68"/>
        <v>0.35</v>
      </c>
      <c r="I228" s="1">
        <v>0.25</v>
      </c>
      <c r="J228" s="1">
        <v>0.35</v>
      </c>
      <c r="K228" s="1">
        <v>0.25</v>
      </c>
      <c r="L228" s="1">
        <v>0.25</v>
      </c>
      <c r="M228" s="1">
        <v>0.23</v>
      </c>
      <c r="N228" s="1">
        <v>0.25</v>
      </c>
      <c r="O228" s="1">
        <v>0.35</v>
      </c>
      <c r="P228" s="1">
        <v>0.35</v>
      </c>
      <c r="Q228" s="1">
        <f t="shared" si="69"/>
        <v>0.35</v>
      </c>
      <c r="R228" s="1">
        <f t="shared" si="69"/>
        <v>0.35</v>
      </c>
      <c r="S228" s="1">
        <v>0.25</v>
      </c>
      <c r="T228" s="1">
        <v>0.35</v>
      </c>
      <c r="U228" s="1">
        <f t="shared" si="69"/>
        <v>0.35</v>
      </c>
      <c r="V228" s="1">
        <v>0.25</v>
      </c>
      <c r="W228" s="1">
        <f t="shared" si="69"/>
        <v>0.25</v>
      </c>
      <c r="X228" s="1">
        <v>0.35</v>
      </c>
      <c r="Y228" s="1">
        <v>0.35</v>
      </c>
      <c r="Z228" s="1">
        <v>0.25</v>
      </c>
      <c r="AA228" s="1">
        <v>0.3</v>
      </c>
      <c r="AB228" s="1">
        <v>0.35</v>
      </c>
      <c r="AC228" s="1">
        <v>0.3</v>
      </c>
      <c r="AD228" s="1">
        <v>0.25</v>
      </c>
      <c r="AE228" s="1">
        <v>0.36</v>
      </c>
      <c r="AF228" s="1">
        <v>0.23</v>
      </c>
      <c r="AG228" s="1">
        <v>0.23</v>
      </c>
      <c r="AH228" s="1">
        <f>AG228</f>
        <v>0.23</v>
      </c>
      <c r="AI228" s="1">
        <v>0.25</v>
      </c>
      <c r="AJ228" s="1">
        <v>0.3</v>
      </c>
      <c r="AK228" s="1">
        <v>0.35</v>
      </c>
      <c r="AL228" s="1">
        <v>0.3</v>
      </c>
      <c r="AM228" s="1">
        <v>0.3</v>
      </c>
      <c r="AN228" s="1">
        <f t="shared" ref="AN228" si="71">AM228</f>
        <v>0.3</v>
      </c>
      <c r="AO228" s="1">
        <v>3</v>
      </c>
      <c r="AP228" s="1">
        <v>0.35</v>
      </c>
    </row>
    <row r="229" spans="1:73" s="1" customFormat="1" ht="12.75">
      <c r="A229" s="44"/>
      <c r="B229" s="8">
        <f t="shared" ref="B229:AP229" si="72">B226*B227*B228</f>
        <v>8.2293749999999992</v>
      </c>
      <c r="C229" s="8">
        <f t="shared" si="72"/>
        <v>6.1844999999999999</v>
      </c>
      <c r="D229" s="8">
        <f t="shared" si="72"/>
        <v>0.30532500000000007</v>
      </c>
      <c r="E229" s="8">
        <f t="shared" si="72"/>
        <v>8.7314499999999988</v>
      </c>
      <c r="F229" s="8">
        <f t="shared" si="72"/>
        <v>0.86974999999999991</v>
      </c>
      <c r="G229" s="8">
        <f t="shared" si="72"/>
        <v>4.5569999999999995</v>
      </c>
      <c r="H229" s="8">
        <f t="shared" si="72"/>
        <v>0.78399999999999992</v>
      </c>
      <c r="I229" s="8">
        <f t="shared" si="72"/>
        <v>1.32</v>
      </c>
      <c r="J229" s="8">
        <f t="shared" si="72"/>
        <v>13.366499999999998</v>
      </c>
      <c r="K229" s="8">
        <f t="shared" si="72"/>
        <v>1.7129999999999999</v>
      </c>
      <c r="L229" s="8">
        <f t="shared" si="72"/>
        <v>1.9184999999999999</v>
      </c>
      <c r="M229" s="8">
        <f t="shared" si="72"/>
        <v>0.93149999999999999</v>
      </c>
      <c r="N229" s="8">
        <f t="shared" si="72"/>
        <v>0.63749999999999996</v>
      </c>
      <c r="O229" s="8">
        <f t="shared" si="72"/>
        <v>1.0534999999999999</v>
      </c>
      <c r="P229" s="8">
        <f t="shared" si="72"/>
        <v>1.9673499999999997</v>
      </c>
      <c r="Q229" s="8">
        <f t="shared" si="72"/>
        <v>1.0363500000000001</v>
      </c>
      <c r="R229" s="8">
        <f t="shared" si="72"/>
        <v>2.6267499999999999</v>
      </c>
      <c r="S229" s="8">
        <f t="shared" si="72"/>
        <v>0.375</v>
      </c>
      <c r="T229" s="8">
        <f t="shared" si="72"/>
        <v>1.0363500000000001</v>
      </c>
      <c r="U229" s="8">
        <f t="shared" si="72"/>
        <v>2.9154999999999998</v>
      </c>
      <c r="V229" s="8">
        <f t="shared" si="72"/>
        <v>0.63450000000000006</v>
      </c>
      <c r="W229" s="8">
        <f t="shared" si="72"/>
        <v>0.71225000000000005</v>
      </c>
      <c r="X229" s="8">
        <f t="shared" si="72"/>
        <v>5.2634749999999997</v>
      </c>
      <c r="Y229" s="8">
        <f t="shared" si="72"/>
        <v>1.0534999999999999</v>
      </c>
      <c r="Z229" s="8">
        <f t="shared" si="72"/>
        <v>0.33</v>
      </c>
      <c r="AA229" s="8">
        <f t="shared" si="72"/>
        <v>0.96119999999999983</v>
      </c>
      <c r="AB229" s="8">
        <f t="shared" si="72"/>
        <v>1.0363500000000001</v>
      </c>
      <c r="AC229" s="8">
        <f t="shared" si="72"/>
        <v>3.7992000000000004</v>
      </c>
      <c r="AD229" s="8">
        <f t="shared" si="72"/>
        <v>0.14249999999999999</v>
      </c>
      <c r="AE229" s="8">
        <f t="shared" si="72"/>
        <v>1.06596</v>
      </c>
      <c r="AF229" s="8">
        <f t="shared" si="72"/>
        <v>0.176985</v>
      </c>
      <c r="AG229" s="8">
        <f t="shared" si="72"/>
        <v>2.0099700000000005</v>
      </c>
      <c r="AH229" s="8">
        <f t="shared" si="72"/>
        <v>0.208035</v>
      </c>
      <c r="AI229" s="8">
        <f t="shared" si="72"/>
        <v>2.8974999999999995</v>
      </c>
      <c r="AJ229" s="8">
        <f t="shared" si="72"/>
        <v>0.42659999999999998</v>
      </c>
      <c r="AK229" s="8">
        <f t="shared" si="72"/>
        <v>2.9839249999999997</v>
      </c>
      <c r="AL229" s="8">
        <f t="shared" si="72"/>
        <v>3.6850499999999995</v>
      </c>
      <c r="AM229" s="8">
        <f t="shared" si="72"/>
        <v>0.94859999999999978</v>
      </c>
      <c r="AN229" s="8">
        <f t="shared" si="72"/>
        <v>2.6077500000000002</v>
      </c>
      <c r="AO229" s="8">
        <f t="shared" si="72"/>
        <v>22.89</v>
      </c>
      <c r="AP229" s="8">
        <f t="shared" si="72"/>
        <v>5.2634749999999997</v>
      </c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</row>
    <row r="230" spans="1:73" s="1" customFormat="1" ht="15.75" thickBot="1"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</row>
    <row r="231" spans="1:73" s="1" customFormat="1" ht="19.5" thickBot="1">
      <c r="B231" s="203" t="s">
        <v>321</v>
      </c>
      <c r="C231" s="203"/>
      <c r="D231" s="203"/>
      <c r="E231" s="203"/>
      <c r="F231" s="50">
        <f>ROUNDUP(SUM(B236:BP236),0)</f>
        <v>758</v>
      </c>
      <c r="G231" s="55"/>
      <c r="I231" s="4"/>
      <c r="BQ231"/>
      <c r="BR231"/>
      <c r="BS231"/>
      <c r="BT231"/>
      <c r="BU231"/>
    </row>
    <row r="232" spans="1:73" s="1" customFormat="1">
      <c r="B232" s="1" t="str">
        <f t="shared" ref="B232:AP235" si="73">B225</f>
        <v>BM 1</v>
      </c>
      <c r="C232" s="1" t="str">
        <f t="shared" si="73"/>
        <v>BM 2</v>
      </c>
      <c r="D232" s="1" t="str">
        <f t="shared" si="73"/>
        <v>BM 3</v>
      </c>
      <c r="E232" s="1" t="str">
        <f t="shared" si="73"/>
        <v>BM 4</v>
      </c>
      <c r="F232" s="1" t="str">
        <f t="shared" si="73"/>
        <v>BM 5</v>
      </c>
      <c r="G232" s="1" t="str">
        <f t="shared" si="73"/>
        <v>BM 6</v>
      </c>
      <c r="H232" s="1" t="str">
        <f t="shared" si="73"/>
        <v>BM 7</v>
      </c>
      <c r="I232" s="1" t="str">
        <f t="shared" si="73"/>
        <v>BM 8</v>
      </c>
      <c r="J232" s="1" t="str">
        <f t="shared" si="73"/>
        <v>BM 9</v>
      </c>
      <c r="K232" s="1" t="str">
        <f t="shared" si="73"/>
        <v>BM 10</v>
      </c>
      <c r="L232" s="1" t="str">
        <f t="shared" si="73"/>
        <v>BM 11</v>
      </c>
      <c r="M232" s="1" t="str">
        <f t="shared" si="73"/>
        <v>BM 12</v>
      </c>
      <c r="N232" s="1" t="str">
        <f t="shared" si="73"/>
        <v>BM 13</v>
      </c>
      <c r="O232" s="1" t="str">
        <f t="shared" si="73"/>
        <v>BM 14</v>
      </c>
      <c r="P232" s="1" t="str">
        <f t="shared" si="73"/>
        <v>BM 15</v>
      </c>
      <c r="Q232" s="1" t="str">
        <f t="shared" si="73"/>
        <v>BM 16</v>
      </c>
      <c r="R232" s="1" t="str">
        <f t="shared" si="73"/>
        <v>BM 17</v>
      </c>
      <c r="S232" s="1" t="str">
        <f t="shared" si="73"/>
        <v>BM 18</v>
      </c>
      <c r="T232" s="1" t="str">
        <f t="shared" si="73"/>
        <v>BM 19</v>
      </c>
      <c r="U232" s="1" t="str">
        <f t="shared" si="73"/>
        <v>BM 20</v>
      </c>
      <c r="V232" s="1" t="str">
        <f t="shared" si="73"/>
        <v>BM 21</v>
      </c>
      <c r="W232" s="1" t="str">
        <f t="shared" si="73"/>
        <v>BM 22</v>
      </c>
      <c r="X232" s="1" t="str">
        <f t="shared" si="73"/>
        <v>BM 23</v>
      </c>
      <c r="Y232" s="1" t="str">
        <f t="shared" si="73"/>
        <v>BM 24</v>
      </c>
      <c r="Z232" s="1" t="str">
        <f t="shared" si="73"/>
        <v>BM 25</v>
      </c>
      <c r="AA232" s="1" t="str">
        <f t="shared" si="73"/>
        <v>BM 26</v>
      </c>
      <c r="AB232" s="1" t="str">
        <f t="shared" si="73"/>
        <v>BM 27</v>
      </c>
      <c r="AC232" s="1" t="str">
        <f t="shared" si="73"/>
        <v>BM 28</v>
      </c>
      <c r="AD232" s="1" t="str">
        <f t="shared" si="73"/>
        <v>BM 29</v>
      </c>
      <c r="AE232" s="1" t="str">
        <f t="shared" si="73"/>
        <v>BM 30</v>
      </c>
      <c r="AF232" s="1" t="str">
        <f t="shared" si="73"/>
        <v>BM 31</v>
      </c>
      <c r="AG232" s="1" t="str">
        <f t="shared" si="73"/>
        <v>BM 32</v>
      </c>
      <c r="AH232" s="1" t="str">
        <f t="shared" si="73"/>
        <v>BM 33</v>
      </c>
      <c r="AI232" s="1" t="str">
        <f t="shared" si="73"/>
        <v>BM 34</v>
      </c>
      <c r="AJ232" s="1" t="str">
        <f t="shared" si="73"/>
        <v>BM 35</v>
      </c>
      <c r="AK232" s="1" t="str">
        <f t="shared" si="73"/>
        <v>BM 36</v>
      </c>
      <c r="AL232" s="1" t="str">
        <f t="shared" si="73"/>
        <v>BM 37</v>
      </c>
      <c r="AM232" s="1" t="str">
        <f t="shared" si="73"/>
        <v>BM 38</v>
      </c>
      <c r="AN232" s="1" t="str">
        <f t="shared" si="73"/>
        <v>BM 39</v>
      </c>
      <c r="AO232" s="1" t="str">
        <f t="shared" si="73"/>
        <v>BM 40</v>
      </c>
      <c r="AP232" s="1" t="str">
        <f t="shared" si="73"/>
        <v>BM 41</v>
      </c>
      <c r="BS232"/>
      <c r="BT232"/>
      <c r="BU232"/>
    </row>
    <row r="233" spans="1:73" s="44" customFormat="1" ht="12.75">
      <c r="A233" s="44" t="str">
        <f>A226</f>
        <v>length</v>
      </c>
      <c r="B233" s="1">
        <f t="shared" si="73"/>
        <v>24.75</v>
      </c>
      <c r="C233" s="1">
        <f t="shared" si="73"/>
        <v>18.600000000000001</v>
      </c>
      <c r="D233" s="1">
        <f t="shared" si="73"/>
        <v>2.95</v>
      </c>
      <c r="E233" s="1">
        <f t="shared" si="73"/>
        <v>26.26</v>
      </c>
      <c r="F233" s="1">
        <f t="shared" si="73"/>
        <v>3.55</v>
      </c>
      <c r="G233" s="1">
        <f t="shared" si="73"/>
        <v>18.600000000000001</v>
      </c>
      <c r="H233" s="1">
        <f t="shared" si="73"/>
        <v>3.2</v>
      </c>
      <c r="I233" s="1">
        <f t="shared" si="73"/>
        <v>8.8000000000000007</v>
      </c>
      <c r="J233" s="1">
        <f t="shared" si="73"/>
        <v>40.200000000000003</v>
      </c>
      <c r="K233" s="1">
        <f t="shared" si="73"/>
        <v>11.42</v>
      </c>
      <c r="L233" s="1">
        <f t="shared" si="73"/>
        <v>12.79</v>
      </c>
      <c r="M233" s="1">
        <f t="shared" si="73"/>
        <v>8.1</v>
      </c>
      <c r="N233" s="1">
        <f t="shared" si="73"/>
        <v>4.25</v>
      </c>
      <c r="O233" s="1">
        <f t="shared" si="73"/>
        <v>4.3</v>
      </c>
      <c r="P233" s="1">
        <f t="shared" si="73"/>
        <v>8.0299999999999994</v>
      </c>
      <c r="Q233" s="1">
        <f t="shared" si="73"/>
        <v>4.2300000000000004</v>
      </c>
      <c r="R233" s="1">
        <f t="shared" si="73"/>
        <v>7.9</v>
      </c>
      <c r="S233" s="1">
        <f t="shared" si="73"/>
        <v>2.5</v>
      </c>
      <c r="T233" s="1">
        <f t="shared" si="73"/>
        <v>4.2300000000000004</v>
      </c>
      <c r="U233" s="1">
        <f t="shared" si="73"/>
        <v>11.9</v>
      </c>
      <c r="V233" s="1">
        <f t="shared" si="73"/>
        <v>4.2300000000000004</v>
      </c>
      <c r="W233" s="1">
        <f t="shared" si="73"/>
        <v>5.18</v>
      </c>
      <c r="X233" s="1">
        <f t="shared" si="73"/>
        <v>15.83</v>
      </c>
      <c r="Y233" s="1">
        <f t="shared" si="73"/>
        <v>4.3</v>
      </c>
      <c r="Z233" s="1">
        <f t="shared" si="73"/>
        <v>2.2000000000000002</v>
      </c>
      <c r="AA233" s="1">
        <f t="shared" si="73"/>
        <v>5.34</v>
      </c>
      <c r="AB233" s="1">
        <f t="shared" si="73"/>
        <v>4.2300000000000004</v>
      </c>
      <c r="AC233" s="1">
        <f t="shared" si="73"/>
        <v>15.83</v>
      </c>
      <c r="AD233" s="1">
        <f t="shared" si="73"/>
        <v>0.95</v>
      </c>
      <c r="AE233" s="1">
        <f t="shared" si="73"/>
        <v>4.2300000000000004</v>
      </c>
      <c r="AF233" s="1">
        <f t="shared" si="73"/>
        <v>1.71</v>
      </c>
      <c r="AG233" s="1">
        <f t="shared" si="73"/>
        <v>19.420000000000002</v>
      </c>
      <c r="AH233" s="1">
        <f t="shared" si="73"/>
        <v>2.0099999999999998</v>
      </c>
      <c r="AI233" s="1">
        <f t="shared" si="73"/>
        <v>12.2</v>
      </c>
      <c r="AJ233" s="1">
        <f t="shared" si="73"/>
        <v>2.37</v>
      </c>
      <c r="AK233" s="1">
        <f t="shared" si="73"/>
        <v>10.029999999999999</v>
      </c>
      <c r="AL233" s="1">
        <f t="shared" si="73"/>
        <v>12.93</v>
      </c>
      <c r="AM233" s="1">
        <f t="shared" si="73"/>
        <v>5.27</v>
      </c>
      <c r="AN233" s="1">
        <f t="shared" si="73"/>
        <v>9.15</v>
      </c>
      <c r="AO233" s="1">
        <f t="shared" si="73"/>
        <v>7.63</v>
      </c>
      <c r="AP233" s="1">
        <f t="shared" si="73"/>
        <v>15.83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3" s="1" customFormat="1">
      <c r="A234" s="44" t="str">
        <f>A227</f>
        <v>depth</v>
      </c>
      <c r="B234" s="1">
        <f t="shared" si="73"/>
        <v>0.95</v>
      </c>
      <c r="C234" s="1">
        <f t="shared" si="73"/>
        <v>0.95</v>
      </c>
      <c r="D234" s="1">
        <f t="shared" si="73"/>
        <v>0.45</v>
      </c>
      <c r="E234" s="1">
        <f t="shared" si="73"/>
        <v>0.95</v>
      </c>
      <c r="F234" s="1">
        <f t="shared" si="73"/>
        <v>0.7</v>
      </c>
      <c r="G234" s="1">
        <f t="shared" si="73"/>
        <v>0.7</v>
      </c>
      <c r="H234" s="1">
        <f t="shared" si="73"/>
        <v>0.7</v>
      </c>
      <c r="I234" s="1">
        <f t="shared" si="73"/>
        <v>0.6</v>
      </c>
      <c r="J234" s="1">
        <f t="shared" si="73"/>
        <v>0.95</v>
      </c>
      <c r="K234" s="1">
        <f t="shared" si="73"/>
        <v>0.6</v>
      </c>
      <c r="L234" s="1">
        <f t="shared" si="73"/>
        <v>0.6</v>
      </c>
      <c r="M234" s="1">
        <f t="shared" si="73"/>
        <v>0.5</v>
      </c>
      <c r="N234" s="1">
        <f t="shared" si="73"/>
        <v>0.6</v>
      </c>
      <c r="O234" s="1">
        <f t="shared" si="73"/>
        <v>0.7</v>
      </c>
      <c r="P234" s="1">
        <f t="shared" si="73"/>
        <v>0.7</v>
      </c>
      <c r="Q234" s="1">
        <f t="shared" si="73"/>
        <v>0.7</v>
      </c>
      <c r="R234" s="1">
        <f t="shared" si="73"/>
        <v>0.95</v>
      </c>
      <c r="S234" s="1">
        <f t="shared" si="73"/>
        <v>0.6</v>
      </c>
      <c r="T234" s="1">
        <f t="shared" si="73"/>
        <v>0.7</v>
      </c>
      <c r="U234" s="1">
        <f t="shared" si="73"/>
        <v>0.7</v>
      </c>
      <c r="V234" s="1">
        <f t="shared" si="73"/>
        <v>0.6</v>
      </c>
      <c r="W234" s="1">
        <f t="shared" si="73"/>
        <v>0.55000000000000004</v>
      </c>
      <c r="X234" s="1">
        <f t="shared" si="73"/>
        <v>0.95</v>
      </c>
      <c r="Y234" s="1">
        <f t="shared" si="73"/>
        <v>0.7</v>
      </c>
      <c r="Z234" s="1">
        <f t="shared" si="73"/>
        <v>0.6</v>
      </c>
      <c r="AA234" s="1">
        <f t="shared" si="73"/>
        <v>0.6</v>
      </c>
      <c r="AB234" s="1">
        <f t="shared" si="73"/>
        <v>0.7</v>
      </c>
      <c r="AC234" s="1">
        <f t="shared" si="73"/>
        <v>0.8</v>
      </c>
      <c r="AD234" s="1">
        <f t="shared" si="73"/>
        <v>0.6</v>
      </c>
      <c r="AE234" s="1">
        <f t="shared" si="73"/>
        <v>0.7</v>
      </c>
      <c r="AF234" s="1">
        <f t="shared" si="73"/>
        <v>0.45</v>
      </c>
      <c r="AG234" s="1">
        <f t="shared" si="73"/>
        <v>0.45</v>
      </c>
      <c r="AH234" s="1">
        <f t="shared" si="73"/>
        <v>0.45</v>
      </c>
      <c r="AI234" s="1">
        <f t="shared" si="73"/>
        <v>0.95</v>
      </c>
      <c r="AJ234" s="1">
        <f t="shared" si="73"/>
        <v>0.6</v>
      </c>
      <c r="AK234" s="1">
        <f t="shared" si="73"/>
        <v>0.85</v>
      </c>
      <c r="AL234" s="1">
        <f t="shared" si="73"/>
        <v>0.95</v>
      </c>
      <c r="AM234" s="1">
        <f t="shared" si="73"/>
        <v>0.6</v>
      </c>
      <c r="AN234" s="1">
        <f t="shared" si="73"/>
        <v>0.95</v>
      </c>
      <c r="AO234" s="1">
        <f t="shared" si="73"/>
        <v>1</v>
      </c>
      <c r="AP234" s="1">
        <f t="shared" si="73"/>
        <v>0.95</v>
      </c>
      <c r="BS234"/>
      <c r="BT234"/>
      <c r="BU234"/>
    </row>
    <row r="235" spans="1:73" s="1" customFormat="1">
      <c r="A235" s="44" t="str">
        <f>A228</f>
        <v>width</v>
      </c>
      <c r="B235" s="1">
        <f t="shared" si="73"/>
        <v>0.35</v>
      </c>
      <c r="C235" s="1">
        <f t="shared" si="73"/>
        <v>0.35</v>
      </c>
      <c r="D235" s="1">
        <f t="shared" si="73"/>
        <v>0.23</v>
      </c>
      <c r="E235" s="1">
        <f t="shared" si="73"/>
        <v>0.35</v>
      </c>
      <c r="F235" s="1">
        <f t="shared" si="73"/>
        <v>0.35</v>
      </c>
      <c r="G235" s="1">
        <f t="shared" si="73"/>
        <v>0.35</v>
      </c>
      <c r="H235" s="1">
        <f t="shared" si="73"/>
        <v>0.35</v>
      </c>
      <c r="I235" s="1">
        <f t="shared" si="73"/>
        <v>0.25</v>
      </c>
      <c r="J235" s="1">
        <f t="shared" si="73"/>
        <v>0.35</v>
      </c>
      <c r="K235" s="1">
        <f t="shared" si="73"/>
        <v>0.25</v>
      </c>
      <c r="L235" s="1">
        <f t="shared" si="73"/>
        <v>0.25</v>
      </c>
      <c r="M235" s="1">
        <f t="shared" si="73"/>
        <v>0.23</v>
      </c>
      <c r="N235" s="1">
        <f t="shared" si="73"/>
        <v>0.25</v>
      </c>
      <c r="O235" s="1">
        <f t="shared" si="73"/>
        <v>0.35</v>
      </c>
      <c r="P235" s="1">
        <f t="shared" si="73"/>
        <v>0.35</v>
      </c>
      <c r="Q235" s="1">
        <f t="shared" si="73"/>
        <v>0.35</v>
      </c>
      <c r="R235" s="1">
        <f t="shared" si="73"/>
        <v>0.35</v>
      </c>
      <c r="S235" s="1">
        <f t="shared" si="73"/>
        <v>0.25</v>
      </c>
      <c r="T235" s="1">
        <f t="shared" si="73"/>
        <v>0.35</v>
      </c>
      <c r="U235" s="1">
        <f t="shared" si="73"/>
        <v>0.35</v>
      </c>
      <c r="V235" s="1">
        <f t="shared" si="73"/>
        <v>0.25</v>
      </c>
      <c r="W235" s="1">
        <f t="shared" si="73"/>
        <v>0.25</v>
      </c>
      <c r="X235" s="1">
        <f t="shared" si="73"/>
        <v>0.35</v>
      </c>
      <c r="Y235" s="1">
        <f t="shared" si="73"/>
        <v>0.35</v>
      </c>
      <c r="Z235" s="1">
        <f t="shared" si="73"/>
        <v>0.25</v>
      </c>
      <c r="AA235" s="1">
        <f t="shared" si="73"/>
        <v>0.3</v>
      </c>
      <c r="AB235" s="1">
        <f t="shared" si="73"/>
        <v>0.35</v>
      </c>
      <c r="AC235" s="1">
        <f t="shared" si="73"/>
        <v>0.3</v>
      </c>
      <c r="AD235" s="1">
        <f t="shared" si="73"/>
        <v>0.25</v>
      </c>
      <c r="AE235" s="1">
        <f t="shared" si="73"/>
        <v>0.36</v>
      </c>
      <c r="AF235" s="1">
        <f t="shared" si="73"/>
        <v>0.23</v>
      </c>
      <c r="AG235" s="1">
        <f t="shared" si="73"/>
        <v>0.23</v>
      </c>
      <c r="AH235" s="1">
        <f t="shared" si="73"/>
        <v>0.23</v>
      </c>
      <c r="AI235" s="1">
        <f t="shared" si="73"/>
        <v>0.25</v>
      </c>
      <c r="AJ235" s="1">
        <f t="shared" si="73"/>
        <v>0.3</v>
      </c>
      <c r="AK235" s="1">
        <f t="shared" si="73"/>
        <v>0.35</v>
      </c>
      <c r="AL235" s="1">
        <f t="shared" si="73"/>
        <v>0.3</v>
      </c>
      <c r="AM235" s="1">
        <f t="shared" si="73"/>
        <v>0.3</v>
      </c>
      <c r="AN235" s="1">
        <f t="shared" si="73"/>
        <v>0.3</v>
      </c>
      <c r="AO235" s="1">
        <f t="shared" si="73"/>
        <v>3</v>
      </c>
      <c r="AP235" s="1">
        <f t="shared" si="73"/>
        <v>0.35</v>
      </c>
      <c r="BS235"/>
      <c r="BT235"/>
      <c r="BU235"/>
    </row>
    <row r="236" spans="1:73" s="1" customFormat="1">
      <c r="B236" s="8">
        <f t="shared" ref="B236:AP236" si="74">(B233*B234*2)+(B233*B235)</f>
        <v>55.6875</v>
      </c>
      <c r="C236" s="8">
        <f t="shared" si="74"/>
        <v>41.85</v>
      </c>
      <c r="D236" s="8">
        <f t="shared" si="74"/>
        <v>3.3335000000000004</v>
      </c>
      <c r="E236" s="8">
        <f t="shared" si="74"/>
        <v>59.085000000000001</v>
      </c>
      <c r="F236" s="8">
        <f t="shared" si="74"/>
        <v>6.2124999999999995</v>
      </c>
      <c r="G236" s="8">
        <f t="shared" si="74"/>
        <v>32.549999999999997</v>
      </c>
      <c r="H236" s="8">
        <f t="shared" si="74"/>
        <v>5.6</v>
      </c>
      <c r="I236" s="8">
        <f t="shared" si="74"/>
        <v>12.760000000000002</v>
      </c>
      <c r="J236" s="8">
        <f t="shared" si="74"/>
        <v>90.449999999999989</v>
      </c>
      <c r="K236" s="8">
        <f t="shared" si="74"/>
        <v>16.558999999999997</v>
      </c>
      <c r="L236" s="8">
        <f t="shared" si="74"/>
        <v>18.545499999999997</v>
      </c>
      <c r="M236" s="8">
        <f t="shared" si="74"/>
        <v>9.9629999999999992</v>
      </c>
      <c r="N236" s="8">
        <f t="shared" si="74"/>
        <v>6.1624999999999996</v>
      </c>
      <c r="O236" s="8">
        <f t="shared" si="74"/>
        <v>7.5249999999999995</v>
      </c>
      <c r="P236" s="8">
        <f t="shared" si="74"/>
        <v>14.052499999999998</v>
      </c>
      <c r="Q236" s="8">
        <f t="shared" si="74"/>
        <v>7.4025000000000007</v>
      </c>
      <c r="R236" s="8">
        <f t="shared" si="74"/>
        <v>17.774999999999999</v>
      </c>
      <c r="S236" s="8">
        <f t="shared" si="74"/>
        <v>3.625</v>
      </c>
      <c r="T236" s="8">
        <f t="shared" si="74"/>
        <v>7.4025000000000007</v>
      </c>
      <c r="U236" s="8">
        <f t="shared" si="74"/>
        <v>20.824999999999999</v>
      </c>
      <c r="V236" s="8">
        <f t="shared" si="74"/>
        <v>6.1335000000000006</v>
      </c>
      <c r="W236" s="8">
        <f t="shared" si="74"/>
        <v>6.9930000000000003</v>
      </c>
      <c r="X236" s="8">
        <f t="shared" si="74"/>
        <v>35.6175</v>
      </c>
      <c r="Y236" s="8">
        <f t="shared" si="74"/>
        <v>7.5249999999999995</v>
      </c>
      <c r="Z236" s="8">
        <f t="shared" si="74"/>
        <v>3.1900000000000004</v>
      </c>
      <c r="AA236" s="8">
        <f t="shared" si="74"/>
        <v>8.01</v>
      </c>
      <c r="AB236" s="8">
        <f t="shared" si="74"/>
        <v>7.4025000000000007</v>
      </c>
      <c r="AC236" s="8">
        <f t="shared" si="74"/>
        <v>30.077000000000002</v>
      </c>
      <c r="AD236" s="8">
        <f t="shared" si="74"/>
        <v>1.3774999999999999</v>
      </c>
      <c r="AE236" s="8">
        <f t="shared" si="74"/>
        <v>7.4448000000000008</v>
      </c>
      <c r="AF236" s="8">
        <f t="shared" si="74"/>
        <v>1.9322999999999999</v>
      </c>
      <c r="AG236" s="8">
        <f t="shared" si="74"/>
        <v>21.944600000000001</v>
      </c>
      <c r="AH236" s="8">
        <f t="shared" si="74"/>
        <v>2.2713000000000001</v>
      </c>
      <c r="AI236" s="8">
        <f t="shared" si="74"/>
        <v>26.229999999999997</v>
      </c>
      <c r="AJ236" s="8">
        <f t="shared" si="74"/>
        <v>3.5549999999999997</v>
      </c>
      <c r="AK236" s="8">
        <f t="shared" si="74"/>
        <v>20.561499999999999</v>
      </c>
      <c r="AL236" s="8">
        <f t="shared" si="74"/>
        <v>28.445999999999998</v>
      </c>
      <c r="AM236" s="8">
        <f t="shared" si="74"/>
        <v>7.9049999999999985</v>
      </c>
      <c r="AN236" s="8">
        <f t="shared" si="74"/>
        <v>20.130000000000003</v>
      </c>
      <c r="AO236" s="8">
        <f t="shared" si="74"/>
        <v>38.15</v>
      </c>
      <c r="AP236" s="8">
        <f t="shared" si="74"/>
        <v>35.6175</v>
      </c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/>
      <c r="BT236"/>
      <c r="BU236"/>
    </row>
    <row r="237" spans="1:73" s="1" customFormat="1" ht="15.75" thickBot="1"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 s="4"/>
      <c r="BR237"/>
      <c r="BS237"/>
      <c r="BT237"/>
      <c r="BU237"/>
    </row>
    <row r="238" spans="1:73" s="1" customFormat="1" ht="19.5" thickBot="1">
      <c r="B238" s="203" t="s">
        <v>322</v>
      </c>
      <c r="C238" s="203"/>
      <c r="D238" s="203"/>
      <c r="E238" s="203"/>
      <c r="F238" s="50">
        <f>ROUNDUP(SUM(B244:BP244),0)</f>
        <v>17640</v>
      </c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 s="4"/>
      <c r="BR238"/>
      <c r="BS238"/>
      <c r="BT238"/>
      <c r="BU238"/>
    </row>
    <row r="239" spans="1:73" s="1" customFormat="1">
      <c r="C239" s="1" t="s">
        <v>105</v>
      </c>
      <c r="D239" s="1">
        <f>G239*F224</f>
        <v>9360</v>
      </c>
      <c r="G239" s="1">
        <v>78</v>
      </c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 s="4"/>
      <c r="BR239"/>
      <c r="BS239"/>
      <c r="BT239"/>
      <c r="BU239"/>
    </row>
    <row r="240" spans="1:73" s="1" customFormat="1">
      <c r="C240" s="1" t="s">
        <v>70</v>
      </c>
      <c r="D240" s="1">
        <f>F224*G240</f>
        <v>2040</v>
      </c>
      <c r="G240" s="1">
        <v>17</v>
      </c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 s="4"/>
      <c r="BR240"/>
      <c r="BS240"/>
      <c r="BT240"/>
      <c r="BU240"/>
    </row>
    <row r="241" spans="1:73" s="1" customFormat="1">
      <c r="C241" s="1" t="s">
        <v>71</v>
      </c>
      <c r="D241" s="1">
        <f>G241*F224</f>
        <v>3600</v>
      </c>
      <c r="G241" s="1">
        <v>30</v>
      </c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 s="4"/>
      <c r="BR241"/>
      <c r="BS241"/>
      <c r="BT241"/>
      <c r="BU241"/>
    </row>
    <row r="242" spans="1:73" s="1" customFormat="1">
      <c r="C242" s="1" t="s">
        <v>68</v>
      </c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 s="4"/>
      <c r="BR242"/>
      <c r="BS242"/>
      <c r="BT242"/>
      <c r="BU242"/>
    </row>
    <row r="243" spans="1:73" s="1" customFormat="1">
      <c r="C243" s="1" t="s">
        <v>108</v>
      </c>
      <c r="D243" s="1">
        <f>G243*F224</f>
        <v>2640</v>
      </c>
      <c r="G243" s="1">
        <v>22</v>
      </c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 s="4"/>
      <c r="BR243"/>
      <c r="BS243"/>
      <c r="BT243"/>
      <c r="BU243"/>
    </row>
    <row r="244" spans="1:73" s="1" customFormat="1">
      <c r="D244" s="100">
        <f>SUM(D239:D243)</f>
        <v>17640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 s="4"/>
      <c r="BR244"/>
      <c r="BS244"/>
      <c r="BT244"/>
      <c r="BU244"/>
    </row>
    <row r="245" spans="1:73" s="1" customFormat="1">
      <c r="F245" s="104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 s="4"/>
      <c r="BR245"/>
      <c r="BS245"/>
      <c r="BT245"/>
      <c r="BU245"/>
    </row>
    <row r="246" spans="1:73" s="1" customFormat="1" ht="15.75" thickBot="1">
      <c r="F246" s="104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 s="4"/>
      <c r="BR246"/>
      <c r="BS246"/>
      <c r="BT246"/>
      <c r="BU246"/>
    </row>
    <row r="247" spans="1:73" s="1" customFormat="1" ht="19.5" thickBot="1">
      <c r="A247" s="44"/>
      <c r="B247" s="203" t="s">
        <v>326</v>
      </c>
      <c r="C247" s="203"/>
      <c r="D247" s="203"/>
      <c r="E247" s="203"/>
      <c r="F247" s="50">
        <f>ROUNDUP(SUM(B252:BP252),0)</f>
        <v>242</v>
      </c>
      <c r="I247" s="4"/>
      <c r="BQ247"/>
      <c r="BR247"/>
      <c r="BS247"/>
      <c r="BT247"/>
      <c r="BU247"/>
    </row>
    <row r="248" spans="1:73" s="1" customFormat="1" ht="12.75">
      <c r="A248" s="44"/>
      <c r="B248" s="1" t="s">
        <v>127</v>
      </c>
      <c r="C248" s="1" t="s">
        <v>128</v>
      </c>
      <c r="D248" s="1" t="s">
        <v>129</v>
      </c>
      <c r="E248" s="1" t="s">
        <v>130</v>
      </c>
      <c r="F248" s="1" t="s">
        <v>131</v>
      </c>
      <c r="G248" s="1" t="s">
        <v>132</v>
      </c>
      <c r="H248" s="1" t="s">
        <v>133</v>
      </c>
      <c r="I248" s="1" t="s">
        <v>134</v>
      </c>
      <c r="J248" s="1" t="s">
        <v>135</v>
      </c>
      <c r="K248" s="1" t="s">
        <v>136</v>
      </c>
      <c r="L248" s="1" t="s">
        <v>137</v>
      </c>
      <c r="M248" s="1" t="s">
        <v>138</v>
      </c>
      <c r="N248" s="1" t="s">
        <v>139</v>
      </c>
      <c r="O248" s="1" t="s">
        <v>140</v>
      </c>
      <c r="P248" s="1" t="s">
        <v>141</v>
      </c>
    </row>
    <row r="249" spans="1:73" s="44" customFormat="1" ht="12.75">
      <c r="A249" s="44" t="s">
        <v>37</v>
      </c>
      <c r="B249" s="51">
        <v>47.05</v>
      </c>
      <c r="C249" s="51">
        <v>22.61</v>
      </c>
      <c r="D249" s="52">
        <v>29.7</v>
      </c>
      <c r="E249" s="52">
        <v>17.649999999999999</v>
      </c>
      <c r="F249" s="52">
        <v>3.93</v>
      </c>
      <c r="G249" s="52">
        <v>46.75</v>
      </c>
      <c r="H249" s="52">
        <v>11.9</v>
      </c>
      <c r="I249" s="52">
        <v>3.93</v>
      </c>
      <c r="J249" s="52">
        <v>11.9</v>
      </c>
      <c r="K249" s="52">
        <v>3.93</v>
      </c>
      <c r="L249" s="52">
        <v>15.83</v>
      </c>
      <c r="M249" s="52">
        <v>15.83</v>
      </c>
      <c r="N249" s="52">
        <v>11.9</v>
      </c>
      <c r="O249" s="52">
        <v>15.83</v>
      </c>
      <c r="P249" s="52">
        <v>15.83</v>
      </c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</row>
    <row r="250" spans="1:73" s="1" customFormat="1" ht="12.75">
      <c r="A250" s="44" t="s">
        <v>37</v>
      </c>
      <c r="B250" s="1">
        <v>2.2000000000000002</v>
      </c>
      <c r="C250" s="1">
        <f>B250</f>
        <v>2.2000000000000002</v>
      </c>
      <c r="D250" s="1">
        <f t="shared" ref="D250:P251" si="75">C250</f>
        <v>2.2000000000000002</v>
      </c>
      <c r="E250" s="1">
        <f t="shared" si="75"/>
        <v>2.2000000000000002</v>
      </c>
      <c r="F250" s="1">
        <f t="shared" si="75"/>
        <v>2.2000000000000002</v>
      </c>
      <c r="G250" s="1">
        <f t="shared" si="75"/>
        <v>2.2000000000000002</v>
      </c>
      <c r="H250" s="1">
        <f t="shared" si="75"/>
        <v>2.2000000000000002</v>
      </c>
      <c r="I250" s="1">
        <f t="shared" si="75"/>
        <v>2.2000000000000002</v>
      </c>
      <c r="J250" s="1">
        <f t="shared" si="75"/>
        <v>2.2000000000000002</v>
      </c>
      <c r="K250" s="1">
        <f t="shared" si="75"/>
        <v>2.2000000000000002</v>
      </c>
      <c r="L250" s="1">
        <f t="shared" si="75"/>
        <v>2.2000000000000002</v>
      </c>
      <c r="M250" s="1">
        <f t="shared" si="75"/>
        <v>2.2000000000000002</v>
      </c>
      <c r="N250" s="1">
        <f t="shared" si="75"/>
        <v>2.2000000000000002</v>
      </c>
      <c r="O250" s="1">
        <f t="shared" si="75"/>
        <v>2.2000000000000002</v>
      </c>
      <c r="P250" s="1">
        <f t="shared" si="75"/>
        <v>2.2000000000000002</v>
      </c>
    </row>
    <row r="251" spans="1:73" s="1" customFormat="1" ht="12.75">
      <c r="A251" s="44" t="s">
        <v>166</v>
      </c>
      <c r="B251" s="1">
        <v>0.4</v>
      </c>
      <c r="C251" s="1">
        <f>B251</f>
        <v>0.4</v>
      </c>
      <c r="D251" s="1">
        <f t="shared" si="75"/>
        <v>0.4</v>
      </c>
      <c r="E251" s="1">
        <f t="shared" si="75"/>
        <v>0.4</v>
      </c>
      <c r="F251" s="1">
        <f t="shared" si="75"/>
        <v>0.4</v>
      </c>
      <c r="G251" s="1">
        <f t="shared" si="75"/>
        <v>0.4</v>
      </c>
      <c r="H251" s="1">
        <f t="shared" si="75"/>
        <v>0.4</v>
      </c>
      <c r="I251" s="1">
        <f t="shared" si="75"/>
        <v>0.4</v>
      </c>
      <c r="J251" s="1">
        <f t="shared" si="75"/>
        <v>0.4</v>
      </c>
      <c r="K251" s="1">
        <f t="shared" si="75"/>
        <v>0.4</v>
      </c>
      <c r="L251" s="1">
        <f t="shared" si="75"/>
        <v>0.4</v>
      </c>
      <c r="M251" s="1">
        <f t="shared" si="75"/>
        <v>0.4</v>
      </c>
      <c r="N251" s="1">
        <f t="shared" si="75"/>
        <v>0.4</v>
      </c>
      <c r="O251" s="1">
        <f t="shared" si="75"/>
        <v>0.4</v>
      </c>
      <c r="P251" s="1">
        <f t="shared" si="75"/>
        <v>0.4</v>
      </c>
    </row>
    <row r="252" spans="1:73" s="1" customFormat="1" ht="12.75">
      <c r="A252" s="44"/>
      <c r="B252" s="8">
        <f t="shared" ref="B252:P252" si="76">B249*B250*B251</f>
        <v>41.404000000000003</v>
      </c>
      <c r="C252" s="8">
        <f t="shared" si="76"/>
        <v>19.896800000000002</v>
      </c>
      <c r="D252" s="8">
        <f t="shared" si="76"/>
        <v>26.136000000000003</v>
      </c>
      <c r="E252" s="8">
        <f t="shared" si="76"/>
        <v>15.532</v>
      </c>
      <c r="F252" s="8">
        <f t="shared" si="76"/>
        <v>3.4584000000000006</v>
      </c>
      <c r="G252" s="8">
        <f t="shared" si="76"/>
        <v>41.140000000000008</v>
      </c>
      <c r="H252" s="8">
        <f t="shared" si="76"/>
        <v>10.472000000000001</v>
      </c>
      <c r="I252" s="8">
        <f t="shared" si="76"/>
        <v>3.4584000000000006</v>
      </c>
      <c r="J252" s="8">
        <f t="shared" si="76"/>
        <v>10.472000000000001</v>
      </c>
      <c r="K252" s="8">
        <f t="shared" si="76"/>
        <v>3.4584000000000006</v>
      </c>
      <c r="L252" s="8">
        <f t="shared" si="76"/>
        <v>13.930400000000001</v>
      </c>
      <c r="M252" s="8">
        <f t="shared" si="76"/>
        <v>13.930400000000001</v>
      </c>
      <c r="N252" s="8">
        <f t="shared" si="76"/>
        <v>10.472000000000001</v>
      </c>
      <c r="O252" s="8">
        <f t="shared" si="76"/>
        <v>13.930400000000001</v>
      </c>
      <c r="P252" s="8">
        <f t="shared" si="76"/>
        <v>13.930400000000001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</row>
    <row r="253" spans="1:73" s="1" customFormat="1" ht="15.75" thickBot="1"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</row>
    <row r="254" spans="1:73" s="1" customFormat="1" ht="19.5" thickBot="1">
      <c r="B254" s="203" t="s">
        <v>327</v>
      </c>
      <c r="C254" s="203"/>
      <c r="D254" s="203"/>
      <c r="E254" s="203"/>
      <c r="F254" s="50">
        <f>ROUNDUP(SUM(B259:BP259),0)</f>
        <v>1318</v>
      </c>
      <c r="G254" s="55"/>
      <c r="I254" s="4"/>
      <c r="BQ254"/>
      <c r="BR254"/>
      <c r="BS254"/>
      <c r="BT254"/>
      <c r="BU254"/>
    </row>
    <row r="255" spans="1:73" s="1" customFormat="1">
      <c r="B255" s="1" t="str">
        <f t="shared" ref="B255:P258" si="77">B248</f>
        <v>BM 1</v>
      </c>
      <c r="C255" s="1" t="str">
        <f t="shared" si="77"/>
        <v>BM 2</v>
      </c>
      <c r="D255" s="1" t="str">
        <f t="shared" si="77"/>
        <v>BM 3</v>
      </c>
      <c r="E255" s="1" t="str">
        <f t="shared" si="77"/>
        <v>BM 4</v>
      </c>
      <c r="F255" s="1" t="str">
        <f t="shared" si="77"/>
        <v>BM 5</v>
      </c>
      <c r="G255" s="1" t="str">
        <f t="shared" si="77"/>
        <v>BM 6</v>
      </c>
      <c r="H255" s="1" t="str">
        <f t="shared" si="77"/>
        <v>BM 7</v>
      </c>
      <c r="I255" s="1" t="str">
        <f t="shared" si="77"/>
        <v>BM 8</v>
      </c>
      <c r="J255" s="1" t="str">
        <f t="shared" si="77"/>
        <v>BM 9</v>
      </c>
      <c r="K255" s="1" t="str">
        <f t="shared" si="77"/>
        <v>BM 10</v>
      </c>
      <c r="L255" s="1" t="str">
        <f t="shared" si="77"/>
        <v>BM 11</v>
      </c>
      <c r="M255" s="1" t="str">
        <f t="shared" si="77"/>
        <v>BM 12</v>
      </c>
      <c r="N255" s="1" t="str">
        <f t="shared" si="77"/>
        <v>BM 13</v>
      </c>
      <c r="O255" s="1" t="str">
        <f t="shared" si="77"/>
        <v>BM 14</v>
      </c>
      <c r="P255" s="1" t="str">
        <f t="shared" si="77"/>
        <v>BM 15</v>
      </c>
      <c r="BS255"/>
      <c r="BT255"/>
      <c r="BU255"/>
    </row>
    <row r="256" spans="1:73" s="44" customFormat="1" ht="12.75">
      <c r="A256" s="44" t="str">
        <f>A249</f>
        <v>length</v>
      </c>
      <c r="B256" s="1">
        <f t="shared" si="77"/>
        <v>47.05</v>
      </c>
      <c r="C256" s="1">
        <f t="shared" si="77"/>
        <v>22.61</v>
      </c>
      <c r="D256" s="1">
        <f t="shared" si="77"/>
        <v>29.7</v>
      </c>
      <c r="E256" s="1">
        <f t="shared" si="77"/>
        <v>17.649999999999999</v>
      </c>
      <c r="F256" s="1">
        <f t="shared" si="77"/>
        <v>3.93</v>
      </c>
      <c r="G256" s="1">
        <f t="shared" si="77"/>
        <v>46.75</v>
      </c>
      <c r="H256" s="1">
        <f t="shared" si="77"/>
        <v>11.9</v>
      </c>
      <c r="I256" s="1">
        <f t="shared" si="77"/>
        <v>3.93</v>
      </c>
      <c r="J256" s="1">
        <f t="shared" si="77"/>
        <v>11.9</v>
      </c>
      <c r="K256" s="1">
        <f t="shared" si="77"/>
        <v>3.93</v>
      </c>
      <c r="L256" s="1">
        <f t="shared" si="77"/>
        <v>15.83</v>
      </c>
      <c r="M256" s="1">
        <f t="shared" si="77"/>
        <v>15.83</v>
      </c>
      <c r="N256" s="1">
        <f t="shared" si="77"/>
        <v>11.9</v>
      </c>
      <c r="O256" s="1">
        <f t="shared" si="77"/>
        <v>15.83</v>
      </c>
      <c r="P256" s="1">
        <f t="shared" si="77"/>
        <v>15.83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3" s="1" customFormat="1">
      <c r="A257" s="44" t="str">
        <f>A250</f>
        <v>length</v>
      </c>
      <c r="B257" s="1">
        <f t="shared" si="77"/>
        <v>2.2000000000000002</v>
      </c>
      <c r="C257" s="1">
        <f t="shared" si="77"/>
        <v>2.2000000000000002</v>
      </c>
      <c r="D257" s="1">
        <f t="shared" si="77"/>
        <v>2.2000000000000002</v>
      </c>
      <c r="E257" s="1">
        <f t="shared" si="77"/>
        <v>2.2000000000000002</v>
      </c>
      <c r="F257" s="1">
        <f t="shared" si="77"/>
        <v>2.2000000000000002</v>
      </c>
      <c r="G257" s="1">
        <f t="shared" si="77"/>
        <v>2.2000000000000002</v>
      </c>
      <c r="H257" s="1">
        <f t="shared" si="77"/>
        <v>2.2000000000000002</v>
      </c>
      <c r="I257" s="1">
        <f t="shared" si="77"/>
        <v>2.2000000000000002</v>
      </c>
      <c r="J257" s="1">
        <f t="shared" si="77"/>
        <v>2.2000000000000002</v>
      </c>
      <c r="K257" s="1">
        <f t="shared" si="77"/>
        <v>2.2000000000000002</v>
      </c>
      <c r="L257" s="1">
        <f t="shared" si="77"/>
        <v>2.2000000000000002</v>
      </c>
      <c r="M257" s="1">
        <f t="shared" si="77"/>
        <v>2.2000000000000002</v>
      </c>
      <c r="N257" s="1">
        <f t="shared" si="77"/>
        <v>2.2000000000000002</v>
      </c>
      <c r="O257" s="1">
        <f t="shared" si="77"/>
        <v>2.2000000000000002</v>
      </c>
      <c r="P257" s="1">
        <f t="shared" si="77"/>
        <v>2.2000000000000002</v>
      </c>
      <c r="BS257"/>
      <c r="BT257"/>
      <c r="BU257"/>
    </row>
    <row r="258" spans="1:73" s="1" customFormat="1">
      <c r="A258" s="44" t="str">
        <f>A251</f>
        <v>width</v>
      </c>
      <c r="B258" s="1">
        <f t="shared" si="77"/>
        <v>0.4</v>
      </c>
      <c r="C258" s="1">
        <f t="shared" si="77"/>
        <v>0.4</v>
      </c>
      <c r="D258" s="1">
        <f t="shared" si="77"/>
        <v>0.4</v>
      </c>
      <c r="E258" s="1">
        <f t="shared" si="77"/>
        <v>0.4</v>
      </c>
      <c r="F258" s="1">
        <f t="shared" si="77"/>
        <v>0.4</v>
      </c>
      <c r="G258" s="1">
        <f t="shared" si="77"/>
        <v>0.4</v>
      </c>
      <c r="H258" s="1">
        <f t="shared" si="77"/>
        <v>0.4</v>
      </c>
      <c r="I258" s="1">
        <f t="shared" si="77"/>
        <v>0.4</v>
      </c>
      <c r="J258" s="1">
        <f t="shared" si="77"/>
        <v>0.4</v>
      </c>
      <c r="K258" s="1">
        <f t="shared" si="77"/>
        <v>0.4</v>
      </c>
      <c r="L258" s="1">
        <f t="shared" si="77"/>
        <v>0.4</v>
      </c>
      <c r="M258" s="1">
        <f t="shared" si="77"/>
        <v>0.4</v>
      </c>
      <c r="N258" s="1">
        <f t="shared" si="77"/>
        <v>0.4</v>
      </c>
      <c r="O258" s="1">
        <f t="shared" si="77"/>
        <v>0.4</v>
      </c>
      <c r="P258" s="1">
        <f t="shared" si="77"/>
        <v>0.4</v>
      </c>
      <c r="BS258"/>
      <c r="BT258"/>
      <c r="BU258"/>
    </row>
    <row r="259" spans="1:73" s="1" customFormat="1">
      <c r="B259" s="8">
        <f t="shared" ref="B259:P259" si="78">(B256*B257*2)+(B256*B258)</f>
        <v>225.84</v>
      </c>
      <c r="C259" s="8">
        <f t="shared" si="78"/>
        <v>108.52800000000001</v>
      </c>
      <c r="D259" s="8">
        <f t="shared" si="78"/>
        <v>142.56</v>
      </c>
      <c r="E259" s="8">
        <f t="shared" si="78"/>
        <v>84.72</v>
      </c>
      <c r="F259" s="8">
        <f t="shared" si="78"/>
        <v>18.864000000000001</v>
      </c>
      <c r="G259" s="8">
        <f t="shared" si="78"/>
        <v>224.4</v>
      </c>
      <c r="H259" s="8">
        <f t="shared" si="78"/>
        <v>57.120000000000005</v>
      </c>
      <c r="I259" s="8">
        <f t="shared" si="78"/>
        <v>18.864000000000001</v>
      </c>
      <c r="J259" s="8">
        <f t="shared" si="78"/>
        <v>57.120000000000005</v>
      </c>
      <c r="K259" s="8">
        <f t="shared" si="78"/>
        <v>18.864000000000001</v>
      </c>
      <c r="L259" s="8">
        <f t="shared" si="78"/>
        <v>75.984000000000009</v>
      </c>
      <c r="M259" s="8">
        <f t="shared" si="78"/>
        <v>75.984000000000009</v>
      </c>
      <c r="N259" s="8">
        <f t="shared" si="78"/>
        <v>57.120000000000005</v>
      </c>
      <c r="O259" s="8">
        <f t="shared" si="78"/>
        <v>75.984000000000009</v>
      </c>
      <c r="P259" s="8">
        <f t="shared" si="78"/>
        <v>75.984000000000009</v>
      </c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/>
      <c r="BT259"/>
      <c r="BU259"/>
    </row>
    <row r="260" spans="1:73" s="1" customFormat="1" ht="15.75" thickBot="1"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 s="4"/>
      <c r="BR260"/>
      <c r="BS260"/>
      <c r="BT260"/>
      <c r="BU260"/>
    </row>
    <row r="261" spans="1:73" s="1" customFormat="1" ht="19.5" thickBot="1">
      <c r="B261" s="203" t="s">
        <v>328</v>
      </c>
      <c r="C261" s="203"/>
      <c r="D261" s="203"/>
      <c r="E261" s="203"/>
      <c r="F261" s="50">
        <f>ROUNDUP(SUM(B267:BP267),0)</f>
        <v>46464</v>
      </c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 s="4"/>
      <c r="BR261"/>
      <c r="BS261"/>
      <c r="BT261"/>
      <c r="BU261"/>
    </row>
    <row r="262" spans="1:73" s="1" customFormat="1">
      <c r="C262" s="1" t="s">
        <v>105</v>
      </c>
      <c r="D262" s="1">
        <f>G262*F247</f>
        <v>21296</v>
      </c>
      <c r="G262" s="1">
        <v>88</v>
      </c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 s="4"/>
      <c r="BR262"/>
      <c r="BS262"/>
      <c r="BT262"/>
      <c r="BU262"/>
    </row>
    <row r="263" spans="1:73" s="1" customFormat="1">
      <c r="C263" s="1" t="s">
        <v>70</v>
      </c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 s="4"/>
      <c r="BR263"/>
      <c r="BS263"/>
      <c r="BT263"/>
      <c r="BU263"/>
    </row>
    <row r="264" spans="1:73" s="1" customFormat="1">
      <c r="C264" s="1" t="s">
        <v>71</v>
      </c>
      <c r="D264" s="1">
        <f>G264*F247</f>
        <v>18634</v>
      </c>
      <c r="G264" s="1">
        <v>77</v>
      </c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 s="4"/>
      <c r="BR264"/>
      <c r="BS264"/>
      <c r="BT264"/>
      <c r="BU264"/>
    </row>
    <row r="265" spans="1:73" s="1" customFormat="1">
      <c r="C265" s="1" t="s">
        <v>68</v>
      </c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 s="4"/>
      <c r="BR265"/>
      <c r="BS265"/>
      <c r="BT265"/>
      <c r="BU265"/>
    </row>
    <row r="266" spans="1:73" s="1" customFormat="1">
      <c r="C266" s="1" t="s">
        <v>108</v>
      </c>
      <c r="D266" s="1">
        <f>G266*F247</f>
        <v>6534</v>
      </c>
      <c r="G266" s="1">
        <v>27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 s="4"/>
      <c r="BR266"/>
      <c r="BS266"/>
      <c r="BT266"/>
      <c r="BU266"/>
    </row>
    <row r="267" spans="1:73" s="1" customFormat="1">
      <c r="D267" s="100">
        <f>SUM(D262:D266)</f>
        <v>46464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 s="4"/>
      <c r="BR267"/>
      <c r="BS267"/>
      <c r="BT267"/>
      <c r="BU267"/>
    </row>
    <row r="268" spans="1:73" s="1" customFormat="1">
      <c r="D268" s="100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 s="4"/>
      <c r="BR268"/>
      <c r="BS268"/>
      <c r="BT268"/>
      <c r="BU268"/>
    </row>
    <row r="269" spans="1:73" s="1" customFormat="1">
      <c r="A269" s="1" t="s">
        <v>87</v>
      </c>
      <c r="C269" s="1" t="s">
        <v>105</v>
      </c>
      <c r="D269" s="100"/>
      <c r="E269" s="1" t="s">
        <v>70</v>
      </c>
      <c r="G269" s="1" t="s">
        <v>71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 s="4"/>
      <c r="BR269"/>
      <c r="BS269"/>
      <c r="BT269"/>
      <c r="BU269"/>
    </row>
    <row r="270" spans="1:73" s="1" customFormat="1">
      <c r="A270" s="1" t="s">
        <v>410</v>
      </c>
      <c r="C270" s="1">
        <f>(132*3.7)+(100*4.08)+(32*5.55)</f>
        <v>1074</v>
      </c>
      <c r="D270" s="100"/>
      <c r="E270" s="1">
        <f>(42*3.4)+(34*4.65)+(8*5.25)</f>
        <v>342.9</v>
      </c>
      <c r="G270" s="1">
        <f>(1446*3.2)+(256*4.55)+(1190*5.05)</f>
        <v>11801.5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 s="4"/>
      <c r="BR270"/>
      <c r="BS270"/>
      <c r="BT270"/>
      <c r="BU270"/>
    </row>
    <row r="271" spans="1:73" s="1" customFormat="1">
      <c r="D271" s="100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 s="4"/>
      <c r="BR271"/>
      <c r="BS271"/>
      <c r="BT271"/>
      <c r="BU271"/>
    </row>
    <row r="272" spans="1:73" s="1" customFormat="1">
      <c r="A272" s="1" t="s">
        <v>411</v>
      </c>
      <c r="C272" s="1">
        <f>(86*4.8)+(128*5.55)</f>
        <v>1123.2</v>
      </c>
      <c r="D272" s="100"/>
      <c r="E272" s="1">
        <f>(6*4.65)+(12*5.25)</f>
        <v>90.9</v>
      </c>
      <c r="G272" s="1">
        <f>(272*5.05)+(1060*4.55)</f>
        <v>6196.6</v>
      </c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 s="4"/>
      <c r="BR272"/>
      <c r="BS272"/>
      <c r="BT272"/>
      <c r="BU272"/>
    </row>
    <row r="273" spans="1:73" s="1" customFormat="1">
      <c r="D273" s="100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 s="4"/>
      <c r="BR273"/>
      <c r="BS273"/>
      <c r="BT273"/>
      <c r="BU273"/>
    </row>
    <row r="274" spans="1:73" s="1" customFormat="1">
      <c r="A274" s="1" t="s">
        <v>412</v>
      </c>
      <c r="C274" s="1">
        <f>(130*4.95)+(182*4.2)</f>
        <v>1407.9</v>
      </c>
      <c r="D274" s="100"/>
      <c r="E274" s="1">
        <f>(14*4.65)+(8*4.05)</f>
        <v>97.5</v>
      </c>
      <c r="G274" s="1">
        <f>(164*4.45)+(144*3.95)</f>
        <v>1298.6000000000001</v>
      </c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 s="4"/>
      <c r="BR274"/>
      <c r="BS274"/>
      <c r="BT274"/>
      <c r="BU274"/>
    </row>
    <row r="275" spans="1:73" s="1" customFormat="1">
      <c r="D275" s="100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 s="4"/>
      <c r="BR275"/>
      <c r="BS275"/>
      <c r="BT275"/>
      <c r="BU275"/>
    </row>
    <row r="276" spans="1:73" s="1" customFormat="1">
      <c r="A276" s="1" t="s">
        <v>413</v>
      </c>
      <c r="C276" s="1">
        <f>260*5.2*2</f>
        <v>2704</v>
      </c>
      <c r="D276" s="100"/>
      <c r="E276" s="1">
        <f>58*4.9*2</f>
        <v>568.40000000000009</v>
      </c>
      <c r="G276" s="1">
        <f>258*4.7*2</f>
        <v>2425.2000000000003</v>
      </c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 s="4"/>
      <c r="BR276"/>
      <c r="BS276"/>
      <c r="BT276"/>
      <c r="BU276"/>
    </row>
    <row r="277" spans="1:73" s="1" customFormat="1">
      <c r="D277" s="100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 s="4"/>
      <c r="BR277"/>
      <c r="BS277"/>
      <c r="BT277"/>
      <c r="BU277"/>
    </row>
    <row r="278" spans="1:73" s="1" customFormat="1">
      <c r="D278" s="100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 s="4"/>
      <c r="BR278"/>
      <c r="BS278"/>
      <c r="BT278"/>
      <c r="BU278"/>
    </row>
    <row r="279" spans="1:73" s="1" customFormat="1">
      <c r="D279" s="100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 s="4"/>
      <c r="BR279"/>
      <c r="BS279"/>
      <c r="BT279"/>
      <c r="BU279"/>
    </row>
    <row r="280" spans="1:73" s="1" customFormat="1">
      <c r="D280" s="10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 s="4"/>
      <c r="BR280"/>
      <c r="BS280"/>
      <c r="BT280"/>
      <c r="BU280"/>
    </row>
    <row r="281" spans="1:73" s="1" customFormat="1">
      <c r="D281" s="100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 s="4"/>
      <c r="BR281"/>
      <c r="BS281"/>
      <c r="BT281"/>
      <c r="BU281"/>
    </row>
    <row r="282" spans="1:73" s="1" customFormat="1">
      <c r="D282" s="100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 s="4"/>
      <c r="BR282"/>
      <c r="BS282"/>
      <c r="BT282"/>
      <c r="BU282"/>
    </row>
    <row r="283" spans="1:73" s="1" customFormat="1">
      <c r="D283" s="100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 s="4"/>
      <c r="BR283"/>
      <c r="BS283"/>
      <c r="BT283"/>
      <c r="BU283"/>
    </row>
    <row r="284" spans="1:73" s="1" customFormat="1">
      <c r="D284" s="100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 s="4"/>
      <c r="BR284"/>
      <c r="BS284"/>
      <c r="BT284"/>
      <c r="BU284"/>
    </row>
    <row r="285" spans="1:73" s="1" customFormat="1">
      <c r="D285" s="100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 s="4"/>
      <c r="BR285"/>
      <c r="BS285"/>
      <c r="BT285"/>
      <c r="BU285"/>
    </row>
    <row r="286" spans="1:73" s="1" customFormat="1">
      <c r="D286" s="100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 s="4"/>
      <c r="BR286"/>
      <c r="BS286"/>
      <c r="BT286"/>
      <c r="BU286"/>
    </row>
    <row r="287" spans="1:73" s="1" customFormat="1">
      <c r="D287" s="100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 s="4"/>
      <c r="BR287"/>
      <c r="BS287"/>
      <c r="BT287"/>
      <c r="BU287"/>
    </row>
    <row r="288" spans="1:73" s="1" customFormat="1">
      <c r="D288" s="100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 s="4"/>
      <c r="BR288"/>
      <c r="BS288"/>
      <c r="BT288"/>
      <c r="BU288"/>
    </row>
    <row r="289" spans="1:73" s="1" customFormat="1" ht="45.75" customHeight="1">
      <c r="D289" s="100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 s="4"/>
      <c r="BR289"/>
      <c r="BS289"/>
      <c r="BT289"/>
      <c r="BU289"/>
    </row>
    <row r="290" spans="1:73" s="1" customFormat="1">
      <c r="D290" s="10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 s="4"/>
      <c r="BR290"/>
      <c r="BS290"/>
      <c r="BT290"/>
      <c r="BU290"/>
    </row>
    <row r="291" spans="1:73" s="1" customFormat="1"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 s="4"/>
      <c r="BR291"/>
      <c r="BS291"/>
      <c r="BT291"/>
      <c r="BU291"/>
    </row>
    <row r="292" spans="1:73" s="101" customFormat="1"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3"/>
      <c r="BR292" s="102"/>
      <c r="BS292" s="102"/>
      <c r="BT292" s="102"/>
      <c r="BU292" s="102"/>
    </row>
    <row r="293" spans="1:73" s="1" customFormat="1"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 s="4"/>
      <c r="BR293"/>
      <c r="BS293"/>
      <c r="BT293"/>
      <c r="BU293"/>
    </row>
    <row r="294" spans="1:73" s="1" customFormat="1"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 s="4"/>
      <c r="BR294"/>
      <c r="BS294"/>
      <c r="BT294"/>
      <c r="BU294"/>
    </row>
    <row r="295" spans="1:73" s="1" customFormat="1" ht="15.75" thickBot="1"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 s="4"/>
      <c r="BR295"/>
      <c r="BS295"/>
      <c r="BT295"/>
      <c r="BU295"/>
    </row>
    <row r="296" spans="1:73" s="2" customFormat="1" ht="19.5" thickBot="1">
      <c r="B296" s="203" t="s">
        <v>244</v>
      </c>
      <c r="C296" s="203"/>
      <c r="D296" s="203"/>
      <c r="E296" s="206"/>
      <c r="F296" s="3">
        <f>ROUNDUP(SUM(B303:R303),2)</f>
        <v>162.63999999999999</v>
      </c>
      <c r="BQ296"/>
    </row>
    <row r="297" spans="1:73" s="1" customFormat="1">
      <c r="B297" s="1" t="s">
        <v>43</v>
      </c>
      <c r="D297" s="1" t="s">
        <v>44</v>
      </c>
      <c r="F297" s="1" t="s">
        <v>45</v>
      </c>
      <c r="H297" s="1" t="s">
        <v>46</v>
      </c>
      <c r="J297" s="1" t="s">
        <v>47</v>
      </c>
      <c r="L297" s="1" t="s">
        <v>48</v>
      </c>
      <c r="N297" s="1" t="s">
        <v>499</v>
      </c>
      <c r="P297" s="1" t="s">
        <v>500</v>
      </c>
      <c r="R297" s="1" t="s">
        <v>501</v>
      </c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</row>
    <row r="298" spans="1:73">
      <c r="BQ298" s="5"/>
    </row>
    <row r="299" spans="1:73" s="4" customFormat="1" ht="12.75">
      <c r="A299" s="4" t="s">
        <v>49</v>
      </c>
      <c r="B299" s="4">
        <v>1</v>
      </c>
      <c r="D299" s="4">
        <v>1.3</v>
      </c>
      <c r="F299" s="4">
        <v>1.4</v>
      </c>
      <c r="H299" s="4">
        <v>1.5</v>
      </c>
      <c r="J299" s="4">
        <v>1.8</v>
      </c>
      <c r="L299" s="4">
        <v>2.2999999999999998</v>
      </c>
      <c r="N299" s="4">
        <v>2.2999999999999998</v>
      </c>
      <c r="P299" s="4">
        <v>1.623</v>
      </c>
      <c r="R299" s="4">
        <v>1.8</v>
      </c>
      <c r="BQ299" s="5"/>
    </row>
    <row r="300" spans="1:73" s="4" customFormat="1" ht="12.75">
      <c r="A300" s="4" t="s">
        <v>50</v>
      </c>
      <c r="B300" s="4">
        <v>1</v>
      </c>
      <c r="D300" s="4">
        <v>1.3</v>
      </c>
      <c r="F300" s="4">
        <f>F299</f>
        <v>1.4</v>
      </c>
      <c r="H300" s="4">
        <v>1.5</v>
      </c>
      <c r="J300" s="4">
        <v>1.8</v>
      </c>
      <c r="L300" s="4">
        <f>L299</f>
        <v>2.2999999999999998</v>
      </c>
      <c r="N300" s="4">
        <f>N299</f>
        <v>2.2999999999999998</v>
      </c>
      <c r="P300" s="4">
        <v>1.4</v>
      </c>
      <c r="R300" s="4">
        <v>1.8</v>
      </c>
      <c r="BQ300" s="5"/>
    </row>
    <row r="301" spans="1:73" s="1" customFormat="1">
      <c r="A301" s="1" t="s">
        <v>51</v>
      </c>
      <c r="B301" s="4">
        <v>1.6</v>
      </c>
      <c r="D301" s="4">
        <f>B301</f>
        <v>1.6</v>
      </c>
      <c r="F301" s="4">
        <v>1.6</v>
      </c>
      <c r="H301" s="4">
        <f>F301</f>
        <v>1.6</v>
      </c>
      <c r="J301" s="4">
        <f>H301</f>
        <v>1.6</v>
      </c>
      <c r="L301" s="4">
        <v>1.6</v>
      </c>
      <c r="N301" s="4">
        <v>1.6</v>
      </c>
      <c r="P301" s="4">
        <f>N301</f>
        <v>1.6</v>
      </c>
      <c r="R301" s="4">
        <f>J301</f>
        <v>1.6</v>
      </c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 s="5"/>
      <c r="BR301"/>
      <c r="BS301"/>
      <c r="BT301"/>
      <c r="BU301"/>
    </row>
    <row r="302" spans="1:73" s="1" customFormat="1">
      <c r="A302" s="1" t="s">
        <v>52</v>
      </c>
      <c r="B302" s="1">
        <v>4</v>
      </c>
      <c r="D302" s="1">
        <v>2</v>
      </c>
      <c r="F302" s="1">
        <v>7</v>
      </c>
      <c r="H302" s="1">
        <v>1</v>
      </c>
      <c r="J302" s="1">
        <v>6</v>
      </c>
      <c r="L302" s="1">
        <v>4</v>
      </c>
      <c r="N302" s="1">
        <v>4</v>
      </c>
      <c r="P302" s="1">
        <v>3</v>
      </c>
      <c r="R302" s="1">
        <v>3</v>
      </c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 s="5"/>
      <c r="BR302"/>
      <c r="BS302"/>
      <c r="BT302"/>
      <c r="BU302"/>
    </row>
    <row r="303" spans="1:73" s="5" customFormat="1" ht="12.75">
      <c r="B303" s="6">
        <f>B299*B300*B301*B302</f>
        <v>6.4</v>
      </c>
      <c r="D303" s="6">
        <f>D299*D300*D301*D302</f>
        <v>5.4080000000000013</v>
      </c>
      <c r="F303" s="6">
        <f>F299*F300*F301*F302</f>
        <v>21.951999999999998</v>
      </c>
      <c r="H303" s="6">
        <f>H299*H300*H301*H302</f>
        <v>3.6</v>
      </c>
      <c r="J303" s="6">
        <f>J299*J300*J301*J302</f>
        <v>31.104000000000006</v>
      </c>
      <c r="L303" s="6">
        <f>L299*L300*L301*L302</f>
        <v>33.855999999999995</v>
      </c>
      <c r="N303" s="6">
        <f>N299*N300*N301*N302</f>
        <v>33.855999999999995</v>
      </c>
      <c r="P303" s="6">
        <f>P299*P300*P301*P302</f>
        <v>10.906559999999999</v>
      </c>
      <c r="R303" s="6">
        <f>R299*R300*R301*R302</f>
        <v>15.552000000000003</v>
      </c>
    </row>
    <row r="304" spans="1:73" s="5" customFormat="1" ht="13.5" thickBot="1">
      <c r="B304" s="7"/>
      <c r="D304" s="7"/>
      <c r="F304" s="7"/>
      <c r="H304" s="7"/>
      <c r="J304" s="7"/>
      <c r="L304" s="7"/>
      <c r="N304" s="7"/>
      <c r="P304" s="7"/>
      <c r="R304" s="7"/>
    </row>
    <row r="305" spans="1:73" s="5" customFormat="1" ht="19.5" thickBot="1">
      <c r="B305" s="203" t="s">
        <v>53</v>
      </c>
      <c r="C305" s="203"/>
      <c r="D305" s="206"/>
      <c r="E305" s="3">
        <f>ROUNDUP(B309,2)</f>
        <v>94.25</v>
      </c>
    </row>
    <row r="306" spans="1:73" s="5" customFormat="1" ht="12.75">
      <c r="A306" s="5" t="s">
        <v>54</v>
      </c>
      <c r="B306" s="8">
        <v>102.7</v>
      </c>
      <c r="G306" s="5" t="s">
        <v>54</v>
      </c>
      <c r="H306" s="8">
        <v>0</v>
      </c>
    </row>
    <row r="307" spans="1:73" s="5" customFormat="1" ht="12.75">
      <c r="A307" s="5" t="s">
        <v>50</v>
      </c>
      <c r="B307" s="5">
        <v>0.69</v>
      </c>
      <c r="G307" s="5" t="s">
        <v>50</v>
      </c>
      <c r="H307" s="5">
        <v>2.25</v>
      </c>
    </row>
    <row r="308" spans="1:73" s="5" customFormat="1" ht="12.75">
      <c r="A308" s="5" t="s">
        <v>51</v>
      </c>
      <c r="B308" s="5">
        <v>1.33</v>
      </c>
      <c r="F308" s="4"/>
      <c r="G308" s="5" t="s">
        <v>51</v>
      </c>
      <c r="H308" s="5">
        <v>0.95</v>
      </c>
      <c r="N308" s="5">
        <f>17.5*20.56</f>
        <v>359.79999999999995</v>
      </c>
    </row>
    <row r="309" spans="1:73" s="5" customFormat="1" ht="12.75">
      <c r="B309" s="6">
        <f>B306*B307*B308</f>
        <v>94.247790000000009</v>
      </c>
      <c r="F309" s="4"/>
      <c r="H309" s="6">
        <f>H306*H307*H308</f>
        <v>0</v>
      </c>
      <c r="J309" s="5">
        <f>B309+H309</f>
        <v>94.247790000000009</v>
      </c>
    </row>
    <row r="310" spans="1:73" s="5" customFormat="1" ht="13.5" thickBot="1">
      <c r="B310" s="7"/>
      <c r="D310" s="7"/>
      <c r="F310" s="7"/>
      <c r="H310" s="7"/>
      <c r="J310" s="7"/>
      <c r="L310" s="7"/>
      <c r="N310" s="7"/>
      <c r="P310" s="7"/>
      <c r="R310" s="7"/>
    </row>
    <row r="311" spans="1:73" s="5" customFormat="1" ht="19.5" thickBot="1">
      <c r="B311" s="203" t="s">
        <v>55</v>
      </c>
      <c r="C311" s="203"/>
      <c r="D311" s="206"/>
      <c r="E311" s="3">
        <f>S312+T312+U312+V312</f>
        <v>638.20280000000002</v>
      </c>
    </row>
    <row r="312" spans="1:73" s="5" customFormat="1" ht="12.75">
      <c r="B312" s="1">
        <f>((B299*B301*2)+(B300*B301*2))*B302</f>
        <v>25.6</v>
      </c>
      <c r="C312" s="1">
        <f t="shared" ref="C312:R312" si="79">((C299*C301*2)+(C300*C301*2))*C302</f>
        <v>0</v>
      </c>
      <c r="D312" s="1">
        <f t="shared" si="79"/>
        <v>16.64</v>
      </c>
      <c r="E312" s="1">
        <f t="shared" si="79"/>
        <v>0</v>
      </c>
      <c r="F312" s="1">
        <f t="shared" si="79"/>
        <v>62.719999999999992</v>
      </c>
      <c r="G312" s="1">
        <f t="shared" si="79"/>
        <v>0</v>
      </c>
      <c r="H312" s="1">
        <f>((H299*H301*2)+(H300*H301*2))*H302</f>
        <v>9.6000000000000014</v>
      </c>
      <c r="I312" s="1">
        <f t="shared" si="79"/>
        <v>0</v>
      </c>
      <c r="J312" s="1">
        <f t="shared" si="79"/>
        <v>69.12</v>
      </c>
      <c r="K312" s="1">
        <f t="shared" si="79"/>
        <v>0</v>
      </c>
      <c r="L312" s="1">
        <f t="shared" si="79"/>
        <v>58.879999999999995</v>
      </c>
      <c r="M312" s="1">
        <f t="shared" si="79"/>
        <v>0</v>
      </c>
      <c r="N312" s="1">
        <f t="shared" si="79"/>
        <v>58.879999999999995</v>
      </c>
      <c r="O312" s="1">
        <f t="shared" si="79"/>
        <v>0</v>
      </c>
      <c r="P312" s="1">
        <f t="shared" si="79"/>
        <v>29.020800000000001</v>
      </c>
      <c r="Q312" s="1">
        <f t="shared" si="79"/>
        <v>0</v>
      </c>
      <c r="R312" s="1">
        <f t="shared" si="79"/>
        <v>34.56</v>
      </c>
      <c r="S312" s="9">
        <f>SUM(B312:R312)</f>
        <v>365.02080000000001</v>
      </c>
      <c r="T312" s="5">
        <f>B313</f>
        <v>273.18200000000002</v>
      </c>
      <c r="U312" s="5">
        <f>H313</f>
        <v>0</v>
      </c>
      <c r="V312" s="5">
        <f>K303</f>
        <v>0</v>
      </c>
    </row>
    <row r="313" spans="1:73" s="5" customFormat="1" ht="18.75">
      <c r="B313" s="5">
        <f>B306*B308*2</f>
        <v>273.18200000000002</v>
      </c>
      <c r="D313" s="7"/>
      <c r="F313" s="7"/>
      <c r="H313" s="5">
        <f>H306*H308*2</f>
        <v>0</v>
      </c>
      <c r="J313" s="7"/>
      <c r="L313" s="7"/>
      <c r="N313" s="7"/>
      <c r="P313" s="7"/>
      <c r="R313" s="7"/>
      <c r="BQ313" s="2"/>
    </row>
    <row r="314" spans="1:73" s="5" customFormat="1" ht="15.75" thickBot="1">
      <c r="B314" s="7"/>
      <c r="D314" s="7"/>
      <c r="F314" s="7"/>
      <c r="H314" s="7"/>
      <c r="J314" s="7"/>
      <c r="L314" s="7"/>
      <c r="N314" s="7"/>
      <c r="P314" s="7"/>
      <c r="R314" s="7"/>
      <c r="BQ314"/>
    </row>
    <row r="315" spans="1:73" s="5" customFormat="1" ht="19.5" thickBot="1">
      <c r="B315" s="203" t="s">
        <v>56</v>
      </c>
      <c r="C315" s="203"/>
      <c r="D315" s="203"/>
      <c r="E315" s="3">
        <f>S316+T316+V316+U316</f>
        <v>810.71280000000002</v>
      </c>
      <c r="BQ315"/>
    </row>
    <row r="316" spans="1:73" s="5" customFormat="1" ht="12.75">
      <c r="B316" s="1">
        <f t="shared" ref="B316:R316" si="80">((B299*B301*2)+(B300*B301*2))*B302</f>
        <v>25.6</v>
      </c>
      <c r="C316" s="1">
        <f t="shared" si="80"/>
        <v>0</v>
      </c>
      <c r="D316" s="1">
        <f t="shared" si="80"/>
        <v>16.64</v>
      </c>
      <c r="E316" s="1">
        <f t="shared" si="80"/>
        <v>0</v>
      </c>
      <c r="F316" s="1">
        <f t="shared" si="80"/>
        <v>62.719999999999992</v>
      </c>
      <c r="G316" s="1">
        <f t="shared" si="80"/>
        <v>0</v>
      </c>
      <c r="H316" s="1">
        <f t="shared" si="80"/>
        <v>9.6000000000000014</v>
      </c>
      <c r="I316" s="1">
        <f t="shared" si="80"/>
        <v>0</v>
      </c>
      <c r="J316" s="1">
        <f t="shared" si="80"/>
        <v>69.12</v>
      </c>
      <c r="K316" s="1">
        <f t="shared" si="80"/>
        <v>0</v>
      </c>
      <c r="L316" s="1">
        <f t="shared" si="80"/>
        <v>58.879999999999995</v>
      </c>
      <c r="M316" s="1">
        <f t="shared" si="80"/>
        <v>0</v>
      </c>
      <c r="N316" s="1">
        <f t="shared" si="80"/>
        <v>58.879999999999995</v>
      </c>
      <c r="O316" s="1">
        <f t="shared" si="80"/>
        <v>0</v>
      </c>
      <c r="P316" s="1">
        <f t="shared" si="80"/>
        <v>29.020800000000001</v>
      </c>
      <c r="Q316" s="1">
        <f t="shared" si="80"/>
        <v>0</v>
      </c>
      <c r="R316" s="1">
        <f t="shared" si="80"/>
        <v>34.56</v>
      </c>
      <c r="S316" s="9">
        <f>SUM(B316:R316)</f>
        <v>365.02080000000001</v>
      </c>
      <c r="T316" s="5">
        <f>B313</f>
        <v>273.18200000000002</v>
      </c>
      <c r="U316" s="5">
        <f>H313</f>
        <v>0</v>
      </c>
      <c r="V316" s="5">
        <f>E318</f>
        <v>172.51</v>
      </c>
      <c r="BQ316" s="4"/>
    </row>
    <row r="317" spans="1:73" s="5" customFormat="1" ht="13.5" thickBot="1">
      <c r="BQ317" s="4"/>
    </row>
    <row r="318" spans="1:73" s="2" customFormat="1" ht="19.5" thickBot="1">
      <c r="B318" s="203" t="s">
        <v>57</v>
      </c>
      <c r="C318" s="203"/>
      <c r="D318" s="203"/>
      <c r="E318" s="3">
        <f>ROUNDUP(SUM(B324:T324),2)</f>
        <v>172.51</v>
      </c>
      <c r="BQ318"/>
    </row>
    <row r="319" spans="1:73" s="1" customFormat="1">
      <c r="B319" s="1" t="s">
        <v>43</v>
      </c>
      <c r="D319" s="1" t="s">
        <v>44</v>
      </c>
      <c r="F319" s="1" t="s">
        <v>45</v>
      </c>
      <c r="H319" s="1" t="s">
        <v>46</v>
      </c>
      <c r="J319" s="1" t="s">
        <v>47</v>
      </c>
      <c r="L319" s="1" t="s">
        <v>48</v>
      </c>
      <c r="N319" s="1" t="s">
        <v>48</v>
      </c>
      <c r="P319" s="1" t="s">
        <v>48</v>
      </c>
      <c r="R319" s="1" t="s">
        <v>48</v>
      </c>
      <c r="T319" s="1" t="s">
        <v>58</v>
      </c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 s="5"/>
      <c r="BR319"/>
      <c r="BS319"/>
      <c r="BT319"/>
      <c r="BU319"/>
    </row>
    <row r="320" spans="1:73" s="1" customFormat="1">
      <c r="B320" s="1">
        <f>B298</f>
        <v>0</v>
      </c>
      <c r="D320" s="1">
        <f>D298</f>
        <v>0</v>
      </c>
      <c r="F320" s="1">
        <f>F298</f>
        <v>0</v>
      </c>
      <c r="H320" s="1">
        <f>H298</f>
        <v>0</v>
      </c>
      <c r="J320" s="1">
        <f>J298</f>
        <v>0</v>
      </c>
      <c r="L320" s="1">
        <f>L298</f>
        <v>0</v>
      </c>
      <c r="N320" s="1">
        <f>N298</f>
        <v>0</v>
      </c>
      <c r="P320" s="1">
        <f>P298</f>
        <v>0</v>
      </c>
      <c r="R320" s="1">
        <f>R298</f>
        <v>0</v>
      </c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</row>
    <row r="321" spans="1:73" s="4" customFormat="1">
      <c r="A321" s="4" t="s">
        <v>49</v>
      </c>
      <c r="B321" s="4">
        <f>B299</f>
        <v>1</v>
      </c>
      <c r="D321" s="4">
        <f>D299</f>
        <v>1.3</v>
      </c>
      <c r="F321" s="4">
        <f>F299</f>
        <v>1.4</v>
      </c>
      <c r="H321" s="4">
        <f>H299</f>
        <v>1.5</v>
      </c>
      <c r="J321" s="4">
        <f>J299</f>
        <v>1.8</v>
      </c>
      <c r="L321" s="4">
        <f>L299</f>
        <v>2.2999999999999998</v>
      </c>
      <c r="N321" s="4">
        <f>N299</f>
        <v>2.2999999999999998</v>
      </c>
      <c r="P321" s="4">
        <f>P299</f>
        <v>1.623</v>
      </c>
      <c r="R321" s="4">
        <f>R299</f>
        <v>1.8</v>
      </c>
      <c r="S321" s="8">
        <f>H457</f>
        <v>0</v>
      </c>
      <c r="T321" s="8">
        <f>B306</f>
        <v>102.7</v>
      </c>
      <c r="BQ321"/>
    </row>
    <row r="322" spans="1:73" s="4" customFormat="1">
      <c r="A322" s="4" t="s">
        <v>50</v>
      </c>
      <c r="B322" s="4">
        <f>B300</f>
        <v>1</v>
      </c>
      <c r="D322" s="4">
        <f>D300</f>
        <v>1.3</v>
      </c>
      <c r="F322" s="4">
        <f>F300</f>
        <v>1.4</v>
      </c>
      <c r="H322" s="4">
        <f>H300</f>
        <v>1.5</v>
      </c>
      <c r="J322" s="4">
        <f>J300</f>
        <v>1.8</v>
      </c>
      <c r="L322" s="4">
        <f>L300</f>
        <v>2.2999999999999998</v>
      </c>
      <c r="N322" s="4">
        <f>N300</f>
        <v>2.2999999999999998</v>
      </c>
      <c r="P322" s="4">
        <f>P300</f>
        <v>1.4</v>
      </c>
      <c r="R322" s="4">
        <f>R300</f>
        <v>1.8</v>
      </c>
      <c r="S322" s="5">
        <f>H307</f>
        <v>2.25</v>
      </c>
      <c r="T322" s="5">
        <v>0.69</v>
      </c>
      <c r="BQ322"/>
    </row>
    <row r="323" spans="1:73" s="1" customFormat="1">
      <c r="A323" s="1" t="s">
        <v>52</v>
      </c>
      <c r="B323" s="1">
        <f>B302</f>
        <v>4</v>
      </c>
      <c r="D323" s="1">
        <f>D302</f>
        <v>2</v>
      </c>
      <c r="F323" s="1">
        <f>F302</f>
        <v>7</v>
      </c>
      <c r="H323" s="1">
        <f>H302</f>
        <v>1</v>
      </c>
      <c r="J323" s="1">
        <f>J302</f>
        <v>6</v>
      </c>
      <c r="L323" s="1">
        <f>L302</f>
        <v>4</v>
      </c>
      <c r="N323" s="1">
        <f>N302</f>
        <v>4</v>
      </c>
      <c r="P323" s="1">
        <f>P302</f>
        <v>3</v>
      </c>
      <c r="R323" s="1">
        <f>R302</f>
        <v>3</v>
      </c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 s="5"/>
      <c r="BR323"/>
      <c r="BS323"/>
      <c r="BT323"/>
      <c r="BU323"/>
    </row>
    <row r="324" spans="1:73" s="5" customFormat="1">
      <c r="B324" s="6">
        <f>B321*B322*B323</f>
        <v>4</v>
      </c>
      <c r="D324" s="6">
        <f>D321*D322*D323</f>
        <v>3.3800000000000003</v>
      </c>
      <c r="F324" s="6">
        <f>F321*F322*F323</f>
        <v>13.719999999999999</v>
      </c>
      <c r="H324" s="6">
        <f>H321*H322*H323</f>
        <v>2.25</v>
      </c>
      <c r="J324" s="6">
        <f>J321*J322*J323</f>
        <v>19.440000000000001</v>
      </c>
      <c r="L324" s="6">
        <f>L321*L322*L323</f>
        <v>21.159999999999997</v>
      </c>
      <c r="N324" s="6">
        <f>N321*N322*N323</f>
        <v>21.159999999999997</v>
      </c>
      <c r="P324" s="6">
        <f>P321*P322*P323</f>
        <v>6.8165999999999993</v>
      </c>
      <c r="R324" s="6">
        <f>R321*R322*R323</f>
        <v>9.7200000000000006</v>
      </c>
      <c r="S324" s="6">
        <f>S321*S322</f>
        <v>0</v>
      </c>
      <c r="T324" s="6">
        <f>T321*T322</f>
        <v>70.863</v>
      </c>
      <c r="BQ324"/>
    </row>
    <row r="326" spans="1:73" s="1" customFormat="1" ht="15.75" thickBot="1"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 s="4"/>
      <c r="BR326"/>
      <c r="BS326"/>
      <c r="BT326"/>
      <c r="BU326"/>
    </row>
    <row r="327" spans="1:73" s="1" customFormat="1" ht="19.5" thickBot="1">
      <c r="B327" s="203" t="s">
        <v>59</v>
      </c>
      <c r="C327" s="203"/>
      <c r="D327" s="203"/>
      <c r="E327" s="3">
        <f>ROUNDUP(SUM(B334:T334),2)</f>
        <v>172.51</v>
      </c>
      <c r="F327" s="10" t="s">
        <v>60</v>
      </c>
      <c r="G327" s="11">
        <f>E327*0.05</f>
        <v>8.6255000000000006</v>
      </c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 s="4"/>
      <c r="BR327"/>
      <c r="BS327"/>
      <c r="BT327"/>
      <c r="BU327"/>
    </row>
    <row r="328" spans="1:73" s="5" customFormat="1">
      <c r="B328" s="5" t="s">
        <v>42</v>
      </c>
      <c r="D328" s="5" t="s">
        <v>59</v>
      </c>
      <c r="BQ328"/>
    </row>
    <row r="329" spans="1:73" s="1" customFormat="1">
      <c r="B329" s="1" t="s">
        <v>43</v>
      </c>
      <c r="D329" s="1" t="s">
        <v>44</v>
      </c>
      <c r="F329" s="1" t="s">
        <v>45</v>
      </c>
      <c r="H329" s="1" t="s">
        <v>46</v>
      </c>
      <c r="J329" s="1" t="s">
        <v>47</v>
      </c>
      <c r="L329" s="1" t="s">
        <v>48</v>
      </c>
      <c r="N329" s="1" t="s">
        <v>44</v>
      </c>
      <c r="P329" s="1" t="s">
        <v>44</v>
      </c>
      <c r="R329" s="1" t="s">
        <v>44</v>
      </c>
      <c r="T329" s="1" t="s">
        <v>58</v>
      </c>
      <c r="U329" s="5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 s="5"/>
      <c r="BR329"/>
      <c r="BS329"/>
      <c r="BT329"/>
      <c r="BU329"/>
    </row>
    <row r="330" spans="1:73" s="1" customFormat="1">
      <c r="B330" s="1">
        <f>B298</f>
        <v>0</v>
      </c>
      <c r="D330" s="1">
        <f>D298</f>
        <v>0</v>
      </c>
      <c r="F330" s="1">
        <f>F298</f>
        <v>0</v>
      </c>
      <c r="H330" s="1">
        <f>H298</f>
        <v>0</v>
      </c>
      <c r="J330" s="1">
        <f>J298</f>
        <v>0</v>
      </c>
      <c r="L330" s="1">
        <f>L298</f>
        <v>0</v>
      </c>
      <c r="N330" s="1">
        <f>N298</f>
        <v>0</v>
      </c>
      <c r="P330" s="1">
        <f>P298</f>
        <v>0</v>
      </c>
      <c r="R330" s="1">
        <f>R298</f>
        <v>0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</row>
    <row r="331" spans="1:73" s="4" customFormat="1" ht="12.75">
      <c r="A331" s="4" t="s">
        <v>49</v>
      </c>
      <c r="B331" s="4">
        <f>B299</f>
        <v>1</v>
      </c>
      <c r="D331" s="4">
        <f>D299</f>
        <v>1.3</v>
      </c>
      <c r="F331" s="4">
        <f>F299</f>
        <v>1.4</v>
      </c>
      <c r="H331" s="4">
        <f>H299</f>
        <v>1.5</v>
      </c>
      <c r="J331" s="4">
        <f>J299</f>
        <v>1.8</v>
      </c>
      <c r="L331" s="4">
        <f>L299</f>
        <v>2.2999999999999998</v>
      </c>
      <c r="N331" s="4">
        <f>N299</f>
        <v>2.2999999999999998</v>
      </c>
      <c r="P331" s="4">
        <f>P299</f>
        <v>1.623</v>
      </c>
      <c r="R331" s="4">
        <f>R299</f>
        <v>1.8</v>
      </c>
      <c r="T331" s="8">
        <f>T321</f>
        <v>102.7</v>
      </c>
      <c r="BQ331" s="5"/>
    </row>
    <row r="332" spans="1:73" s="4" customFormat="1" ht="12.75">
      <c r="A332" s="4" t="s">
        <v>50</v>
      </c>
      <c r="B332" s="4">
        <f>B300</f>
        <v>1</v>
      </c>
      <c r="D332" s="4">
        <f>D300</f>
        <v>1.3</v>
      </c>
      <c r="F332" s="4">
        <f>F300</f>
        <v>1.4</v>
      </c>
      <c r="H332" s="4">
        <f>H300</f>
        <v>1.5</v>
      </c>
      <c r="J332" s="4">
        <f>J300</f>
        <v>1.8</v>
      </c>
      <c r="L332" s="4">
        <f>L300</f>
        <v>2.2999999999999998</v>
      </c>
      <c r="N332" s="4">
        <f>N300</f>
        <v>2.2999999999999998</v>
      </c>
      <c r="P332" s="4">
        <f>P300</f>
        <v>1.4</v>
      </c>
      <c r="R332" s="4">
        <f>R300</f>
        <v>1.8</v>
      </c>
      <c r="T332" s="5">
        <v>0.69</v>
      </c>
      <c r="BQ332" s="5"/>
    </row>
    <row r="333" spans="1:73" s="1" customFormat="1">
      <c r="A333" s="1" t="s">
        <v>52</v>
      </c>
      <c r="B333" s="1">
        <f>B302</f>
        <v>4</v>
      </c>
      <c r="D333" s="1">
        <f>D302</f>
        <v>2</v>
      </c>
      <c r="F333" s="1">
        <f>F302</f>
        <v>7</v>
      </c>
      <c r="H333" s="1">
        <f>H302</f>
        <v>1</v>
      </c>
      <c r="J333" s="1">
        <f>J302</f>
        <v>6</v>
      </c>
      <c r="L333" s="1">
        <f>L302</f>
        <v>4</v>
      </c>
      <c r="N333" s="1">
        <f>N302</f>
        <v>4</v>
      </c>
      <c r="P333" s="1">
        <f>P302</f>
        <v>3</v>
      </c>
      <c r="R333" s="1">
        <f>R302</f>
        <v>3</v>
      </c>
      <c r="T333" s="1">
        <v>1</v>
      </c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 s="5"/>
      <c r="BR333"/>
      <c r="BS333"/>
      <c r="BT333"/>
      <c r="BU333"/>
    </row>
    <row r="334" spans="1:73" s="5" customFormat="1" ht="12.75">
      <c r="B334" s="6">
        <f>B331*B332*B333</f>
        <v>4</v>
      </c>
      <c r="D334" s="6">
        <f>D331*D332*D333</f>
        <v>3.3800000000000003</v>
      </c>
      <c r="F334" s="6">
        <f>F331*F332*F333</f>
        <v>13.719999999999999</v>
      </c>
      <c r="H334" s="6">
        <f>H331*H332*H333</f>
        <v>2.25</v>
      </c>
      <c r="J334" s="6">
        <f>J331*J332*J333</f>
        <v>19.440000000000001</v>
      </c>
      <c r="L334" s="6">
        <f>L331*L332*L333</f>
        <v>21.159999999999997</v>
      </c>
      <c r="N334" s="6">
        <f>N331*N332*N333</f>
        <v>21.159999999999997</v>
      </c>
      <c r="P334" s="6">
        <f>P331*P332*P333</f>
        <v>6.8165999999999993</v>
      </c>
      <c r="R334" s="6">
        <f>R331*R332*R333</f>
        <v>9.7200000000000006</v>
      </c>
      <c r="T334" s="6">
        <f>T331*T332*T333</f>
        <v>70.863</v>
      </c>
    </row>
    <row r="335" spans="1:73" s="1" customFormat="1" ht="15.75" thickBot="1"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 s="5"/>
      <c r="BR335"/>
      <c r="BS335"/>
      <c r="BT335"/>
      <c r="BU335"/>
    </row>
    <row r="336" spans="1:73" s="5" customFormat="1" ht="19.5" thickBot="1">
      <c r="B336" s="203" t="s">
        <v>61</v>
      </c>
      <c r="C336" s="203"/>
      <c r="D336" s="203"/>
      <c r="E336" s="206"/>
      <c r="F336" s="3">
        <f>ROUNDUP(B340,2)</f>
        <v>16.3</v>
      </c>
    </row>
    <row r="337" spans="1:73" s="5" customFormat="1" ht="12.75">
      <c r="A337" s="5" t="s">
        <v>54</v>
      </c>
      <c r="B337" s="8">
        <f>B306</f>
        <v>102.7</v>
      </c>
    </row>
    <row r="338" spans="1:73" s="5" customFormat="1">
      <c r="A338" s="5" t="s">
        <v>50</v>
      </c>
      <c r="B338" s="5">
        <f>B307</f>
        <v>0.69</v>
      </c>
      <c r="BQ338"/>
    </row>
    <row r="339" spans="1:73" s="5" customFormat="1">
      <c r="A339" s="5" t="s">
        <v>51</v>
      </c>
      <c r="B339" s="5">
        <v>0.23</v>
      </c>
      <c r="BQ339"/>
    </row>
    <row r="340" spans="1:73" s="5" customFormat="1">
      <c r="B340" s="6">
        <f>B337*B338*B339</f>
        <v>16.298490000000001</v>
      </c>
      <c r="BQ340"/>
    </row>
    <row r="341" spans="1:73" s="5" customFormat="1" ht="12.75"/>
    <row r="342" spans="1:73" s="5" customFormat="1" ht="13.5" thickBot="1"/>
    <row r="343" spans="1:73" s="1" customFormat="1" ht="19.5" thickBot="1">
      <c r="B343" s="203" t="s">
        <v>62</v>
      </c>
      <c r="C343" s="203"/>
      <c r="D343" s="206"/>
      <c r="E343" s="3">
        <f>D344*D345</f>
        <v>32.159999999999997</v>
      </c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 s="5"/>
      <c r="BR343"/>
      <c r="BS343"/>
      <c r="BT343"/>
      <c r="BU343"/>
    </row>
    <row r="344" spans="1:73" s="1" customFormat="1">
      <c r="C344" s="1" t="s">
        <v>63</v>
      </c>
      <c r="D344" s="1">
        <v>214.4</v>
      </c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</row>
    <row r="345" spans="1:73" s="1" customFormat="1">
      <c r="C345" s="1" t="s">
        <v>64</v>
      </c>
      <c r="D345" s="1">
        <v>0.15</v>
      </c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</row>
    <row r="346" spans="1:73" s="5" customFormat="1" ht="12.75">
      <c r="C346" s="5" t="s">
        <v>65</v>
      </c>
      <c r="D346" s="5">
        <v>64.400000000000006</v>
      </c>
      <c r="BQ346" s="4"/>
    </row>
    <row r="347" spans="1:73" s="5" customFormat="1" ht="13.5" thickBot="1">
      <c r="BQ347" s="4"/>
    </row>
    <row r="348" spans="1:73" s="5" customFormat="1" ht="19.5" thickBot="1">
      <c r="B348" s="203" t="s">
        <v>66</v>
      </c>
      <c r="C348" s="203"/>
      <c r="D348" s="203"/>
      <c r="E348" s="203"/>
      <c r="F348" s="3">
        <f>B355+D355+F355+H355+J355+L355+N355+P355+R355</f>
        <v>40.658639999999998</v>
      </c>
      <c r="BQ348"/>
    </row>
    <row r="349" spans="1:73" s="1" customFormat="1">
      <c r="B349" s="1" t="s">
        <v>43</v>
      </c>
      <c r="D349" s="1" t="s">
        <v>44</v>
      </c>
      <c r="F349" s="1" t="s">
        <v>45</v>
      </c>
      <c r="H349" s="1" t="s">
        <v>46</v>
      </c>
      <c r="J349" s="1" t="s">
        <v>47</v>
      </c>
      <c r="L349" s="1" t="s">
        <v>48</v>
      </c>
      <c r="N349" s="1" t="s">
        <v>499</v>
      </c>
      <c r="P349" s="1" t="s">
        <v>500</v>
      </c>
      <c r="R349" s="1" t="s">
        <v>501</v>
      </c>
      <c r="S349"/>
      <c r="T349" s="1" t="s">
        <v>502</v>
      </c>
      <c r="U349"/>
      <c r="V349" s="1" t="s">
        <v>503</v>
      </c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</row>
    <row r="350" spans="1:73" s="1" customFormat="1">
      <c r="B350" s="1">
        <f>B298</f>
        <v>0</v>
      </c>
      <c r="D350" s="1">
        <f>D298</f>
        <v>0</v>
      </c>
      <c r="F350" s="1">
        <f>F298</f>
        <v>0</v>
      </c>
      <c r="H350" s="1">
        <f>H298</f>
        <v>0</v>
      </c>
      <c r="J350" s="1">
        <f>J298</f>
        <v>0</v>
      </c>
      <c r="L350" s="1">
        <f>L298</f>
        <v>0</v>
      </c>
      <c r="N350" s="1">
        <f>N298</f>
        <v>0</v>
      </c>
      <c r="P350" s="1">
        <f>P298</f>
        <v>0</v>
      </c>
      <c r="R350" s="1">
        <f>R298</f>
        <v>0</v>
      </c>
      <c r="S350"/>
      <c r="T350" s="1">
        <f>T298</f>
        <v>0</v>
      </c>
      <c r="U350"/>
      <c r="V350" s="1">
        <f>V298</f>
        <v>0</v>
      </c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 s="5"/>
      <c r="BR350"/>
      <c r="BS350"/>
      <c r="BT350"/>
      <c r="BU350"/>
    </row>
    <row r="351" spans="1:73" s="4" customFormat="1" ht="12.75">
      <c r="A351" s="4" t="s">
        <v>49</v>
      </c>
      <c r="B351" s="4">
        <f>B299</f>
        <v>1</v>
      </c>
      <c r="D351" s="4">
        <f>D299</f>
        <v>1.3</v>
      </c>
      <c r="F351" s="4">
        <f>F299</f>
        <v>1.4</v>
      </c>
      <c r="H351" s="4">
        <f>H299</f>
        <v>1.5</v>
      </c>
      <c r="J351" s="4">
        <f>J299</f>
        <v>1.8</v>
      </c>
      <c r="L351" s="4">
        <f>L299</f>
        <v>2.2999999999999998</v>
      </c>
      <c r="N351" s="4">
        <f>N299</f>
        <v>2.2999999999999998</v>
      </c>
      <c r="P351" s="4">
        <f>P299</f>
        <v>1.623</v>
      </c>
      <c r="R351" s="4">
        <f>R299</f>
        <v>1.8</v>
      </c>
      <c r="T351" s="4">
        <v>1.8</v>
      </c>
      <c r="V351" s="4">
        <v>1.73</v>
      </c>
      <c r="BQ351" s="5"/>
    </row>
    <row r="352" spans="1:73" s="4" customFormat="1" ht="12.75">
      <c r="A352" s="4" t="s">
        <v>50</v>
      </c>
      <c r="B352" s="4">
        <f>B300</f>
        <v>1</v>
      </c>
      <c r="D352" s="4">
        <f>D300</f>
        <v>1.3</v>
      </c>
      <c r="F352" s="4">
        <f>F300</f>
        <v>1.4</v>
      </c>
      <c r="H352" s="4">
        <f>H300</f>
        <v>1.5</v>
      </c>
      <c r="J352" s="4">
        <f>J300</f>
        <v>1.8</v>
      </c>
      <c r="L352" s="4">
        <f>L300</f>
        <v>2.2999999999999998</v>
      </c>
      <c r="N352" s="4">
        <f>N300</f>
        <v>2.2999999999999998</v>
      </c>
      <c r="P352" s="4">
        <f>P300</f>
        <v>1.4</v>
      </c>
      <c r="R352" s="4">
        <f>R300</f>
        <v>1.8</v>
      </c>
      <c r="T352" s="4">
        <v>1.8</v>
      </c>
      <c r="V352" s="4">
        <v>1.9</v>
      </c>
      <c r="BQ352" s="5"/>
    </row>
    <row r="353" spans="1:73" s="1" customFormat="1">
      <c r="A353" s="1" t="s">
        <v>51</v>
      </c>
      <c r="B353" s="4">
        <v>0.4</v>
      </c>
      <c r="D353" s="4">
        <v>0.4</v>
      </c>
      <c r="F353" s="4">
        <v>0.4</v>
      </c>
      <c r="H353" s="4">
        <v>0.4</v>
      </c>
      <c r="J353" s="4">
        <v>0.4</v>
      </c>
      <c r="L353" s="4">
        <v>0.4</v>
      </c>
      <c r="N353" s="4">
        <v>0.4</v>
      </c>
      <c r="P353" s="4">
        <v>0.4</v>
      </c>
      <c r="R353" s="4">
        <v>0.4</v>
      </c>
      <c r="S353"/>
      <c r="T353" s="4">
        <v>0.4</v>
      </c>
      <c r="U353"/>
      <c r="V353" s="4">
        <v>0.4</v>
      </c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</row>
    <row r="354" spans="1:73" s="1" customFormat="1">
      <c r="A354" s="1" t="s">
        <v>52</v>
      </c>
      <c r="B354" s="1">
        <f>B302</f>
        <v>4</v>
      </c>
      <c r="D354" s="1">
        <f>D302</f>
        <v>2</v>
      </c>
      <c r="F354" s="1">
        <f>F302</f>
        <v>7</v>
      </c>
      <c r="H354" s="1">
        <f>H302</f>
        <v>1</v>
      </c>
      <c r="J354" s="1">
        <f>J302</f>
        <v>6</v>
      </c>
      <c r="L354" s="1">
        <f>L302</f>
        <v>4</v>
      </c>
      <c r="N354" s="1">
        <f>N302</f>
        <v>4</v>
      </c>
      <c r="P354" s="1">
        <f>P302</f>
        <v>3</v>
      </c>
      <c r="R354" s="1">
        <f>R302</f>
        <v>3</v>
      </c>
      <c r="S354"/>
      <c r="T354" s="1">
        <v>3</v>
      </c>
      <c r="U354"/>
      <c r="V354" s="1">
        <v>3</v>
      </c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 s="4"/>
      <c r="BR354"/>
      <c r="BS354"/>
      <c r="BT354"/>
      <c r="BU354"/>
    </row>
    <row r="355" spans="1:73" s="5" customFormat="1">
      <c r="B355" s="6">
        <f>B351*B352*B353*B354</f>
        <v>1.6</v>
      </c>
      <c r="D355" s="6">
        <f>D351*D352*D353*D354</f>
        <v>1.3520000000000003</v>
      </c>
      <c r="F355" s="6">
        <f>F351*F352*F353*F354</f>
        <v>5.4879999999999995</v>
      </c>
      <c r="H355" s="6">
        <f>H351*H352*H353*H354</f>
        <v>0.9</v>
      </c>
      <c r="J355" s="6">
        <f>J351*J352*J353*J354</f>
        <v>7.7760000000000016</v>
      </c>
      <c r="L355" s="6">
        <f>L351*L352*L353*L354</f>
        <v>8.4639999999999986</v>
      </c>
      <c r="N355" s="6">
        <f>N351*N352*N353*N354</f>
        <v>8.4639999999999986</v>
      </c>
      <c r="P355" s="6">
        <f>P351*P352*P353*P354</f>
        <v>2.7266399999999997</v>
      </c>
      <c r="R355" s="6">
        <f>R351*R352*R353*R354</f>
        <v>3.8880000000000008</v>
      </c>
      <c r="T355" s="6">
        <f>T351*T352*T353*T354</f>
        <v>3.8880000000000008</v>
      </c>
      <c r="V355" s="6">
        <f>V351*V352*V353*V354</f>
        <v>3.9443999999999999</v>
      </c>
      <c r="BQ355"/>
    </row>
    <row r="356" spans="1:73" s="5" customFormat="1" ht="12.75">
      <c r="BQ356" s="4"/>
    </row>
    <row r="357" spans="1:73" s="5" customFormat="1" ht="18.75">
      <c r="B357" s="203" t="s">
        <v>67</v>
      </c>
      <c r="C357" s="203"/>
      <c r="D357" s="203"/>
      <c r="E357" s="203"/>
      <c r="BQ357"/>
    </row>
    <row r="358" spans="1:73" s="1" customFormat="1">
      <c r="B358" s="1" t="s">
        <v>43</v>
      </c>
      <c r="D358" s="1" t="s">
        <v>44</v>
      </c>
      <c r="F358" s="1" t="s">
        <v>45</v>
      </c>
      <c r="H358" s="1" t="s">
        <v>46</v>
      </c>
      <c r="J358" s="1" t="s">
        <v>47</v>
      </c>
      <c r="L358" s="1" t="s">
        <v>48</v>
      </c>
      <c r="N358" s="1" t="s">
        <v>499</v>
      </c>
      <c r="P358" s="1" t="s">
        <v>500</v>
      </c>
      <c r="R358" s="1" t="s">
        <v>501</v>
      </c>
      <c r="T358" s="1" t="s">
        <v>502</v>
      </c>
      <c r="V358" s="1" t="s">
        <v>503</v>
      </c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 s="5"/>
      <c r="BR358"/>
      <c r="BS358"/>
      <c r="BT358"/>
      <c r="BU358"/>
    </row>
    <row r="359" spans="1:73" s="4" customFormat="1">
      <c r="A359" s="4" t="s">
        <v>49</v>
      </c>
      <c r="B359" s="4">
        <v>1.17</v>
      </c>
      <c r="D359" s="4">
        <v>1.47</v>
      </c>
      <c r="F359" s="4">
        <v>1.57</v>
      </c>
      <c r="H359" s="4">
        <v>1.67</v>
      </c>
      <c r="J359" s="4">
        <v>1.97</v>
      </c>
      <c r="K359" s="1"/>
      <c r="L359" s="1">
        <v>2.5</v>
      </c>
      <c r="N359" s="1">
        <v>2.8</v>
      </c>
      <c r="P359" s="1">
        <v>1.7</v>
      </c>
      <c r="R359" s="1">
        <v>2</v>
      </c>
      <c r="T359" s="1">
        <v>2</v>
      </c>
      <c r="V359" s="1">
        <v>2</v>
      </c>
      <c r="BQ359"/>
    </row>
    <row r="360" spans="1:73" s="1" customFormat="1">
      <c r="A360" s="1" t="s">
        <v>52</v>
      </c>
      <c r="B360" s="1">
        <v>7</v>
      </c>
      <c r="D360" s="1">
        <v>10</v>
      </c>
      <c r="F360" s="1">
        <v>11</v>
      </c>
      <c r="H360" s="1">
        <v>11</v>
      </c>
      <c r="J360" s="1">
        <v>14</v>
      </c>
      <c r="L360" s="1">
        <v>18</v>
      </c>
      <c r="N360" s="1">
        <v>33</v>
      </c>
      <c r="P360" s="1">
        <v>11</v>
      </c>
      <c r="R360" s="1">
        <v>14</v>
      </c>
      <c r="T360" s="1">
        <v>14</v>
      </c>
      <c r="U360" s="10"/>
      <c r="V360" s="1">
        <v>14</v>
      </c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</row>
    <row r="361" spans="1:73" s="4" customFormat="1" ht="12.75">
      <c r="A361" s="4" t="s">
        <v>50</v>
      </c>
      <c r="B361" s="4">
        <f>B359</f>
        <v>1.17</v>
      </c>
      <c r="D361" s="4">
        <f>D359</f>
        <v>1.47</v>
      </c>
      <c r="F361" s="4">
        <f>F359</f>
        <v>1.57</v>
      </c>
      <c r="H361" s="4">
        <f>H359</f>
        <v>1.67</v>
      </c>
      <c r="J361" s="4">
        <f>J359</f>
        <v>1.97</v>
      </c>
      <c r="L361" s="4">
        <f>L359</f>
        <v>2.5</v>
      </c>
      <c r="N361" s="4">
        <f>N359</f>
        <v>2.8</v>
      </c>
      <c r="P361" s="4">
        <f>P359</f>
        <v>1.7</v>
      </c>
      <c r="R361" s="4">
        <v>2</v>
      </c>
      <c r="T361" s="4">
        <v>2</v>
      </c>
      <c r="U361" s="5"/>
      <c r="V361" s="4">
        <v>2</v>
      </c>
      <c r="BQ361" s="5"/>
    </row>
    <row r="362" spans="1:73" s="1" customFormat="1">
      <c r="A362" s="1" t="s">
        <v>52</v>
      </c>
      <c r="B362" s="1">
        <f>B360</f>
        <v>7</v>
      </c>
      <c r="D362" s="1">
        <v>10</v>
      </c>
      <c r="F362" s="1">
        <f>F360</f>
        <v>11</v>
      </c>
      <c r="H362" s="12">
        <v>11</v>
      </c>
      <c r="J362" s="12">
        <v>14</v>
      </c>
      <c r="L362" s="1">
        <v>18</v>
      </c>
      <c r="N362" s="12">
        <f>N360</f>
        <v>33</v>
      </c>
      <c r="P362" s="12">
        <f>P360</f>
        <v>11</v>
      </c>
      <c r="R362" s="12">
        <v>14</v>
      </c>
      <c r="T362" s="12">
        <v>14</v>
      </c>
      <c r="U362" s="5"/>
      <c r="V362" s="12">
        <v>14</v>
      </c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 s="5"/>
      <c r="BR362"/>
      <c r="BS362"/>
      <c r="BT362"/>
      <c r="BU362"/>
    </row>
    <row r="363" spans="1:73" s="5" customFormat="1" ht="12.75">
      <c r="B363" s="5">
        <f>(B359*B360)+(B361*B362)</f>
        <v>16.38</v>
      </c>
      <c r="D363" s="5">
        <f>(D359*D360)+(D361*D362)</f>
        <v>29.4</v>
      </c>
      <c r="F363" s="5">
        <f>(F359*F360)+(F361*F362)</f>
        <v>34.54</v>
      </c>
      <c r="H363" s="5">
        <f>(H359*H360)+(H361*H362)</f>
        <v>36.739999999999995</v>
      </c>
      <c r="J363" s="5">
        <f>(J359*J360)+(J361*J362)</f>
        <v>55.16</v>
      </c>
      <c r="L363" s="5">
        <f>(L359*L360)+(L361*L362)</f>
        <v>90</v>
      </c>
      <c r="N363" s="5">
        <f>(N359*N360)+(N361*N362)</f>
        <v>184.79999999999998</v>
      </c>
      <c r="P363" s="5">
        <f>(P359*P360)+(P361*P362)</f>
        <v>37.4</v>
      </c>
      <c r="R363" s="5">
        <f>(R359*R360)+(R361*R362)</f>
        <v>56</v>
      </c>
      <c r="T363" s="5">
        <f>(T359*T360)+(T361*T362)</f>
        <v>56</v>
      </c>
      <c r="V363" s="5">
        <f>(V359*V360)+(V361*V362)</f>
        <v>56</v>
      </c>
    </row>
    <row r="364" spans="1:73" s="1" customFormat="1">
      <c r="A364" s="1" t="s">
        <v>52</v>
      </c>
      <c r="B364" s="1">
        <f>B354</f>
        <v>4</v>
      </c>
      <c r="D364" s="1">
        <f>D354</f>
        <v>2</v>
      </c>
      <c r="F364" s="1">
        <f>F354</f>
        <v>7</v>
      </c>
      <c r="H364" s="1">
        <f>H354</f>
        <v>1</v>
      </c>
      <c r="J364" s="1">
        <f>J354</f>
        <v>6</v>
      </c>
      <c r="L364" s="1">
        <v>4</v>
      </c>
      <c r="N364" s="1">
        <v>4</v>
      </c>
      <c r="P364" s="1">
        <f>P354</f>
        <v>3</v>
      </c>
      <c r="R364" s="1">
        <f>R354</f>
        <v>3</v>
      </c>
      <c r="T364" s="1">
        <v>3</v>
      </c>
      <c r="V364" s="1">
        <v>3</v>
      </c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 s="5"/>
      <c r="BR364"/>
      <c r="BS364"/>
      <c r="BT364"/>
      <c r="BU364"/>
    </row>
    <row r="365" spans="1:73" s="1" customFormat="1">
      <c r="B365" s="1" t="s">
        <v>68</v>
      </c>
      <c r="C365" s="1" t="s">
        <v>69</v>
      </c>
      <c r="D365" s="1" t="s">
        <v>68</v>
      </c>
      <c r="E365" s="1" t="s">
        <v>68</v>
      </c>
      <c r="F365" s="1" t="s">
        <v>68</v>
      </c>
      <c r="G365" s="1" t="s">
        <v>68</v>
      </c>
      <c r="H365" s="1" t="s">
        <v>68</v>
      </c>
      <c r="I365" s="1" t="s">
        <v>68</v>
      </c>
      <c r="J365" s="1" t="s">
        <v>68</v>
      </c>
      <c r="K365" s="1" t="s">
        <v>68</v>
      </c>
      <c r="L365" s="1" t="s">
        <v>68</v>
      </c>
      <c r="M365" s="1" t="s">
        <v>68</v>
      </c>
      <c r="N365" s="1" t="s">
        <v>68</v>
      </c>
      <c r="O365" s="1" t="s">
        <v>68</v>
      </c>
      <c r="P365" s="1" t="s">
        <v>68</v>
      </c>
      <c r="Q365" s="1" t="s">
        <v>68</v>
      </c>
      <c r="R365" s="1" t="s">
        <v>68</v>
      </c>
      <c r="T365" s="1" t="s">
        <v>68</v>
      </c>
      <c r="V365" s="1" t="s">
        <v>68</v>
      </c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 s="5"/>
      <c r="BR365"/>
      <c r="BS365"/>
      <c r="BT365"/>
      <c r="BU365"/>
    </row>
    <row r="366" spans="1:73" s="5" customFormat="1" ht="12.75">
      <c r="B366" s="5">
        <f>B363*B364</f>
        <v>65.52</v>
      </c>
      <c r="D366" s="5">
        <f>D363*D364</f>
        <v>58.8</v>
      </c>
      <c r="F366" s="5">
        <f>F363*F364</f>
        <v>241.78</v>
      </c>
      <c r="H366" s="5">
        <f>H363*H364</f>
        <v>36.739999999999995</v>
      </c>
      <c r="J366" s="5">
        <f>J363*J364</f>
        <v>330.96</v>
      </c>
      <c r="L366" s="5">
        <f>L363*L364</f>
        <v>360</v>
      </c>
      <c r="N366" s="5">
        <f>N363*N364</f>
        <v>739.19999999999993</v>
      </c>
      <c r="P366" s="5">
        <f>P363*P364</f>
        <v>112.19999999999999</v>
      </c>
      <c r="R366" s="5">
        <f>R363*R364</f>
        <v>168</v>
      </c>
      <c r="T366" s="5">
        <f>T363*T364</f>
        <v>168</v>
      </c>
      <c r="V366" s="5">
        <f>V363*V364</f>
        <v>168</v>
      </c>
    </row>
    <row r="367" spans="1:73" s="5" customFormat="1" ht="13.5" thickBot="1"/>
    <row r="368" spans="1:73" s="5" customFormat="1" ht="16.5" thickBot="1">
      <c r="C368" s="13" t="s">
        <v>70</v>
      </c>
      <c r="D368" s="14"/>
      <c r="E368" s="15">
        <f>D368*2.467</f>
        <v>0</v>
      </c>
    </row>
    <row r="369" spans="1:73" s="5" customFormat="1" ht="16.5" thickBot="1">
      <c r="C369" s="13" t="s">
        <v>71</v>
      </c>
      <c r="D369" s="14"/>
      <c r="E369" s="16">
        <f>D369*1.579</f>
        <v>0</v>
      </c>
      <c r="BQ369"/>
    </row>
    <row r="370" spans="1:73" s="5" customFormat="1" ht="16.5" thickBot="1">
      <c r="C370" s="13" t="s">
        <v>68</v>
      </c>
      <c r="D370" s="14">
        <f>SUM(B366:P366)</f>
        <v>1945.2</v>
      </c>
      <c r="E370" s="17">
        <f>D370*0.888</f>
        <v>1727.3376000000001</v>
      </c>
      <c r="BQ370"/>
    </row>
    <row r="371" spans="1:73" s="5" customFormat="1" ht="13.5" thickBot="1">
      <c r="BQ371" s="4"/>
    </row>
    <row r="372" spans="1:73" s="5" customFormat="1" ht="19.5" thickBot="1">
      <c r="B372" s="203" t="s">
        <v>72</v>
      </c>
      <c r="C372" s="203"/>
      <c r="D372" s="203"/>
      <c r="E372" s="203"/>
      <c r="F372" s="3">
        <f>ROUNDUP(SUM(B380:R380),2)</f>
        <v>91.26</v>
      </c>
      <c r="BQ372" s="4"/>
    </row>
    <row r="373" spans="1:73" s="5" customFormat="1">
      <c r="F373" s="18"/>
      <c r="BQ373"/>
    </row>
    <row r="374" spans="1:73" s="1" customFormat="1">
      <c r="B374" s="1" t="s">
        <v>43</v>
      </c>
      <c r="D374" s="1" t="s">
        <v>44</v>
      </c>
      <c r="F374" s="1" t="s">
        <v>45</v>
      </c>
      <c r="H374" s="1" t="s">
        <v>46</v>
      </c>
      <c r="J374" s="1" t="str">
        <f>J358</f>
        <v>TYPE 5</v>
      </c>
      <c r="L374" s="1" t="str">
        <f>L358</f>
        <v>TYPE 6</v>
      </c>
      <c r="N374" s="1" t="str">
        <f>N358</f>
        <v>TYPE 7</v>
      </c>
      <c r="O374" s="5"/>
      <c r="P374" s="1" t="str">
        <f>P358</f>
        <v>TYPE 8</v>
      </c>
      <c r="Q374" s="5"/>
      <c r="R374" s="1" t="str">
        <f>R358</f>
        <v>TYPE 9</v>
      </c>
      <c r="S374"/>
      <c r="T374" s="1" t="str">
        <f>T358</f>
        <v>TYPE 10</v>
      </c>
      <c r="U374"/>
      <c r="V374" s="1" t="str">
        <f>V358</f>
        <v>TYPE 11</v>
      </c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</row>
    <row r="375" spans="1:73" s="1" customFormat="1">
      <c r="B375" s="1">
        <f>B298</f>
        <v>0</v>
      </c>
      <c r="D375" s="1">
        <f>D298</f>
        <v>0</v>
      </c>
      <c r="F375" s="1">
        <f>F298</f>
        <v>0</v>
      </c>
      <c r="H375" s="1">
        <f>H298</f>
        <v>0</v>
      </c>
      <c r="J375" s="1">
        <f>J298</f>
        <v>0</v>
      </c>
      <c r="L375" s="1">
        <f>L298</f>
        <v>0</v>
      </c>
      <c r="N375" s="1">
        <f>N298</f>
        <v>0</v>
      </c>
      <c r="O375" s="5"/>
      <c r="P375" s="1">
        <f>P298</f>
        <v>0</v>
      </c>
      <c r="R375" s="1">
        <f>R298</f>
        <v>0</v>
      </c>
      <c r="S375"/>
      <c r="T375" s="1">
        <f>T298</f>
        <v>0</v>
      </c>
      <c r="U375"/>
      <c r="V375" s="1">
        <f>V298</f>
        <v>0</v>
      </c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 s="5"/>
      <c r="BR375"/>
      <c r="BS375"/>
      <c r="BT375"/>
      <c r="BU375"/>
    </row>
    <row r="376" spans="1:73" s="4" customFormat="1" ht="12.75">
      <c r="A376" s="4" t="s">
        <v>49</v>
      </c>
      <c r="B376" s="4">
        <f>B299</f>
        <v>1</v>
      </c>
      <c r="D376" s="4">
        <f>D299</f>
        <v>1.3</v>
      </c>
      <c r="F376" s="4">
        <f>F299</f>
        <v>1.4</v>
      </c>
      <c r="H376" s="4">
        <f>H299</f>
        <v>1.5</v>
      </c>
      <c r="J376" s="4">
        <f>J299</f>
        <v>1.8</v>
      </c>
      <c r="L376" s="4">
        <f>L299</f>
        <v>2.2999999999999998</v>
      </c>
      <c r="N376" s="4">
        <f>N299</f>
        <v>2.2999999999999998</v>
      </c>
      <c r="P376" s="4">
        <f>P299</f>
        <v>1.623</v>
      </c>
      <c r="R376" s="4">
        <f>R299</f>
        <v>1.8</v>
      </c>
      <c r="T376" s="4">
        <v>1.8</v>
      </c>
      <c r="V376" s="4">
        <v>1.73</v>
      </c>
      <c r="BQ376" s="5"/>
    </row>
    <row r="377" spans="1:73" s="4" customFormat="1">
      <c r="A377" s="4" t="s">
        <v>50</v>
      </c>
      <c r="B377" s="4">
        <f>B300</f>
        <v>1</v>
      </c>
      <c r="D377" s="4">
        <f>D300</f>
        <v>1.3</v>
      </c>
      <c r="F377" s="4">
        <f>F300</f>
        <v>1.4</v>
      </c>
      <c r="H377" s="4">
        <f>H300</f>
        <v>1.5</v>
      </c>
      <c r="J377" s="4">
        <f>J300</f>
        <v>1.8</v>
      </c>
      <c r="L377" s="4">
        <f>L300</f>
        <v>2.2999999999999998</v>
      </c>
      <c r="N377" s="4">
        <f>N300</f>
        <v>2.2999999999999998</v>
      </c>
      <c r="P377" s="4">
        <f>P300</f>
        <v>1.4</v>
      </c>
      <c r="R377" s="4">
        <f>R300</f>
        <v>1.8</v>
      </c>
      <c r="T377" s="4">
        <v>1.8</v>
      </c>
      <c r="V377" s="4">
        <v>1.9</v>
      </c>
      <c r="BQ377"/>
    </row>
    <row r="378" spans="1:73" s="1" customFormat="1">
      <c r="A378" s="1" t="s">
        <v>51</v>
      </c>
      <c r="B378" s="4">
        <f>B353</f>
        <v>0.4</v>
      </c>
      <c r="D378" s="4">
        <f>D353</f>
        <v>0.4</v>
      </c>
      <c r="F378" s="4">
        <f>F353</f>
        <v>0.4</v>
      </c>
      <c r="H378" s="4">
        <f>H353</f>
        <v>0.4</v>
      </c>
      <c r="J378" s="4">
        <f>J353</f>
        <v>0.4</v>
      </c>
      <c r="L378" s="4">
        <f>L353</f>
        <v>0.4</v>
      </c>
      <c r="N378" s="4">
        <f>N353</f>
        <v>0.4</v>
      </c>
      <c r="P378" s="4">
        <f>P353</f>
        <v>0.4</v>
      </c>
      <c r="R378" s="4">
        <f>R353</f>
        <v>0.4</v>
      </c>
      <c r="S378"/>
      <c r="T378" s="4">
        <f>T353</f>
        <v>0.4</v>
      </c>
      <c r="U378"/>
      <c r="V378" s="4">
        <v>0.4</v>
      </c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</row>
    <row r="379" spans="1:73" s="1" customFormat="1">
      <c r="A379" s="1" t="s">
        <v>52</v>
      </c>
      <c r="B379" s="1">
        <f>B302</f>
        <v>4</v>
      </c>
      <c r="D379" s="1">
        <f>D302</f>
        <v>2</v>
      </c>
      <c r="F379" s="1">
        <f>F302</f>
        <v>7</v>
      </c>
      <c r="H379" s="1">
        <f>H302</f>
        <v>1</v>
      </c>
      <c r="J379" s="1">
        <f>J302</f>
        <v>6</v>
      </c>
      <c r="L379" s="1">
        <f>L302</f>
        <v>4</v>
      </c>
      <c r="N379" s="1">
        <f>N302</f>
        <v>4</v>
      </c>
      <c r="P379" s="1">
        <f>P302</f>
        <v>3</v>
      </c>
      <c r="R379" s="1">
        <f>R302</f>
        <v>3</v>
      </c>
      <c r="S379"/>
      <c r="T379" s="1">
        <v>3</v>
      </c>
      <c r="U379"/>
      <c r="V379" s="1">
        <v>3</v>
      </c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</row>
    <row r="380" spans="1:73" s="5" customFormat="1">
      <c r="B380" s="6">
        <f>((B376*B378*2)+(B377*B378*2))*B379</f>
        <v>6.4</v>
      </c>
      <c r="D380" s="6">
        <f>((D376*D378*2)+(D377*D378*2))*D379</f>
        <v>4.16</v>
      </c>
      <c r="F380" s="6">
        <f>((F376*F378*2)+(F377*F378*2))*F379</f>
        <v>15.679999999999998</v>
      </c>
      <c r="H380" s="6">
        <f>((H376*H378*2)+(H377*H378*2))*H379</f>
        <v>2.4000000000000004</v>
      </c>
      <c r="J380" s="6">
        <f>((J376*J378*2)+(J377*J378*2))*J379</f>
        <v>17.28</v>
      </c>
      <c r="L380" s="6">
        <f>((L376*L378*2)+(L377*L378*2))*L379</f>
        <v>14.719999999999999</v>
      </c>
      <c r="N380" s="6">
        <f>((N376*N378*2)+(N377*N378*2))*N379</f>
        <v>14.719999999999999</v>
      </c>
      <c r="P380" s="6">
        <f>((P376*P378*2)+(P377*P378*2))*P379</f>
        <v>7.2552000000000003</v>
      </c>
      <c r="R380" s="6">
        <f>((R376*R378*2)+(R377*R378*2))*R379</f>
        <v>8.64</v>
      </c>
      <c r="T380" s="6">
        <f>((T376*T378*2)+(T377*T378*2))*T379</f>
        <v>8.64</v>
      </c>
      <c r="V380" s="6">
        <f>((V376*V378*2)+(V377*V378*2))*V379</f>
        <v>8.7119999999999997</v>
      </c>
      <c r="BQ380"/>
    </row>
    <row r="381" spans="1:73" s="5" customFormat="1">
      <c r="BQ381"/>
    </row>
    <row r="382" spans="1:73" s="1" customFormat="1" ht="15.75" thickBot="1"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</row>
    <row r="383" spans="1:73" s="1" customFormat="1" ht="19.5" thickBot="1">
      <c r="B383" s="203" t="s">
        <v>73</v>
      </c>
      <c r="C383" s="203"/>
      <c r="D383" s="203"/>
      <c r="E383" s="3">
        <f>ROUNDUP(SUM(B389:R389),2)</f>
        <v>4.3099999999999996</v>
      </c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</row>
    <row r="384" spans="1:73" s="1" customFormat="1">
      <c r="B384" s="10" t="s">
        <v>74</v>
      </c>
      <c r="C384" s="10" t="s">
        <v>75</v>
      </c>
      <c r="D384" s="10" t="s">
        <v>76</v>
      </c>
      <c r="E384" s="10" t="s">
        <v>77</v>
      </c>
      <c r="F384" s="10" t="s">
        <v>78</v>
      </c>
      <c r="G384" s="10" t="s">
        <v>79</v>
      </c>
      <c r="H384" s="10" t="s">
        <v>80</v>
      </c>
      <c r="I384" s="10" t="s">
        <v>81</v>
      </c>
      <c r="J384" s="10" t="s">
        <v>82</v>
      </c>
      <c r="K384" s="10" t="s">
        <v>83</v>
      </c>
      <c r="L384" s="10" t="s">
        <v>84</v>
      </c>
      <c r="M384" s="10" t="s">
        <v>85</v>
      </c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</row>
    <row r="385" spans="1:73" s="1" customFormat="1">
      <c r="A385" s="4" t="s">
        <v>49</v>
      </c>
      <c r="B385" s="1">
        <v>0.23</v>
      </c>
      <c r="C385" s="1">
        <v>0.23</v>
      </c>
      <c r="D385" s="1">
        <v>0.23</v>
      </c>
      <c r="E385" s="1">
        <v>0.23</v>
      </c>
      <c r="F385" s="1">
        <v>0.23</v>
      </c>
      <c r="G385" s="1">
        <v>0.23</v>
      </c>
      <c r="H385" s="1">
        <f>G386</f>
        <v>0.23</v>
      </c>
      <c r="I385" s="1">
        <v>0.23</v>
      </c>
      <c r="J385" s="1">
        <v>0.23</v>
      </c>
      <c r="K385" s="1">
        <v>0.23</v>
      </c>
      <c r="L385" s="1">
        <f>K385</f>
        <v>0.23</v>
      </c>
      <c r="M385" s="1">
        <v>0.45</v>
      </c>
      <c r="N385" s="1">
        <v>0.23</v>
      </c>
      <c r="O385" s="1">
        <v>0.23</v>
      </c>
      <c r="P385" s="1">
        <f>O386</f>
        <v>0.45</v>
      </c>
      <c r="Q385" s="1">
        <v>0.23</v>
      </c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</row>
    <row r="386" spans="1:73" s="1" customFormat="1">
      <c r="A386" s="4" t="s">
        <v>50</v>
      </c>
      <c r="B386" s="1">
        <v>0.23</v>
      </c>
      <c r="C386" s="1">
        <v>0.23</v>
      </c>
      <c r="D386" s="1">
        <f>B386</f>
        <v>0.23</v>
      </c>
      <c r="E386" s="1">
        <v>0.23</v>
      </c>
      <c r="F386" s="1">
        <f>E385</f>
        <v>0.23</v>
      </c>
      <c r="G386" s="1">
        <v>0.23</v>
      </c>
      <c r="H386" s="1">
        <f>G385</f>
        <v>0.23</v>
      </c>
      <c r="I386" s="1">
        <f>H386</f>
        <v>0.23</v>
      </c>
      <c r="J386" s="1">
        <v>0.23</v>
      </c>
      <c r="K386" s="1">
        <v>0.23</v>
      </c>
      <c r="L386" s="1">
        <v>0.23</v>
      </c>
      <c r="M386" s="1">
        <v>0.23</v>
      </c>
      <c r="N386" s="1">
        <f>M385</f>
        <v>0.45</v>
      </c>
      <c r="O386" s="1">
        <f>N386</f>
        <v>0.45</v>
      </c>
      <c r="P386" s="1">
        <f>O385</f>
        <v>0.23</v>
      </c>
      <c r="Q386" s="1">
        <f>P386</f>
        <v>0.23</v>
      </c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</row>
    <row r="387" spans="1:73" s="1" customFormat="1">
      <c r="A387" s="1" t="s">
        <v>51</v>
      </c>
      <c r="B387" s="4">
        <v>1.65</v>
      </c>
      <c r="C387" s="4">
        <f>B387</f>
        <v>1.65</v>
      </c>
      <c r="D387" s="4">
        <f t="shared" ref="D387:I387" si="81">C387</f>
        <v>1.65</v>
      </c>
      <c r="E387" s="4">
        <f t="shared" si="81"/>
        <v>1.65</v>
      </c>
      <c r="F387" s="4">
        <f t="shared" si="81"/>
        <v>1.65</v>
      </c>
      <c r="G387" s="4">
        <f t="shared" si="81"/>
        <v>1.65</v>
      </c>
      <c r="H387" s="4">
        <f t="shared" si="81"/>
        <v>1.65</v>
      </c>
      <c r="I387" s="4">
        <f t="shared" si="81"/>
        <v>1.65</v>
      </c>
      <c r="J387" s="4">
        <v>3</v>
      </c>
      <c r="K387" s="4">
        <f>J387</f>
        <v>3</v>
      </c>
      <c r="L387" s="4">
        <f t="shared" ref="L387:Q387" si="82">K387</f>
        <v>3</v>
      </c>
      <c r="M387" s="4">
        <f t="shared" si="82"/>
        <v>3</v>
      </c>
      <c r="N387" s="4">
        <f t="shared" si="82"/>
        <v>3</v>
      </c>
      <c r="O387" s="4">
        <f t="shared" si="82"/>
        <v>3</v>
      </c>
      <c r="P387" s="4">
        <f t="shared" si="82"/>
        <v>3</v>
      </c>
      <c r="Q387" s="4">
        <f t="shared" si="82"/>
        <v>3</v>
      </c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</row>
    <row r="388" spans="1:73" s="1" customFormat="1">
      <c r="A388" s="1" t="s">
        <v>52</v>
      </c>
      <c r="B388" s="10">
        <v>4</v>
      </c>
      <c r="C388" s="10">
        <v>3</v>
      </c>
      <c r="D388" s="10">
        <v>7</v>
      </c>
      <c r="E388" s="10">
        <v>2</v>
      </c>
      <c r="F388" s="10">
        <v>6</v>
      </c>
      <c r="G388" s="10">
        <v>4</v>
      </c>
      <c r="H388" s="10">
        <v>4</v>
      </c>
      <c r="I388" s="10">
        <v>3</v>
      </c>
      <c r="J388" s="10">
        <v>3</v>
      </c>
      <c r="K388" s="10">
        <v>3</v>
      </c>
      <c r="L388" s="10">
        <v>3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</row>
    <row r="389" spans="1:73" s="1" customFormat="1">
      <c r="B389" s="6">
        <f>B385*B386*B387*B388</f>
        <v>0.34914000000000001</v>
      </c>
      <c r="C389" s="6">
        <f t="shared" ref="C389:Q389" si="83">C385*C386*C387*C388</f>
        <v>0.261855</v>
      </c>
      <c r="D389" s="6">
        <f t="shared" si="83"/>
        <v>0.61099499999999995</v>
      </c>
      <c r="E389" s="6">
        <f t="shared" si="83"/>
        <v>0.17457</v>
      </c>
      <c r="F389" s="6">
        <f t="shared" si="83"/>
        <v>0.52371000000000001</v>
      </c>
      <c r="G389" s="6">
        <f t="shared" si="83"/>
        <v>0.34914000000000001</v>
      </c>
      <c r="H389" s="6">
        <f t="shared" si="83"/>
        <v>0.34914000000000001</v>
      </c>
      <c r="I389" s="6">
        <f t="shared" si="83"/>
        <v>0.261855</v>
      </c>
      <c r="J389" s="6">
        <f t="shared" si="83"/>
        <v>0.47610000000000002</v>
      </c>
      <c r="K389" s="6">
        <f t="shared" si="83"/>
        <v>0.47610000000000002</v>
      </c>
      <c r="L389" s="6">
        <f t="shared" si="83"/>
        <v>0.47610000000000002</v>
      </c>
      <c r="M389" s="6">
        <f t="shared" si="83"/>
        <v>0</v>
      </c>
      <c r="N389" s="6">
        <f t="shared" si="83"/>
        <v>0</v>
      </c>
      <c r="O389" s="6">
        <f t="shared" si="83"/>
        <v>0</v>
      </c>
      <c r="P389" s="6">
        <f t="shared" si="83"/>
        <v>0</v>
      </c>
      <c r="Q389" s="6">
        <f t="shared" si="83"/>
        <v>0</v>
      </c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</row>
    <row r="390" spans="1:73" s="1" customFormat="1">
      <c r="A390" s="5"/>
      <c r="B390" s="5"/>
      <c r="C390" s="6"/>
      <c r="D390" s="5"/>
      <c r="E390" s="6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</row>
    <row r="392" spans="1:73" s="1" customFormat="1" ht="15.75" thickBot="1"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</row>
    <row r="393" spans="1:73" s="1" customFormat="1" ht="19.5" thickBot="1">
      <c r="B393" s="203" t="s">
        <v>86</v>
      </c>
      <c r="C393" s="203"/>
      <c r="D393" s="206"/>
      <c r="E393" s="3">
        <f>ROUNDUP(SUM(B399:R399),2)</f>
        <v>74.940000000000012</v>
      </c>
      <c r="F393" s="5"/>
      <c r="G393" s="5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</row>
    <row r="394" spans="1:73" s="1" customFormat="1">
      <c r="B394" s="10" t="s">
        <v>74</v>
      </c>
      <c r="C394" s="10" t="s">
        <v>75</v>
      </c>
      <c r="D394" s="10" t="s">
        <v>76</v>
      </c>
      <c r="E394" s="10" t="s">
        <v>77</v>
      </c>
      <c r="F394" s="10" t="s">
        <v>78</v>
      </c>
      <c r="G394" s="10" t="s">
        <v>79</v>
      </c>
      <c r="H394" s="10" t="s">
        <v>80</v>
      </c>
      <c r="I394" s="10" t="s">
        <v>81</v>
      </c>
      <c r="J394" s="10" t="s">
        <v>82</v>
      </c>
      <c r="K394" s="10" t="s">
        <v>83</v>
      </c>
      <c r="L394" s="10" t="s">
        <v>84</v>
      </c>
      <c r="M394" s="10" t="s">
        <v>85</v>
      </c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</row>
    <row r="395" spans="1:73" s="1" customFormat="1">
      <c r="A395" s="4" t="s">
        <v>49</v>
      </c>
      <c r="B395" s="1">
        <f>B385</f>
        <v>0.23</v>
      </c>
      <c r="C395" s="1">
        <f t="shared" ref="C395:Q398" si="84">C385</f>
        <v>0.23</v>
      </c>
      <c r="D395" s="1">
        <f t="shared" si="84"/>
        <v>0.23</v>
      </c>
      <c r="E395" s="1">
        <f t="shared" si="84"/>
        <v>0.23</v>
      </c>
      <c r="F395" s="1">
        <f t="shared" si="84"/>
        <v>0.23</v>
      </c>
      <c r="G395" s="1">
        <f t="shared" si="84"/>
        <v>0.23</v>
      </c>
      <c r="H395" s="1">
        <f t="shared" si="84"/>
        <v>0.23</v>
      </c>
      <c r="I395" s="1">
        <f t="shared" si="84"/>
        <v>0.23</v>
      </c>
      <c r="J395" s="1">
        <f t="shared" si="84"/>
        <v>0.23</v>
      </c>
      <c r="K395" s="1">
        <f t="shared" si="84"/>
        <v>0.23</v>
      </c>
      <c r="L395" s="1">
        <f t="shared" si="84"/>
        <v>0.23</v>
      </c>
      <c r="M395" s="1">
        <f t="shared" si="84"/>
        <v>0.45</v>
      </c>
      <c r="N395" s="1">
        <f t="shared" si="84"/>
        <v>0.23</v>
      </c>
      <c r="O395" s="1">
        <f t="shared" si="84"/>
        <v>0.23</v>
      </c>
      <c r="P395" s="1">
        <f t="shared" si="84"/>
        <v>0.45</v>
      </c>
      <c r="Q395" s="1">
        <f t="shared" si="84"/>
        <v>0.23</v>
      </c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</row>
    <row r="396" spans="1:73" s="1" customFormat="1">
      <c r="A396" s="4" t="s">
        <v>50</v>
      </c>
      <c r="B396" s="1">
        <f t="shared" ref="B396:I398" si="85">B386</f>
        <v>0.23</v>
      </c>
      <c r="C396" s="1">
        <f t="shared" si="85"/>
        <v>0.23</v>
      </c>
      <c r="D396" s="1">
        <f t="shared" si="85"/>
        <v>0.23</v>
      </c>
      <c r="E396" s="1">
        <f t="shared" si="85"/>
        <v>0.23</v>
      </c>
      <c r="F396" s="1">
        <f t="shared" si="85"/>
        <v>0.23</v>
      </c>
      <c r="G396" s="1">
        <f t="shared" si="85"/>
        <v>0.23</v>
      </c>
      <c r="H396" s="1">
        <f t="shared" si="85"/>
        <v>0.23</v>
      </c>
      <c r="I396" s="1">
        <f t="shared" si="85"/>
        <v>0.23</v>
      </c>
      <c r="J396" s="1">
        <f t="shared" si="84"/>
        <v>0.23</v>
      </c>
      <c r="K396" s="1">
        <f t="shared" si="84"/>
        <v>0.23</v>
      </c>
      <c r="L396" s="1">
        <f t="shared" si="84"/>
        <v>0.23</v>
      </c>
      <c r="M396" s="1">
        <f t="shared" si="84"/>
        <v>0.23</v>
      </c>
      <c r="N396" s="1">
        <f t="shared" si="84"/>
        <v>0.45</v>
      </c>
      <c r="O396" s="1">
        <f t="shared" si="84"/>
        <v>0.45</v>
      </c>
      <c r="P396" s="1">
        <f t="shared" si="84"/>
        <v>0.23</v>
      </c>
      <c r="Q396" s="1">
        <f t="shared" si="84"/>
        <v>0.23</v>
      </c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</row>
    <row r="397" spans="1:73" s="1" customFormat="1">
      <c r="A397" s="1" t="s">
        <v>51</v>
      </c>
      <c r="B397" s="1">
        <f t="shared" si="85"/>
        <v>1.65</v>
      </c>
      <c r="C397" s="1">
        <f t="shared" si="85"/>
        <v>1.65</v>
      </c>
      <c r="D397" s="1">
        <f t="shared" si="85"/>
        <v>1.65</v>
      </c>
      <c r="E397" s="1">
        <f t="shared" si="85"/>
        <v>1.65</v>
      </c>
      <c r="F397" s="1">
        <f t="shared" si="85"/>
        <v>1.65</v>
      </c>
      <c r="G397" s="1">
        <f t="shared" si="85"/>
        <v>1.65</v>
      </c>
      <c r="H397" s="1">
        <f t="shared" si="85"/>
        <v>1.65</v>
      </c>
      <c r="I397" s="1">
        <f t="shared" si="85"/>
        <v>1.65</v>
      </c>
      <c r="J397" s="1">
        <f t="shared" si="84"/>
        <v>3</v>
      </c>
      <c r="K397" s="1">
        <f t="shared" si="84"/>
        <v>3</v>
      </c>
      <c r="L397" s="1">
        <f t="shared" si="84"/>
        <v>3</v>
      </c>
      <c r="M397" s="1">
        <f t="shared" si="84"/>
        <v>3</v>
      </c>
      <c r="N397" s="1">
        <f t="shared" si="84"/>
        <v>3</v>
      </c>
      <c r="O397" s="1">
        <f t="shared" si="84"/>
        <v>3</v>
      </c>
      <c r="P397" s="1">
        <f t="shared" si="84"/>
        <v>3</v>
      </c>
      <c r="Q397" s="1">
        <f t="shared" si="84"/>
        <v>3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</row>
    <row r="398" spans="1:73" s="1" customFormat="1">
      <c r="A398" s="1" t="s">
        <v>52</v>
      </c>
      <c r="B398" s="1">
        <f t="shared" si="85"/>
        <v>4</v>
      </c>
      <c r="C398" s="1">
        <f t="shared" si="85"/>
        <v>3</v>
      </c>
      <c r="D398" s="1">
        <f t="shared" si="85"/>
        <v>7</v>
      </c>
      <c r="E398" s="1">
        <f t="shared" si="85"/>
        <v>2</v>
      </c>
      <c r="F398" s="1">
        <f t="shared" si="85"/>
        <v>6</v>
      </c>
      <c r="G398" s="1">
        <f t="shared" si="85"/>
        <v>4</v>
      </c>
      <c r="H398" s="1">
        <f t="shared" si="85"/>
        <v>4</v>
      </c>
      <c r="I398" s="1">
        <f t="shared" si="85"/>
        <v>3</v>
      </c>
      <c r="J398" s="1">
        <f t="shared" si="84"/>
        <v>3</v>
      </c>
      <c r="K398" s="1">
        <f t="shared" si="84"/>
        <v>3</v>
      </c>
      <c r="L398" s="1">
        <f t="shared" si="84"/>
        <v>3</v>
      </c>
      <c r="M398" s="1">
        <f t="shared" si="84"/>
        <v>0</v>
      </c>
      <c r="N398" s="1">
        <f t="shared" si="84"/>
        <v>0</v>
      </c>
      <c r="O398" s="1">
        <f t="shared" si="84"/>
        <v>0</v>
      </c>
      <c r="P398" s="1">
        <f t="shared" si="84"/>
        <v>0</v>
      </c>
      <c r="Q398" s="1">
        <f t="shared" si="84"/>
        <v>0</v>
      </c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</row>
    <row r="399" spans="1:73" s="1" customFormat="1">
      <c r="B399" s="6">
        <f>((B397*B395*2)+(B397*B396*2))*B398</f>
        <v>6.0720000000000001</v>
      </c>
      <c r="C399" s="6">
        <f>((C397*C395*2)+(C397*C396*2))*C398</f>
        <v>4.5540000000000003</v>
      </c>
      <c r="D399" s="6">
        <f>((D397*D395*2)+(D397*D396*2))*D398</f>
        <v>10.625999999999999</v>
      </c>
      <c r="E399" s="6">
        <f t="shared" ref="E399:G399" si="86">((E397*E395*2)+(E397*E396*2))*E398</f>
        <v>3.036</v>
      </c>
      <c r="F399" s="6">
        <f t="shared" si="86"/>
        <v>9.1080000000000005</v>
      </c>
      <c r="G399" s="6">
        <f t="shared" si="86"/>
        <v>6.0720000000000001</v>
      </c>
      <c r="H399" s="6">
        <f>((H397*H395*2)+(H397*H396*2))*H398</f>
        <v>6.0720000000000001</v>
      </c>
      <c r="I399" s="6">
        <f t="shared" ref="I399:Q399" si="87">((I397*I395*2)+(I397*I396*2))*I398</f>
        <v>4.5540000000000003</v>
      </c>
      <c r="J399" s="6">
        <f t="shared" si="87"/>
        <v>8.2800000000000011</v>
      </c>
      <c r="K399" s="6">
        <f t="shared" si="87"/>
        <v>8.2800000000000011</v>
      </c>
      <c r="L399" s="6">
        <f t="shared" si="87"/>
        <v>8.2800000000000011</v>
      </c>
      <c r="M399" s="6">
        <f t="shared" si="87"/>
        <v>0</v>
      </c>
      <c r="N399" s="6">
        <f t="shared" si="87"/>
        <v>0</v>
      </c>
      <c r="O399" s="6">
        <f t="shared" si="87"/>
        <v>0</v>
      </c>
      <c r="P399" s="6">
        <f t="shared" si="87"/>
        <v>0</v>
      </c>
      <c r="Q399" s="6">
        <f t="shared" si="87"/>
        <v>0</v>
      </c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</row>
    <row r="401" spans="1:73" s="1" customFormat="1" ht="18.75">
      <c r="A401" s="203" t="s">
        <v>87</v>
      </c>
      <c r="B401" s="203"/>
      <c r="C401" s="203"/>
      <c r="D401" s="5"/>
      <c r="E401" s="5"/>
      <c r="F401" s="5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</row>
    <row r="402" spans="1:73" s="1" customFormat="1">
      <c r="A402" s="5"/>
      <c r="B402" s="5" t="s">
        <v>88</v>
      </c>
      <c r="C402" s="5" t="s">
        <v>89</v>
      </c>
      <c r="D402" s="5" t="s">
        <v>90</v>
      </c>
      <c r="E402" s="5" t="s">
        <v>91</v>
      </c>
      <c r="F402" s="5" t="s">
        <v>92</v>
      </c>
      <c r="G402" s="5" t="s">
        <v>93</v>
      </c>
      <c r="H402" s="5" t="s">
        <v>94</v>
      </c>
      <c r="I402" s="5" t="s">
        <v>95</v>
      </c>
      <c r="J402" s="5" t="s">
        <v>96</v>
      </c>
      <c r="K402" s="5" t="s">
        <v>97</v>
      </c>
      <c r="L402" s="5" t="s">
        <v>98</v>
      </c>
      <c r="M402" s="5" t="s">
        <v>99</v>
      </c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</row>
    <row r="403" spans="1:73" s="1" customFormat="1">
      <c r="A403" s="4" t="s">
        <v>100</v>
      </c>
      <c r="B403" s="4">
        <v>3</v>
      </c>
      <c r="C403" s="4">
        <v>3</v>
      </c>
      <c r="D403" s="4">
        <v>3</v>
      </c>
      <c r="E403" s="4">
        <v>3</v>
      </c>
      <c r="F403" s="4">
        <v>3</v>
      </c>
      <c r="G403" s="4">
        <v>3</v>
      </c>
      <c r="H403" s="4">
        <v>3</v>
      </c>
      <c r="I403" s="4">
        <v>3</v>
      </c>
      <c r="J403" s="4">
        <v>3</v>
      </c>
      <c r="K403" s="4">
        <v>0</v>
      </c>
      <c r="L403" s="4">
        <v>0</v>
      </c>
      <c r="M403" s="4">
        <v>0</v>
      </c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</row>
    <row r="404" spans="1:73" s="1" customFormat="1">
      <c r="A404" s="12" t="s">
        <v>101</v>
      </c>
      <c r="B404" s="12">
        <v>4</v>
      </c>
      <c r="C404" s="12">
        <v>4</v>
      </c>
      <c r="D404" s="12">
        <v>4</v>
      </c>
      <c r="E404" s="12">
        <v>4</v>
      </c>
      <c r="F404" s="12">
        <v>4</v>
      </c>
      <c r="G404" s="12">
        <v>4</v>
      </c>
      <c r="H404" s="12">
        <v>4</v>
      </c>
      <c r="I404" s="12">
        <v>4</v>
      </c>
      <c r="J404" s="12">
        <v>0</v>
      </c>
      <c r="K404" s="12">
        <v>0</v>
      </c>
      <c r="L404" s="12">
        <v>0</v>
      </c>
      <c r="M404" s="12">
        <v>0</v>
      </c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</row>
    <row r="405" spans="1:73" s="1" customFormat="1">
      <c r="A405" s="4"/>
      <c r="B405" s="4" t="s">
        <v>71</v>
      </c>
      <c r="C405" s="4" t="s">
        <v>102</v>
      </c>
      <c r="D405" s="4" t="s">
        <v>102</v>
      </c>
      <c r="E405" s="4" t="s">
        <v>103</v>
      </c>
      <c r="F405" s="4" t="s">
        <v>71</v>
      </c>
      <c r="G405" s="4" t="s">
        <v>104</v>
      </c>
      <c r="H405" s="4" t="s">
        <v>69</v>
      </c>
      <c r="I405" s="4" t="s">
        <v>70</v>
      </c>
      <c r="J405" s="4" t="s">
        <v>105</v>
      </c>
      <c r="K405" s="4" t="s">
        <v>105</v>
      </c>
      <c r="L405" s="4" t="s">
        <v>105</v>
      </c>
      <c r="M405" s="4" t="s">
        <v>71</v>
      </c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</row>
    <row r="406" spans="1:73" s="1" customFormat="1">
      <c r="A406" s="1" t="s">
        <v>52</v>
      </c>
      <c r="B406" s="10">
        <f>B398</f>
        <v>4</v>
      </c>
      <c r="C406" s="10">
        <f t="shared" ref="C406:M406" si="88">C398</f>
        <v>3</v>
      </c>
      <c r="D406" s="10">
        <f t="shared" si="88"/>
        <v>7</v>
      </c>
      <c r="E406" s="10">
        <f t="shared" si="88"/>
        <v>2</v>
      </c>
      <c r="F406" s="10">
        <f t="shared" si="88"/>
        <v>6</v>
      </c>
      <c r="G406" s="10">
        <f t="shared" si="88"/>
        <v>4</v>
      </c>
      <c r="H406" s="10">
        <f t="shared" si="88"/>
        <v>4</v>
      </c>
      <c r="I406" s="10">
        <f t="shared" si="88"/>
        <v>3</v>
      </c>
      <c r="J406" s="10">
        <f t="shared" si="88"/>
        <v>3</v>
      </c>
      <c r="K406" s="10">
        <f t="shared" si="88"/>
        <v>3</v>
      </c>
      <c r="L406" s="10">
        <f t="shared" si="88"/>
        <v>3</v>
      </c>
      <c r="M406" s="10">
        <f t="shared" si="88"/>
        <v>0</v>
      </c>
      <c r="R406" s="1">
        <f>1.5/0.2</f>
        <v>7.5</v>
      </c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</row>
    <row r="407" spans="1:73" s="1" customFormat="1">
      <c r="A407" s="5"/>
      <c r="B407" s="5">
        <f>B403*B404*B406</f>
        <v>48</v>
      </c>
      <c r="C407" s="5">
        <f>C403*C404*C406</f>
        <v>36</v>
      </c>
      <c r="D407" s="5">
        <f>D403*D404*D406</f>
        <v>84</v>
      </c>
      <c r="E407" s="5">
        <f>E403*E404*E406</f>
        <v>24</v>
      </c>
      <c r="F407" s="5">
        <f t="shared" ref="F407:M407" si="89">F403*F404*F406</f>
        <v>72</v>
      </c>
      <c r="G407" s="5">
        <f t="shared" si="89"/>
        <v>48</v>
      </c>
      <c r="H407" s="5">
        <f t="shared" si="89"/>
        <v>48</v>
      </c>
      <c r="I407" s="5">
        <f t="shared" si="89"/>
        <v>36</v>
      </c>
      <c r="J407" s="5">
        <f t="shared" si="89"/>
        <v>0</v>
      </c>
      <c r="K407" s="5">
        <f t="shared" si="89"/>
        <v>0</v>
      </c>
      <c r="L407" s="5">
        <f t="shared" si="89"/>
        <v>0</v>
      </c>
      <c r="M407" s="5">
        <f t="shared" si="89"/>
        <v>0</v>
      </c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</row>
    <row r="408" spans="1:73" s="1" customFormat="1" ht="15.75" thickBo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 s="25"/>
      <c r="BR408"/>
      <c r="BS408"/>
      <c r="BT408"/>
      <c r="BU408"/>
    </row>
    <row r="409" spans="1:73" s="1" customFormat="1" ht="19.5" thickBot="1">
      <c r="A409" s="5"/>
      <c r="B409" s="5"/>
      <c r="C409" s="19" t="s">
        <v>105</v>
      </c>
      <c r="D409" s="20">
        <f>J407+K407+L407</f>
        <v>0</v>
      </c>
      <c r="E409" s="21">
        <f>D409*3.854</f>
        <v>0</v>
      </c>
      <c r="F409" s="5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 s="25"/>
      <c r="BR409"/>
      <c r="BS409"/>
      <c r="BT409"/>
      <c r="BU409"/>
    </row>
    <row r="410" spans="1:73" s="1" customFormat="1" ht="19.5" thickBot="1">
      <c r="A410" s="5"/>
      <c r="B410" s="5"/>
      <c r="C410" s="13" t="s">
        <v>70</v>
      </c>
      <c r="D410" s="20"/>
      <c r="E410" s="3">
        <f>D410*2.467</f>
        <v>0</v>
      </c>
      <c r="F410" s="5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 s="25"/>
      <c r="BR410"/>
      <c r="BS410"/>
      <c r="BT410"/>
      <c r="BU410"/>
    </row>
    <row r="411" spans="1:73" s="1" customFormat="1" ht="19.5" thickBot="1">
      <c r="A411" s="5"/>
      <c r="B411" s="5"/>
      <c r="C411" s="13" t="s">
        <v>71</v>
      </c>
      <c r="D411" s="22">
        <f>B407+C407+D407+E407+F407+G407+H407+I407</f>
        <v>396</v>
      </c>
      <c r="E411" s="3">
        <f>D411*1.579</f>
        <v>625.28399999999999</v>
      </c>
      <c r="F411" s="5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 s="25"/>
      <c r="BR411"/>
      <c r="BS411"/>
      <c r="BT411"/>
      <c r="BU411"/>
    </row>
    <row r="412" spans="1:73" s="1" customFormat="1" ht="19.5" thickBot="1">
      <c r="A412" s="5"/>
      <c r="B412" s="5"/>
      <c r="C412" s="13" t="s">
        <v>68</v>
      </c>
      <c r="D412" s="23"/>
      <c r="E412" s="24">
        <f>D412*0.888</f>
        <v>0</v>
      </c>
      <c r="F412" s="5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 s="25"/>
      <c r="BR412"/>
      <c r="BS412"/>
      <c r="BT412"/>
      <c r="BU412"/>
    </row>
    <row r="413" spans="1:73" s="25" customFormat="1" ht="12.75">
      <c r="A413" s="9" t="s">
        <v>87</v>
      </c>
      <c r="B413" s="9"/>
      <c r="C413" s="9"/>
      <c r="D413" s="9"/>
      <c r="E413" s="9"/>
      <c r="F413" s="9"/>
    </row>
    <row r="414" spans="1:73" s="25" customFormat="1" ht="12.75">
      <c r="A414" s="9"/>
      <c r="B414" s="9" t="s">
        <v>88</v>
      </c>
      <c r="C414" s="9" t="s">
        <v>89</v>
      </c>
      <c r="D414" s="9" t="s">
        <v>90</v>
      </c>
      <c r="E414" s="9" t="s">
        <v>91</v>
      </c>
      <c r="F414" s="9" t="s">
        <v>92</v>
      </c>
      <c r="G414" s="9" t="s">
        <v>93</v>
      </c>
      <c r="H414" s="9" t="s">
        <v>94</v>
      </c>
      <c r="I414" s="9" t="s">
        <v>95</v>
      </c>
      <c r="J414" s="9" t="s">
        <v>96</v>
      </c>
      <c r="K414" s="9" t="s">
        <v>97</v>
      </c>
      <c r="L414" s="9" t="s">
        <v>98</v>
      </c>
      <c r="M414" s="9" t="s">
        <v>99</v>
      </c>
    </row>
    <row r="415" spans="1:73" s="25" customFormat="1" ht="12.75">
      <c r="A415" s="26" t="s">
        <v>100</v>
      </c>
      <c r="B415" s="26">
        <v>3.68</v>
      </c>
      <c r="C415" s="26">
        <v>3.68</v>
      </c>
      <c r="D415" s="26">
        <v>3.68</v>
      </c>
      <c r="E415" s="26">
        <v>3.68</v>
      </c>
      <c r="F415" s="26">
        <v>3.68</v>
      </c>
      <c r="G415" s="26">
        <v>3.68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</row>
    <row r="416" spans="1:73" s="25" customFormat="1" ht="12.75">
      <c r="A416" s="27" t="s">
        <v>101</v>
      </c>
      <c r="B416" s="27">
        <v>4</v>
      </c>
      <c r="C416" s="27">
        <v>6</v>
      </c>
      <c r="D416" s="27">
        <v>4</v>
      </c>
      <c r="E416" s="27">
        <v>4</v>
      </c>
      <c r="F416" s="27">
        <v>4</v>
      </c>
      <c r="G416" s="27">
        <v>4</v>
      </c>
      <c r="H416" s="27">
        <v>6</v>
      </c>
      <c r="I416" s="27">
        <v>6</v>
      </c>
      <c r="J416" s="27">
        <v>8</v>
      </c>
      <c r="K416" s="27">
        <v>6</v>
      </c>
      <c r="L416" s="27">
        <v>6</v>
      </c>
      <c r="M416" s="27">
        <v>4</v>
      </c>
    </row>
    <row r="417" spans="1:18" s="25" customFormat="1" ht="12.75">
      <c r="A417" s="26"/>
      <c r="B417" s="26" t="s">
        <v>106</v>
      </c>
      <c r="C417" s="26" t="s">
        <v>70</v>
      </c>
      <c r="D417" s="26" t="s">
        <v>106</v>
      </c>
      <c r="E417" s="26" t="s">
        <v>70</v>
      </c>
      <c r="F417" s="26" t="s">
        <v>70</v>
      </c>
      <c r="G417" s="26" t="s">
        <v>70</v>
      </c>
      <c r="H417" s="26" t="s">
        <v>70</v>
      </c>
      <c r="I417" s="26" t="s">
        <v>70</v>
      </c>
      <c r="J417" s="26" t="s">
        <v>105</v>
      </c>
      <c r="K417" s="26" t="s">
        <v>105</v>
      </c>
      <c r="L417" s="26" t="s">
        <v>105</v>
      </c>
      <c r="M417" s="26" t="s">
        <v>71</v>
      </c>
    </row>
    <row r="418" spans="1:18" s="25" customFormat="1" ht="12.75">
      <c r="A418" s="25" t="s">
        <v>52</v>
      </c>
      <c r="B418" s="28">
        <v>0</v>
      </c>
      <c r="C418" s="28">
        <v>0</v>
      </c>
      <c r="D418" s="28">
        <v>0</v>
      </c>
      <c r="E418" s="28">
        <v>0</v>
      </c>
      <c r="F418" s="28">
        <v>0</v>
      </c>
      <c r="G418" s="28">
        <v>0</v>
      </c>
      <c r="H418" s="28"/>
      <c r="I418" s="28">
        <f>I410</f>
        <v>0</v>
      </c>
      <c r="J418" s="28">
        <f>J410</f>
        <v>0</v>
      </c>
      <c r="K418" s="28">
        <f>K410</f>
        <v>0</v>
      </c>
      <c r="L418" s="28">
        <f>L410</f>
        <v>0</v>
      </c>
      <c r="M418" s="28">
        <f>M410</f>
        <v>0</v>
      </c>
      <c r="R418" s="25">
        <f>1.5/0.2</f>
        <v>7.5</v>
      </c>
    </row>
    <row r="419" spans="1:18" s="25" customFormat="1" ht="12.75">
      <c r="A419" s="9"/>
      <c r="B419" s="9">
        <f>B415*B416*B418</f>
        <v>0</v>
      </c>
      <c r="C419" s="9">
        <f>C415*C416*C418</f>
        <v>0</v>
      </c>
      <c r="D419" s="9">
        <f>D415*D416*D418</f>
        <v>0</v>
      </c>
      <c r="E419" s="9">
        <f>E415*E416*E418</f>
        <v>0</v>
      </c>
      <c r="F419" s="9">
        <f t="shared" ref="F419:M419" si="90">F415*F416*F418</f>
        <v>0</v>
      </c>
      <c r="G419" s="9">
        <f t="shared" si="90"/>
        <v>0</v>
      </c>
      <c r="H419" s="9">
        <f t="shared" si="90"/>
        <v>0</v>
      </c>
      <c r="I419" s="9">
        <f t="shared" si="90"/>
        <v>0</v>
      </c>
      <c r="J419" s="9">
        <f t="shared" si="90"/>
        <v>0</v>
      </c>
      <c r="K419" s="9">
        <f t="shared" si="90"/>
        <v>0</v>
      </c>
      <c r="L419" s="9">
        <f t="shared" si="90"/>
        <v>0</v>
      </c>
      <c r="M419" s="9">
        <f t="shared" si="90"/>
        <v>0</v>
      </c>
    </row>
    <row r="420" spans="1:18" s="25" customFormat="1" ht="12.75">
      <c r="A420" s="9"/>
      <c r="B420" s="9"/>
      <c r="C420" s="9" t="s">
        <v>105</v>
      </c>
      <c r="D420" s="29">
        <f>J419+K419+L419</f>
        <v>0</v>
      </c>
      <c r="E420" s="9">
        <f>D420*3.854</f>
        <v>0</v>
      </c>
      <c r="F420" s="9"/>
    </row>
    <row r="421" spans="1:18" s="25" customFormat="1" ht="12.75">
      <c r="A421" s="9"/>
      <c r="B421" s="9"/>
      <c r="C421" s="9" t="s">
        <v>70</v>
      </c>
      <c r="D421" s="30"/>
      <c r="E421" s="9">
        <f>D421*2.467</f>
        <v>0</v>
      </c>
      <c r="F421" s="9"/>
    </row>
    <row r="422" spans="1:18" s="25" customFormat="1" ht="12.75">
      <c r="A422" s="9"/>
      <c r="B422" s="9"/>
      <c r="C422" s="9" t="s">
        <v>70</v>
      </c>
      <c r="D422" s="30">
        <f>SUM(B419:G419)</f>
        <v>0</v>
      </c>
      <c r="E422" s="9">
        <f>D422*2.467</f>
        <v>0</v>
      </c>
      <c r="F422" s="9"/>
    </row>
    <row r="423" spans="1:18" s="25" customFormat="1" ht="12.75">
      <c r="A423" s="9"/>
      <c r="B423" s="9"/>
      <c r="C423" s="9"/>
      <c r="D423" s="30"/>
      <c r="E423" s="9"/>
      <c r="F423" s="9"/>
    </row>
    <row r="424" spans="1:18" s="25" customFormat="1" ht="12.75">
      <c r="A424" s="9" t="s">
        <v>87</v>
      </c>
      <c r="B424" s="9"/>
      <c r="C424" s="9"/>
      <c r="D424" s="9"/>
      <c r="E424" s="9"/>
      <c r="F424" s="9"/>
    </row>
    <row r="425" spans="1:18" s="25" customFormat="1" ht="12.75">
      <c r="A425" s="9"/>
      <c r="B425" s="9" t="s">
        <v>88</v>
      </c>
      <c r="C425" s="9" t="s">
        <v>89</v>
      </c>
      <c r="D425" s="9" t="s">
        <v>90</v>
      </c>
      <c r="E425" s="9" t="s">
        <v>91</v>
      </c>
      <c r="F425" s="9" t="s">
        <v>92</v>
      </c>
      <c r="G425" s="9" t="s">
        <v>93</v>
      </c>
      <c r="H425" s="9" t="s">
        <v>94</v>
      </c>
      <c r="I425" s="9" t="s">
        <v>95</v>
      </c>
      <c r="J425" s="9" t="s">
        <v>96</v>
      </c>
      <c r="K425" s="9" t="s">
        <v>97</v>
      </c>
      <c r="L425" s="9" t="s">
        <v>98</v>
      </c>
      <c r="M425" s="9" t="s">
        <v>99</v>
      </c>
    </row>
    <row r="426" spans="1:18" s="25" customFormat="1" ht="12.75">
      <c r="A426" s="26" t="s">
        <v>100</v>
      </c>
      <c r="B426" s="26">
        <v>3.68</v>
      </c>
      <c r="C426" s="26">
        <v>3.68</v>
      </c>
      <c r="D426" s="26">
        <v>3.68</v>
      </c>
      <c r="E426" s="26">
        <v>3.68</v>
      </c>
      <c r="F426" s="26">
        <v>3.68</v>
      </c>
      <c r="G426" s="26">
        <v>3.68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</row>
    <row r="427" spans="1:18" s="25" customFormat="1" ht="12.75">
      <c r="A427" s="27" t="s">
        <v>101</v>
      </c>
      <c r="B427" s="27">
        <v>4</v>
      </c>
      <c r="C427" s="27">
        <v>6</v>
      </c>
      <c r="D427" s="27">
        <v>4</v>
      </c>
      <c r="E427" s="27">
        <v>4</v>
      </c>
      <c r="F427" s="27">
        <v>4</v>
      </c>
      <c r="G427" s="27">
        <v>4</v>
      </c>
      <c r="H427" s="27">
        <v>6</v>
      </c>
      <c r="I427" s="27">
        <v>6</v>
      </c>
      <c r="J427" s="27">
        <v>8</v>
      </c>
      <c r="K427" s="27">
        <v>6</v>
      </c>
      <c r="L427" s="27">
        <v>6</v>
      </c>
      <c r="M427" s="27">
        <v>4</v>
      </c>
    </row>
    <row r="428" spans="1:18" s="25" customFormat="1" ht="12.75">
      <c r="A428" s="26"/>
      <c r="B428" s="26" t="s">
        <v>104</v>
      </c>
      <c r="C428" s="26" t="s">
        <v>104</v>
      </c>
      <c r="D428" s="26" t="s">
        <v>104</v>
      </c>
      <c r="E428" s="26" t="s">
        <v>104</v>
      </c>
      <c r="F428" s="26" t="s">
        <v>104</v>
      </c>
      <c r="G428" s="26" t="s">
        <v>104</v>
      </c>
      <c r="H428" s="26" t="s">
        <v>70</v>
      </c>
      <c r="I428" s="26" t="s">
        <v>70</v>
      </c>
      <c r="J428" s="26" t="s">
        <v>105</v>
      </c>
      <c r="K428" s="26" t="s">
        <v>105</v>
      </c>
      <c r="L428" s="26" t="s">
        <v>105</v>
      </c>
      <c r="M428" s="26" t="s">
        <v>71</v>
      </c>
    </row>
    <row r="429" spans="1:18" s="25" customFormat="1" ht="12.75">
      <c r="A429" s="25" t="s">
        <v>52</v>
      </c>
      <c r="B429" s="28">
        <v>0</v>
      </c>
      <c r="C429" s="28">
        <v>0</v>
      </c>
      <c r="D429" s="28">
        <v>0</v>
      </c>
      <c r="E429" s="28">
        <v>0</v>
      </c>
      <c r="F429" s="28">
        <v>0</v>
      </c>
      <c r="G429" s="28">
        <v>0</v>
      </c>
      <c r="H429" s="28">
        <v>0</v>
      </c>
      <c r="I429" s="28">
        <f>I421</f>
        <v>0</v>
      </c>
      <c r="J429" s="28">
        <f>J421</f>
        <v>0</v>
      </c>
      <c r="K429" s="28">
        <f>K421</f>
        <v>0</v>
      </c>
      <c r="L429" s="28">
        <f>L421</f>
        <v>0</v>
      </c>
      <c r="M429" s="28">
        <f>M421</f>
        <v>0</v>
      </c>
      <c r="R429" s="25">
        <f>1.5/0.2</f>
        <v>7.5</v>
      </c>
    </row>
    <row r="430" spans="1:18" s="25" customFormat="1" ht="12.75">
      <c r="A430" s="9"/>
      <c r="B430" s="9">
        <f>B426*B427*B429</f>
        <v>0</v>
      </c>
      <c r="C430" s="9">
        <f>C426*C427*C429</f>
        <v>0</v>
      </c>
      <c r="D430" s="9">
        <f>D426*D427*D429</f>
        <v>0</v>
      </c>
      <c r="E430" s="9">
        <f>E426*E427*E429</f>
        <v>0</v>
      </c>
      <c r="F430" s="9">
        <f t="shared" ref="F430:M430" si="91">F426*F427*F429</f>
        <v>0</v>
      </c>
      <c r="G430" s="9">
        <f t="shared" si="91"/>
        <v>0</v>
      </c>
      <c r="H430" s="9">
        <f t="shared" si="91"/>
        <v>0</v>
      </c>
      <c r="I430" s="9">
        <f t="shared" si="91"/>
        <v>0</v>
      </c>
      <c r="J430" s="9">
        <f t="shared" si="91"/>
        <v>0</v>
      </c>
      <c r="K430" s="9">
        <f t="shared" si="91"/>
        <v>0</v>
      </c>
      <c r="L430" s="9">
        <f t="shared" si="91"/>
        <v>0</v>
      </c>
      <c r="M430" s="9">
        <f t="shared" si="91"/>
        <v>0</v>
      </c>
    </row>
    <row r="431" spans="1:18" s="25" customFormat="1" ht="12.75">
      <c r="A431" s="9"/>
      <c r="B431" s="9"/>
      <c r="C431" s="9" t="s">
        <v>105</v>
      </c>
      <c r="D431" s="29">
        <f>J430+K430+L430</f>
        <v>0</v>
      </c>
      <c r="E431" s="9">
        <f>D431*3.854</f>
        <v>0</v>
      </c>
      <c r="F431" s="9"/>
    </row>
    <row r="432" spans="1:18" s="25" customFormat="1" ht="12.75">
      <c r="A432" s="9"/>
      <c r="B432" s="9"/>
      <c r="C432" s="9" t="s">
        <v>70</v>
      </c>
      <c r="D432" s="29"/>
      <c r="E432" s="9">
        <f>D432*2.467</f>
        <v>0</v>
      </c>
      <c r="F432" s="9"/>
    </row>
    <row r="433" spans="1:73" s="25" customFormat="1" ht="12.75">
      <c r="A433" s="9"/>
      <c r="B433" s="9"/>
      <c r="C433" s="9" t="s">
        <v>71</v>
      </c>
      <c r="D433" s="30">
        <f>SUM(B430:G430)</f>
        <v>0</v>
      </c>
      <c r="E433" s="9">
        <f>D433*1.579</f>
        <v>0</v>
      </c>
      <c r="F433" s="9"/>
    </row>
    <row r="434" spans="1:73" s="25" customFormat="1" ht="12.75">
      <c r="A434" s="9"/>
      <c r="B434" s="9"/>
      <c r="C434" s="9"/>
      <c r="D434" s="30"/>
      <c r="E434" s="9"/>
      <c r="F434" s="9"/>
    </row>
    <row r="435" spans="1:73" s="25" customFormat="1" ht="12.75">
      <c r="A435" s="9" t="s">
        <v>87</v>
      </c>
      <c r="B435" s="9"/>
      <c r="C435" s="9"/>
      <c r="D435" s="9"/>
      <c r="E435" s="9"/>
      <c r="F435" s="9"/>
    </row>
    <row r="436" spans="1:73" s="25" customFormat="1" ht="12.75">
      <c r="A436" s="9"/>
      <c r="B436" s="9" t="s">
        <v>88</v>
      </c>
      <c r="C436" s="9" t="s">
        <v>89</v>
      </c>
      <c r="D436" s="9" t="s">
        <v>90</v>
      </c>
      <c r="E436" s="9" t="s">
        <v>91</v>
      </c>
      <c r="F436" s="9" t="s">
        <v>92</v>
      </c>
      <c r="G436" s="9" t="s">
        <v>93</v>
      </c>
      <c r="H436" s="9" t="s">
        <v>94</v>
      </c>
      <c r="I436" s="9" t="s">
        <v>95</v>
      </c>
      <c r="J436" s="9" t="s">
        <v>96</v>
      </c>
      <c r="K436" s="9" t="s">
        <v>97</v>
      </c>
      <c r="L436" s="9" t="s">
        <v>98</v>
      </c>
      <c r="M436" s="9" t="s">
        <v>99</v>
      </c>
    </row>
    <row r="437" spans="1:73" s="25" customFormat="1" ht="12.75">
      <c r="A437" s="26" t="s">
        <v>100</v>
      </c>
      <c r="B437" s="26">
        <v>3.2</v>
      </c>
      <c r="C437" s="26">
        <v>3.2</v>
      </c>
      <c r="D437" s="26">
        <v>3.2</v>
      </c>
      <c r="E437" s="26">
        <v>3.2</v>
      </c>
      <c r="F437" s="26">
        <v>3.2</v>
      </c>
      <c r="G437" s="26">
        <v>3.2</v>
      </c>
      <c r="H437" s="26">
        <v>0</v>
      </c>
      <c r="I437" s="26">
        <v>0</v>
      </c>
      <c r="J437" s="26">
        <v>0</v>
      </c>
      <c r="K437" s="26">
        <v>0</v>
      </c>
      <c r="L437" s="26">
        <v>0</v>
      </c>
      <c r="M437" s="26">
        <v>0</v>
      </c>
    </row>
    <row r="438" spans="1:73" s="25" customFormat="1" ht="12.75">
      <c r="A438" s="27" t="s">
        <v>101</v>
      </c>
      <c r="B438" s="27">
        <v>4</v>
      </c>
      <c r="C438" s="27">
        <v>6</v>
      </c>
      <c r="D438" s="27">
        <v>4</v>
      </c>
      <c r="E438" s="27">
        <v>4</v>
      </c>
      <c r="F438" s="27">
        <v>4</v>
      </c>
      <c r="G438" s="27">
        <v>4</v>
      </c>
      <c r="H438" s="27">
        <v>6</v>
      </c>
      <c r="I438" s="27">
        <v>6</v>
      </c>
      <c r="J438" s="27">
        <v>8</v>
      </c>
      <c r="K438" s="27">
        <v>6</v>
      </c>
      <c r="L438" s="27">
        <v>6</v>
      </c>
      <c r="M438" s="27">
        <v>4</v>
      </c>
    </row>
    <row r="439" spans="1:73" s="25" customFormat="1" ht="12.75">
      <c r="A439" s="26"/>
      <c r="B439" s="26" t="s">
        <v>69</v>
      </c>
      <c r="C439" s="26" t="s">
        <v>69</v>
      </c>
      <c r="D439" s="26" t="s">
        <v>69</v>
      </c>
      <c r="E439" s="26" t="s">
        <v>69</v>
      </c>
      <c r="F439" s="26" t="s">
        <v>69</v>
      </c>
      <c r="G439" s="26" t="s">
        <v>69</v>
      </c>
      <c r="H439" s="26" t="s">
        <v>70</v>
      </c>
      <c r="I439" s="26" t="s">
        <v>70</v>
      </c>
      <c r="J439" s="26" t="s">
        <v>105</v>
      </c>
      <c r="K439" s="26" t="s">
        <v>105</v>
      </c>
      <c r="L439" s="26" t="s">
        <v>105</v>
      </c>
      <c r="M439" s="26" t="s">
        <v>71</v>
      </c>
    </row>
    <row r="440" spans="1:73" s="25" customFormat="1">
      <c r="A440" s="25" t="s">
        <v>52</v>
      </c>
      <c r="B440" s="28">
        <v>0</v>
      </c>
      <c r="C440" s="28">
        <v>0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I440" s="28">
        <v>0</v>
      </c>
      <c r="J440" s="28">
        <v>0</v>
      </c>
      <c r="K440" s="28">
        <f>K432</f>
        <v>0</v>
      </c>
      <c r="L440" s="28">
        <f>L432</f>
        <v>0</v>
      </c>
      <c r="M440" s="28">
        <f>M432</f>
        <v>0</v>
      </c>
      <c r="R440" s="25">
        <f>1.5/0.2</f>
        <v>7.5</v>
      </c>
      <c r="BQ440"/>
    </row>
    <row r="441" spans="1:73" s="25" customFormat="1">
      <c r="A441" s="9"/>
      <c r="B441" s="9">
        <f>B437*B438*B440</f>
        <v>0</v>
      </c>
      <c r="C441" s="9">
        <f>C437*C438*C440</f>
        <v>0</v>
      </c>
      <c r="D441" s="9">
        <f>D437*D438*D440</f>
        <v>0</v>
      </c>
      <c r="E441" s="9">
        <f>E437*E438*E440</f>
        <v>0</v>
      </c>
      <c r="F441" s="9">
        <f t="shared" ref="F441:M441" si="92">F437*F438*F440</f>
        <v>0</v>
      </c>
      <c r="G441" s="9">
        <f t="shared" si="92"/>
        <v>0</v>
      </c>
      <c r="H441" s="9">
        <f t="shared" si="92"/>
        <v>0</v>
      </c>
      <c r="I441" s="9">
        <f t="shared" si="92"/>
        <v>0</v>
      </c>
      <c r="J441" s="9">
        <f t="shared" si="92"/>
        <v>0</v>
      </c>
      <c r="K441" s="9">
        <f t="shared" si="92"/>
        <v>0</v>
      </c>
      <c r="L441" s="9">
        <f t="shared" si="92"/>
        <v>0</v>
      </c>
      <c r="M441" s="9">
        <f t="shared" si="92"/>
        <v>0</v>
      </c>
      <c r="BQ441"/>
    </row>
    <row r="442" spans="1:73" s="25" customFormat="1">
      <c r="A442" s="9"/>
      <c r="B442" s="9"/>
      <c r="C442" s="9" t="s">
        <v>105</v>
      </c>
      <c r="D442" s="29">
        <f>J441+K441+L441</f>
        <v>0</v>
      </c>
      <c r="E442" s="9">
        <f>D442*3.854</f>
        <v>0</v>
      </c>
      <c r="F442" s="9"/>
      <c r="BQ442"/>
    </row>
    <row r="443" spans="1:73" s="25" customFormat="1">
      <c r="A443" s="9"/>
      <c r="B443" s="9"/>
      <c r="C443" s="9" t="s">
        <v>70</v>
      </c>
      <c r="D443" s="29"/>
      <c r="E443" s="9">
        <f>D443*2.467</f>
        <v>0</v>
      </c>
      <c r="F443" s="9"/>
      <c r="BQ443"/>
    </row>
    <row r="444" spans="1:73" s="25" customFormat="1">
      <c r="A444" s="9"/>
      <c r="B444" s="9"/>
      <c r="C444" s="9" t="s">
        <v>69</v>
      </c>
      <c r="D444" s="30">
        <f>SUM(B441:G441)</f>
        <v>0</v>
      </c>
      <c r="E444" s="9">
        <f>D444*0.888</f>
        <v>0</v>
      </c>
      <c r="F444" s="9"/>
      <c r="BQ444"/>
    </row>
    <row r="445" spans="1:73" s="1" customFormat="1">
      <c r="A445" s="5"/>
      <c r="B445" s="5"/>
      <c r="C445" s="5"/>
      <c r="D445" s="22"/>
      <c r="E445" s="5"/>
      <c r="F445" s="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</row>
    <row r="446" spans="1:73" s="1" customFormat="1">
      <c r="A446" s="5"/>
      <c r="B446" s="5" t="s">
        <v>88</v>
      </c>
      <c r="C446" s="5" t="s">
        <v>89</v>
      </c>
      <c r="D446" s="5" t="s">
        <v>90</v>
      </c>
      <c r="E446" s="5" t="s">
        <v>91</v>
      </c>
      <c r="F446" s="5" t="s">
        <v>92</v>
      </c>
      <c r="G446" s="5" t="s">
        <v>93</v>
      </c>
      <c r="H446" s="5" t="s">
        <v>94</v>
      </c>
      <c r="I446" s="5" t="s">
        <v>95</v>
      </c>
      <c r="J446" s="5" t="s">
        <v>96</v>
      </c>
      <c r="K446" s="5" t="s">
        <v>97</v>
      </c>
      <c r="L446" s="5" t="s">
        <v>98</v>
      </c>
      <c r="M446" s="5" t="s">
        <v>99</v>
      </c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</row>
    <row r="447" spans="1:73" s="1" customFormat="1" ht="18.75">
      <c r="A447" s="31" t="s">
        <v>107</v>
      </c>
      <c r="B447" s="1">
        <v>0.92</v>
      </c>
      <c r="C447" s="1">
        <v>0.92</v>
      </c>
      <c r="D447" s="1">
        <v>0.92</v>
      </c>
      <c r="E447" s="1">
        <v>0.92</v>
      </c>
      <c r="F447" s="1">
        <v>0.92</v>
      </c>
      <c r="G447" s="1">
        <v>0.92</v>
      </c>
      <c r="H447" s="1">
        <v>0.92</v>
      </c>
      <c r="I447" s="1">
        <v>0.92</v>
      </c>
      <c r="J447" s="1">
        <v>0.92</v>
      </c>
      <c r="K447" s="1">
        <v>0.92</v>
      </c>
      <c r="L447" s="1">
        <v>1.08</v>
      </c>
      <c r="M447" s="1">
        <v>0.92</v>
      </c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</row>
    <row r="448" spans="1:73" s="1" customFormat="1">
      <c r="A448" s="5"/>
      <c r="B448" s="5">
        <v>8</v>
      </c>
      <c r="C448" s="5">
        <v>8</v>
      </c>
      <c r="D448" s="5">
        <v>8</v>
      </c>
      <c r="E448" s="5">
        <v>8</v>
      </c>
      <c r="F448" s="5">
        <v>8</v>
      </c>
      <c r="G448" s="5">
        <v>8</v>
      </c>
      <c r="H448" s="5">
        <v>8</v>
      </c>
      <c r="I448" s="5">
        <v>8</v>
      </c>
      <c r="J448" s="5">
        <v>8</v>
      </c>
      <c r="K448" s="5">
        <v>8</v>
      </c>
      <c r="L448" s="5">
        <v>8</v>
      </c>
      <c r="M448" s="5">
        <v>8</v>
      </c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</row>
    <row r="449" spans="1:73" s="1" customFormat="1">
      <c r="A449" s="1" t="s">
        <v>52</v>
      </c>
      <c r="B449" s="10">
        <f>B406</f>
        <v>4</v>
      </c>
      <c r="C449" s="10">
        <f t="shared" ref="C449:M449" si="93">C406</f>
        <v>3</v>
      </c>
      <c r="D449" s="10">
        <f t="shared" si="93"/>
        <v>7</v>
      </c>
      <c r="E449" s="10">
        <f t="shared" si="93"/>
        <v>2</v>
      </c>
      <c r="F449" s="10">
        <f t="shared" si="93"/>
        <v>6</v>
      </c>
      <c r="G449" s="10">
        <f t="shared" si="93"/>
        <v>4</v>
      </c>
      <c r="H449" s="10">
        <f t="shared" si="93"/>
        <v>4</v>
      </c>
      <c r="I449" s="10">
        <f t="shared" si="93"/>
        <v>3</v>
      </c>
      <c r="J449" s="10">
        <f t="shared" si="93"/>
        <v>3</v>
      </c>
      <c r="K449" s="10">
        <f t="shared" si="93"/>
        <v>3</v>
      </c>
      <c r="L449" s="10">
        <f t="shared" si="93"/>
        <v>3</v>
      </c>
      <c r="M449" s="10">
        <f t="shared" si="93"/>
        <v>0</v>
      </c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</row>
    <row r="450" spans="1:73" s="1" customFormat="1">
      <c r="A450" s="5"/>
      <c r="B450" s="5">
        <f>B447*B448*B449</f>
        <v>29.44</v>
      </c>
      <c r="C450" s="5">
        <f>C447*C448*C449</f>
        <v>22.080000000000002</v>
      </c>
      <c r="D450" s="5">
        <f>D447*D448*D449</f>
        <v>51.52</v>
      </c>
      <c r="E450" s="5">
        <f>E447*E448*E449</f>
        <v>14.72</v>
      </c>
      <c r="F450" s="5">
        <f>F447*F448*F449</f>
        <v>44.160000000000004</v>
      </c>
      <c r="G450" s="5">
        <f t="shared" ref="G450:M450" si="94">G447*G448*G449</f>
        <v>29.44</v>
      </c>
      <c r="H450" s="5">
        <f t="shared" si="94"/>
        <v>29.44</v>
      </c>
      <c r="I450" s="5">
        <f t="shared" si="94"/>
        <v>22.080000000000002</v>
      </c>
      <c r="J450" s="5">
        <f t="shared" si="94"/>
        <v>22.080000000000002</v>
      </c>
      <c r="K450" s="5">
        <f t="shared" si="94"/>
        <v>22.080000000000002</v>
      </c>
      <c r="L450" s="5">
        <f t="shared" si="94"/>
        <v>25.92</v>
      </c>
      <c r="M450" s="5">
        <f t="shared" si="94"/>
        <v>0</v>
      </c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</row>
    <row r="451" spans="1:73" s="1" customFormat="1" ht="15.75" thickBot="1">
      <c r="A451" s="5"/>
      <c r="B451" s="5"/>
      <c r="C451" s="5"/>
      <c r="D451" s="5"/>
      <c r="E451" s="5"/>
      <c r="F451" s="5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</row>
    <row r="452" spans="1:73" s="1" customFormat="1" ht="19.5" thickBot="1">
      <c r="A452" s="5"/>
      <c r="B452" s="5"/>
      <c r="C452" s="32" t="s">
        <v>108</v>
      </c>
      <c r="D452" s="5">
        <f>SUM(B450:M450)</f>
        <v>312.96000000000004</v>
      </c>
      <c r="E452" s="3">
        <f>D452*0.617</f>
        <v>193.09632000000002</v>
      </c>
      <c r="F452" s="5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</row>
    <row r="458" spans="1:73" s="1" customFormat="1" ht="15.75" thickBot="1"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</row>
    <row r="459" spans="1:73" s="1" customFormat="1" ht="19.5" thickBot="1">
      <c r="B459" s="19" t="s">
        <v>109</v>
      </c>
      <c r="C459" s="31"/>
      <c r="D459" s="31"/>
      <c r="E459" s="3">
        <f>B460*B461</f>
        <v>228.47000000000003</v>
      </c>
      <c r="H459" s="10"/>
      <c r="I459" s="10"/>
      <c r="J459" s="10"/>
      <c r="K459" s="10"/>
      <c r="L459" s="10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</row>
    <row r="460" spans="1:73" s="1" customFormat="1">
      <c r="A460" s="5" t="s">
        <v>54</v>
      </c>
      <c r="B460" s="4">
        <v>147.4</v>
      </c>
      <c r="H460" s="4"/>
      <c r="I460" s="4"/>
      <c r="J460" s="4"/>
      <c r="K460" s="4"/>
      <c r="L460" s="4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</row>
    <row r="461" spans="1:73" s="1" customFormat="1">
      <c r="A461" s="5" t="s">
        <v>51</v>
      </c>
      <c r="B461" s="1">
        <v>1.55</v>
      </c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</row>
    <row r="462" spans="1:73" s="1" customFormat="1">
      <c r="B462" s="5"/>
      <c r="H462" s="4"/>
      <c r="I462" s="4"/>
      <c r="J462" s="4"/>
      <c r="K462" s="4"/>
      <c r="L462" s="4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</row>
    <row r="463" spans="1:73" s="1" customFormat="1">
      <c r="H463" s="10"/>
      <c r="I463" s="10"/>
      <c r="J463" s="10"/>
      <c r="K463" s="10"/>
      <c r="L463" s="10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</row>
    <row r="466" spans="1:73" s="1" customFormat="1" ht="28.5">
      <c r="C466" s="207" t="s">
        <v>25</v>
      </c>
      <c r="D466" s="207"/>
      <c r="E466" s="207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</row>
    <row r="467" spans="1:73" s="1" customFormat="1" ht="29.25" thickBot="1">
      <c r="C467" s="33"/>
      <c r="D467" s="33"/>
      <c r="E467" s="33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</row>
    <row r="468" spans="1:73" s="1" customFormat="1" ht="19.5" thickBot="1">
      <c r="B468" s="203" t="s">
        <v>110</v>
      </c>
      <c r="C468" s="203"/>
      <c r="D468" s="206"/>
      <c r="E468" s="3">
        <f>ROUNDUP(F478+F470+F486,0)</f>
        <v>7</v>
      </c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</row>
    <row r="469" spans="1:73" s="1" customFormat="1">
      <c r="E469" s="7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</row>
    <row r="470" spans="1:73" s="1" customFormat="1">
      <c r="A470" s="5" t="s">
        <v>111</v>
      </c>
      <c r="D470" s="1" t="s">
        <v>112</v>
      </c>
      <c r="F470" s="6">
        <f>SUM(B476:G476)</f>
        <v>3.5284299999999997</v>
      </c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</row>
    <row r="471" spans="1:73" s="1" customFormat="1">
      <c r="B471" s="10" t="s">
        <v>113</v>
      </c>
      <c r="C471" s="10" t="s">
        <v>114</v>
      </c>
      <c r="D471" s="10" t="s">
        <v>115</v>
      </c>
      <c r="E471" s="10" t="s">
        <v>116</v>
      </c>
      <c r="F471" s="10" t="s">
        <v>117</v>
      </c>
      <c r="G471" s="10" t="s">
        <v>118</v>
      </c>
      <c r="H471" s="10"/>
      <c r="I471" s="10"/>
      <c r="J471" s="10"/>
      <c r="K471" s="10"/>
      <c r="L471" s="10"/>
      <c r="M471" s="10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</row>
    <row r="472" spans="1:73" s="1" customFormat="1">
      <c r="A472" s="4" t="s">
        <v>49</v>
      </c>
      <c r="B472" s="1">
        <v>0.23</v>
      </c>
      <c r="C472" s="1">
        <v>0.23</v>
      </c>
      <c r="D472" s="1">
        <v>0.23</v>
      </c>
      <c r="E472" s="1">
        <v>0.23</v>
      </c>
      <c r="F472" s="1">
        <v>0.23</v>
      </c>
      <c r="G472" s="1">
        <v>0.23</v>
      </c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</row>
    <row r="473" spans="1:73" s="1" customFormat="1">
      <c r="A473" s="4" t="s">
        <v>50</v>
      </c>
      <c r="B473" s="1">
        <v>0.23</v>
      </c>
      <c r="C473" s="1">
        <v>0.23</v>
      </c>
      <c r="D473" s="1">
        <v>0.23</v>
      </c>
      <c r="E473" s="1">
        <v>0.23</v>
      </c>
      <c r="F473" s="1">
        <v>0.23</v>
      </c>
      <c r="G473" s="1">
        <v>0.23</v>
      </c>
      <c r="J473" s="4"/>
      <c r="K473" s="4"/>
      <c r="L473" s="4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</row>
    <row r="474" spans="1:73" s="1" customFormat="1">
      <c r="A474" s="1" t="s">
        <v>51</v>
      </c>
      <c r="B474" s="4">
        <v>2.9</v>
      </c>
      <c r="C474" s="4">
        <v>2.9</v>
      </c>
      <c r="D474" s="4">
        <v>2.7</v>
      </c>
      <c r="E474" s="4">
        <v>2.73</v>
      </c>
      <c r="F474" s="4">
        <v>2.73</v>
      </c>
      <c r="G474" s="4">
        <v>2.7</v>
      </c>
      <c r="H474" s="4"/>
      <c r="I474" s="4"/>
      <c r="J474" s="4"/>
      <c r="K474" s="4"/>
      <c r="L474" s="4"/>
      <c r="M474" s="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</row>
    <row r="475" spans="1:73" s="1" customFormat="1">
      <c r="A475" s="1" t="s">
        <v>52</v>
      </c>
      <c r="B475" s="10">
        <v>17</v>
      </c>
      <c r="C475" s="10">
        <v>6</v>
      </c>
      <c r="D475" s="10">
        <v>0</v>
      </c>
      <c r="E475" s="10">
        <v>0</v>
      </c>
      <c r="F475" s="10">
        <v>0</v>
      </c>
      <c r="G475" s="10">
        <v>0</v>
      </c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</row>
    <row r="476" spans="1:73" s="1" customFormat="1">
      <c r="B476" s="6">
        <f t="shared" ref="B476:G476" si="95">B472*B473*B474*B475</f>
        <v>2.6079699999999999</v>
      </c>
      <c r="C476" s="6">
        <f t="shared" si="95"/>
        <v>0.92045999999999994</v>
      </c>
      <c r="D476" s="6">
        <f t="shared" si="95"/>
        <v>0</v>
      </c>
      <c r="E476" s="6">
        <f t="shared" si="95"/>
        <v>0</v>
      </c>
      <c r="F476" s="6">
        <f t="shared" si="95"/>
        <v>0</v>
      </c>
      <c r="G476" s="6">
        <f t="shared" si="95"/>
        <v>0</v>
      </c>
      <c r="H476" s="7"/>
      <c r="I476" s="7"/>
      <c r="J476" s="7"/>
      <c r="K476" s="7"/>
      <c r="L476" s="7"/>
      <c r="M476" s="7"/>
      <c r="N476" s="34"/>
      <c r="O476" s="34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</row>
    <row r="477" spans="1:73" s="1" customFormat="1">
      <c r="H477" s="34"/>
      <c r="I477" s="34"/>
      <c r="J477" s="34"/>
      <c r="K477" s="34"/>
      <c r="L477" s="34"/>
      <c r="M477" s="34"/>
      <c r="N477" s="34"/>
      <c r="O477" s="34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</row>
    <row r="478" spans="1:73" s="1" customFormat="1">
      <c r="A478" s="5" t="s">
        <v>119</v>
      </c>
      <c r="D478" s="1" t="s">
        <v>120</v>
      </c>
      <c r="F478" s="6">
        <f>SUM(B484:G484)</f>
        <v>2.7428649999999997</v>
      </c>
      <c r="H478" s="34"/>
      <c r="I478" s="34"/>
      <c r="J478" s="34"/>
      <c r="K478" s="34"/>
      <c r="L478" s="34"/>
      <c r="M478" s="34"/>
      <c r="N478" s="34"/>
      <c r="O478" s="34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</row>
    <row r="479" spans="1:73" s="1" customFormat="1">
      <c r="B479" s="10" t="str">
        <f t="shared" ref="B479:G479" si="96">B471</f>
        <v>COL 1</v>
      </c>
      <c r="C479" s="10" t="str">
        <f t="shared" si="96"/>
        <v>COL 2</v>
      </c>
      <c r="D479" s="10" t="str">
        <f t="shared" si="96"/>
        <v>COL 2'</v>
      </c>
      <c r="E479" s="10" t="str">
        <f t="shared" si="96"/>
        <v>COL 3</v>
      </c>
      <c r="F479" s="10" t="str">
        <f t="shared" si="96"/>
        <v>COL 3'</v>
      </c>
      <c r="G479" s="10" t="str">
        <f t="shared" si="96"/>
        <v>COL 4</v>
      </c>
      <c r="H479" s="35"/>
      <c r="I479" s="35"/>
      <c r="J479" s="35"/>
      <c r="K479" s="35"/>
      <c r="L479" s="35"/>
      <c r="M479" s="35"/>
      <c r="N479" s="34"/>
      <c r="O479" s="34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</row>
    <row r="480" spans="1:73" s="1" customFormat="1">
      <c r="A480" s="4" t="s">
        <v>49</v>
      </c>
      <c r="B480" s="1">
        <v>0.23</v>
      </c>
      <c r="C480" s="1">
        <v>0.23</v>
      </c>
      <c r="D480" s="1">
        <v>0.23</v>
      </c>
      <c r="E480" s="1">
        <v>0.23</v>
      </c>
      <c r="F480" s="1">
        <v>0.23</v>
      </c>
      <c r="G480" s="1">
        <v>0.23</v>
      </c>
      <c r="H480" s="34"/>
      <c r="I480" s="34"/>
      <c r="J480" s="34"/>
      <c r="K480" s="34"/>
      <c r="L480" s="34"/>
      <c r="M480" s="34"/>
      <c r="N480" s="34"/>
      <c r="O480" s="34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</row>
    <row r="481" spans="1:73" s="1" customFormat="1">
      <c r="A481" s="4" t="s">
        <v>50</v>
      </c>
      <c r="B481" s="1">
        <v>0.23</v>
      </c>
      <c r="C481" s="1">
        <v>0.23</v>
      </c>
      <c r="D481" s="1">
        <v>0.23</v>
      </c>
      <c r="E481" s="1">
        <v>0.23</v>
      </c>
      <c r="F481" s="1">
        <v>0.23</v>
      </c>
      <c r="G481" s="1">
        <v>0.23</v>
      </c>
      <c r="H481" s="34"/>
      <c r="I481" s="34"/>
      <c r="J481" s="34"/>
      <c r="K481" s="36"/>
      <c r="L481" s="36"/>
      <c r="M481" s="34"/>
      <c r="N481" s="34"/>
      <c r="O481" s="34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</row>
    <row r="482" spans="1:73" s="1" customFormat="1">
      <c r="A482" s="1" t="s">
        <v>51</v>
      </c>
      <c r="B482" s="4">
        <v>3.05</v>
      </c>
      <c r="C482" s="4">
        <v>2.7</v>
      </c>
      <c r="D482" s="4">
        <v>2.73</v>
      </c>
      <c r="E482" s="4">
        <f>2.7</f>
        <v>2.7</v>
      </c>
      <c r="F482" s="4">
        <v>2.73</v>
      </c>
      <c r="G482" s="4">
        <v>2.7</v>
      </c>
      <c r="H482" s="36"/>
      <c r="I482" s="36"/>
      <c r="J482" s="36"/>
      <c r="K482" s="36"/>
      <c r="L482" s="36"/>
      <c r="M482" s="36"/>
      <c r="N482" s="34"/>
      <c r="O482" s="34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</row>
    <row r="483" spans="1:73" s="1" customFormat="1">
      <c r="A483" s="1" t="s">
        <v>52</v>
      </c>
      <c r="B483" s="10">
        <v>17</v>
      </c>
      <c r="C483" s="10">
        <v>0</v>
      </c>
      <c r="D483" s="10">
        <v>0</v>
      </c>
      <c r="E483" s="10">
        <v>0</v>
      </c>
      <c r="F483" s="10">
        <v>0</v>
      </c>
      <c r="G483" s="10">
        <v>0</v>
      </c>
      <c r="H483" s="34"/>
      <c r="I483" s="34"/>
      <c r="J483" s="34"/>
      <c r="K483" s="34"/>
      <c r="L483" s="34"/>
      <c r="M483" s="34"/>
      <c r="N483" s="34"/>
      <c r="O483" s="34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</row>
    <row r="484" spans="1:73" s="1" customFormat="1">
      <c r="B484" s="6">
        <f t="shared" ref="B484:G484" si="97">B480*B481*B482*B483</f>
        <v>2.7428649999999997</v>
      </c>
      <c r="C484" s="6">
        <f t="shared" si="97"/>
        <v>0</v>
      </c>
      <c r="D484" s="6">
        <f t="shared" si="97"/>
        <v>0</v>
      </c>
      <c r="E484" s="6">
        <f t="shared" si="97"/>
        <v>0</v>
      </c>
      <c r="F484" s="6">
        <f t="shared" si="97"/>
        <v>0</v>
      </c>
      <c r="G484" s="6">
        <f t="shared" si="97"/>
        <v>0</v>
      </c>
      <c r="H484" s="7"/>
      <c r="I484" s="7"/>
      <c r="J484" s="7"/>
      <c r="K484" s="7"/>
      <c r="L484" s="7"/>
      <c r="M484" s="7"/>
      <c r="N484" s="34"/>
      <c r="O484" s="3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</row>
    <row r="485" spans="1:73" s="1" customFormat="1">
      <c r="H485" s="34"/>
      <c r="I485" s="34"/>
      <c r="J485" s="34"/>
      <c r="K485" s="34"/>
      <c r="L485" s="34"/>
      <c r="M485" s="34"/>
      <c r="N485" s="34"/>
      <c r="O485" s="34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</row>
    <row r="486" spans="1:73" s="1" customFormat="1">
      <c r="A486" s="5" t="s">
        <v>121</v>
      </c>
      <c r="D486" s="1" t="s">
        <v>120</v>
      </c>
      <c r="F486" s="6">
        <f>SUM(B492:G492)</f>
        <v>0</v>
      </c>
      <c r="H486" s="34"/>
      <c r="I486" s="34"/>
      <c r="J486" s="34"/>
      <c r="K486" s="34"/>
      <c r="L486" s="34"/>
      <c r="M486" s="34"/>
      <c r="N486" s="34"/>
      <c r="O486" s="34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</row>
    <row r="487" spans="1:73" s="1" customFormat="1">
      <c r="B487" s="10" t="str">
        <f t="shared" ref="B487:G490" si="98">B479</f>
        <v>COL 1</v>
      </c>
      <c r="C487" s="10" t="str">
        <f t="shared" si="98"/>
        <v>COL 2</v>
      </c>
      <c r="D487" s="10" t="str">
        <f t="shared" si="98"/>
        <v>COL 2'</v>
      </c>
      <c r="E487" s="10" t="str">
        <f t="shared" si="98"/>
        <v>COL 3</v>
      </c>
      <c r="F487" s="10" t="str">
        <f t="shared" si="98"/>
        <v>COL 3'</v>
      </c>
      <c r="G487" s="10" t="str">
        <f t="shared" si="98"/>
        <v>COL 4</v>
      </c>
      <c r="H487" s="35"/>
      <c r="I487" s="35"/>
      <c r="J487" s="35"/>
      <c r="K487" s="35"/>
      <c r="L487" s="35"/>
      <c r="M487" s="35"/>
      <c r="N487" s="34"/>
      <c r="O487" s="34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</row>
    <row r="488" spans="1:73" s="1" customFormat="1">
      <c r="A488" s="4" t="s">
        <v>49</v>
      </c>
      <c r="B488" s="10">
        <f t="shared" si="98"/>
        <v>0.23</v>
      </c>
      <c r="C488" s="10">
        <f t="shared" si="98"/>
        <v>0.23</v>
      </c>
      <c r="D488" s="1">
        <v>0.23</v>
      </c>
      <c r="E488" s="1">
        <v>0.23</v>
      </c>
      <c r="F488" s="1">
        <v>0.23</v>
      </c>
      <c r="G488" s="1">
        <v>0.23</v>
      </c>
      <c r="H488" s="34"/>
      <c r="I488" s="34"/>
      <c r="J488" s="34"/>
      <c r="K488" s="34"/>
      <c r="L488" s="34"/>
      <c r="M488" s="34"/>
      <c r="N488" s="34"/>
      <c r="O488" s="34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</row>
    <row r="489" spans="1:73" s="1" customFormat="1">
      <c r="A489" s="4" t="s">
        <v>50</v>
      </c>
      <c r="B489" s="10">
        <f t="shared" si="98"/>
        <v>0.23</v>
      </c>
      <c r="C489" s="10">
        <f t="shared" si="98"/>
        <v>0.23</v>
      </c>
      <c r="D489" s="1">
        <v>0.23</v>
      </c>
      <c r="E489" s="1">
        <v>0.3</v>
      </c>
      <c r="F489" s="1">
        <v>0.3</v>
      </c>
      <c r="G489" s="1">
        <v>0.3</v>
      </c>
      <c r="H489" s="34"/>
      <c r="I489" s="34"/>
      <c r="J489" s="36"/>
      <c r="K489" s="36"/>
      <c r="L489" s="36"/>
      <c r="M489" s="34"/>
      <c r="N489" s="34"/>
      <c r="O489" s="34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</row>
    <row r="490" spans="1:73" s="1" customFormat="1">
      <c r="A490" s="1" t="s">
        <v>51</v>
      </c>
      <c r="B490" s="10">
        <f t="shared" si="98"/>
        <v>3.05</v>
      </c>
      <c r="C490" s="10">
        <f t="shared" si="98"/>
        <v>2.7</v>
      </c>
      <c r="D490" s="4">
        <v>2.7</v>
      </c>
      <c r="E490" s="4">
        <v>2.85</v>
      </c>
      <c r="F490" s="4">
        <v>2.7</v>
      </c>
      <c r="G490" s="4">
        <v>2.85</v>
      </c>
      <c r="H490" s="36"/>
      <c r="I490" s="36"/>
      <c r="J490" s="36"/>
      <c r="K490" s="36"/>
      <c r="L490" s="36"/>
      <c r="M490" s="36"/>
      <c r="N490" s="34"/>
      <c r="O490" s="34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</row>
    <row r="491" spans="1:73" s="1" customFormat="1">
      <c r="A491" s="1" t="s">
        <v>52</v>
      </c>
      <c r="B491" s="10">
        <v>0</v>
      </c>
      <c r="C491" s="10">
        <v>0</v>
      </c>
      <c r="D491" s="10">
        <v>0</v>
      </c>
      <c r="E491" s="10">
        <v>0</v>
      </c>
      <c r="F491" s="10">
        <v>0</v>
      </c>
      <c r="G491" s="10">
        <v>0</v>
      </c>
      <c r="H491" s="34"/>
      <c r="I491" s="34"/>
      <c r="J491" s="34"/>
      <c r="K491" s="34"/>
      <c r="L491" s="34"/>
      <c r="M491" s="34"/>
      <c r="N491" s="34"/>
      <c r="O491" s="34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</row>
    <row r="492" spans="1:73" s="1" customFormat="1">
      <c r="B492" s="6">
        <f t="shared" ref="B492:G492" si="99">B488*B489*B490*B491</f>
        <v>0</v>
      </c>
      <c r="C492" s="6">
        <f t="shared" si="99"/>
        <v>0</v>
      </c>
      <c r="D492" s="6">
        <f t="shared" si="99"/>
        <v>0</v>
      </c>
      <c r="E492" s="6">
        <f t="shared" si="99"/>
        <v>0</v>
      </c>
      <c r="F492" s="6">
        <f t="shared" si="99"/>
        <v>0</v>
      </c>
      <c r="G492" s="6">
        <f t="shared" si="99"/>
        <v>0</v>
      </c>
      <c r="H492" s="7"/>
      <c r="I492" s="7"/>
      <c r="J492" s="7"/>
      <c r="K492" s="7"/>
      <c r="L492" s="7"/>
      <c r="M492" s="7"/>
      <c r="N492" s="34"/>
      <c r="O492" s="34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</row>
    <row r="494" spans="1:73" s="1" customFormat="1" ht="15.75" thickBot="1"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</row>
    <row r="495" spans="1:73" s="1" customFormat="1" ht="19.5" thickBot="1">
      <c r="B495" s="203" t="s">
        <v>86</v>
      </c>
      <c r="C495" s="203"/>
      <c r="D495" s="203"/>
      <c r="E495" s="206"/>
      <c r="F495" s="3">
        <f>ROUNDUP(F497+F505+F513,0)</f>
        <v>110</v>
      </c>
      <c r="G495" s="37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</row>
    <row r="496" spans="1:73" s="1" customFormat="1">
      <c r="D496" s="38"/>
      <c r="F496" s="7"/>
      <c r="G496" s="37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</row>
    <row r="497" spans="1:73" s="1" customFormat="1">
      <c r="A497" s="5" t="str">
        <f>A470</f>
        <v>GROUND</v>
      </c>
      <c r="D497" s="1" t="s">
        <v>112</v>
      </c>
      <c r="F497" s="18">
        <f>SUM(B503:M503)</f>
        <v>61.364000000000004</v>
      </c>
      <c r="H497" s="34"/>
      <c r="I497" s="7"/>
      <c r="J497" s="34"/>
      <c r="K497" s="34"/>
      <c r="L497" s="34"/>
      <c r="M497" s="34"/>
      <c r="N497" s="7"/>
      <c r="O497" s="34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</row>
    <row r="498" spans="1:73" s="1" customFormat="1">
      <c r="B498" s="10" t="str">
        <f t="shared" ref="B498:G502" si="100">B471</f>
        <v>COL 1</v>
      </c>
      <c r="C498" s="10" t="str">
        <f t="shared" si="100"/>
        <v>COL 2</v>
      </c>
      <c r="D498" s="10" t="str">
        <f t="shared" si="100"/>
        <v>COL 2'</v>
      </c>
      <c r="E498" s="10" t="str">
        <f t="shared" si="100"/>
        <v>COL 3</v>
      </c>
      <c r="F498" s="10" t="str">
        <f t="shared" si="100"/>
        <v>COL 3'</v>
      </c>
      <c r="G498" s="10" t="str">
        <f t="shared" si="100"/>
        <v>COL 4</v>
      </c>
      <c r="H498" s="35"/>
      <c r="I498" s="35"/>
      <c r="J498" s="35"/>
      <c r="K498" s="35"/>
      <c r="L498" s="35"/>
      <c r="M498" s="35"/>
      <c r="N498" s="34"/>
      <c r="O498" s="34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</row>
    <row r="499" spans="1:73" s="1" customFormat="1">
      <c r="A499" s="4" t="s">
        <v>49</v>
      </c>
      <c r="B499" s="10">
        <f t="shared" si="100"/>
        <v>0.23</v>
      </c>
      <c r="C499" s="10">
        <f t="shared" si="100"/>
        <v>0.23</v>
      </c>
      <c r="D499" s="10">
        <f t="shared" si="100"/>
        <v>0.23</v>
      </c>
      <c r="E499" s="10">
        <f t="shared" si="100"/>
        <v>0.23</v>
      </c>
      <c r="F499" s="10">
        <f t="shared" si="100"/>
        <v>0.23</v>
      </c>
      <c r="G499" s="10">
        <f t="shared" si="100"/>
        <v>0.23</v>
      </c>
      <c r="H499" s="35"/>
      <c r="I499" s="35"/>
      <c r="J499" s="35"/>
      <c r="K499" s="35"/>
      <c r="L499" s="34"/>
      <c r="M499" s="34"/>
      <c r="N499" s="34"/>
      <c r="O499" s="34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</row>
    <row r="500" spans="1:73" s="1" customFormat="1">
      <c r="A500" s="4" t="s">
        <v>50</v>
      </c>
      <c r="B500" s="10">
        <f t="shared" si="100"/>
        <v>0.23</v>
      </c>
      <c r="C500" s="10">
        <f t="shared" si="100"/>
        <v>0.23</v>
      </c>
      <c r="D500" s="10">
        <f t="shared" si="100"/>
        <v>0.23</v>
      </c>
      <c r="E500" s="10">
        <f t="shared" si="100"/>
        <v>0.23</v>
      </c>
      <c r="F500" s="10">
        <f t="shared" si="100"/>
        <v>0.23</v>
      </c>
      <c r="G500" s="10">
        <f t="shared" si="100"/>
        <v>0.23</v>
      </c>
      <c r="H500" s="35"/>
      <c r="I500" s="35"/>
      <c r="J500" s="35"/>
      <c r="K500" s="35"/>
      <c r="L500" s="36"/>
      <c r="M500" s="34"/>
      <c r="N500" s="34"/>
      <c r="O500" s="34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</row>
    <row r="501" spans="1:73" s="1" customFormat="1">
      <c r="A501" s="1" t="s">
        <v>51</v>
      </c>
      <c r="B501" s="10">
        <f t="shared" si="100"/>
        <v>2.9</v>
      </c>
      <c r="C501" s="10">
        <f t="shared" si="100"/>
        <v>2.9</v>
      </c>
      <c r="D501" s="10">
        <f t="shared" si="100"/>
        <v>2.7</v>
      </c>
      <c r="E501" s="10">
        <f t="shared" si="100"/>
        <v>2.73</v>
      </c>
      <c r="F501" s="10">
        <f t="shared" si="100"/>
        <v>2.73</v>
      </c>
      <c r="G501" s="10">
        <f t="shared" si="100"/>
        <v>2.7</v>
      </c>
      <c r="H501" s="35"/>
      <c r="I501" s="35"/>
      <c r="J501" s="35"/>
      <c r="K501" s="35"/>
      <c r="L501" s="36"/>
      <c r="M501" s="36"/>
      <c r="N501" s="34"/>
      <c r="O501" s="34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</row>
    <row r="502" spans="1:73" s="1" customFormat="1">
      <c r="A502" s="1" t="s">
        <v>52</v>
      </c>
      <c r="B502" s="10">
        <f t="shared" si="100"/>
        <v>17</v>
      </c>
      <c r="C502" s="10">
        <f t="shared" si="100"/>
        <v>6</v>
      </c>
      <c r="D502" s="10">
        <f t="shared" si="100"/>
        <v>0</v>
      </c>
      <c r="E502" s="10">
        <f t="shared" si="100"/>
        <v>0</v>
      </c>
      <c r="F502" s="10">
        <f t="shared" si="100"/>
        <v>0</v>
      </c>
      <c r="G502" s="10">
        <f t="shared" si="100"/>
        <v>0</v>
      </c>
      <c r="H502" s="35"/>
      <c r="I502" s="35"/>
      <c r="J502" s="35"/>
      <c r="K502" s="35"/>
      <c r="L502" s="34"/>
      <c r="M502" s="34"/>
      <c r="N502" s="34"/>
      <c r="O502" s="34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</row>
    <row r="503" spans="1:73" s="1" customFormat="1">
      <c r="B503" s="6">
        <f t="shared" ref="B503:G503" si="101">((B501*B499*2)+(B501*B500*2))*B502</f>
        <v>45.356000000000002</v>
      </c>
      <c r="C503" s="6">
        <f t="shared" si="101"/>
        <v>16.008000000000003</v>
      </c>
      <c r="D503" s="6">
        <f t="shared" si="101"/>
        <v>0</v>
      </c>
      <c r="E503" s="6">
        <f t="shared" si="101"/>
        <v>0</v>
      </c>
      <c r="F503" s="6">
        <f t="shared" si="101"/>
        <v>0</v>
      </c>
      <c r="G503" s="6">
        <f t="shared" si="101"/>
        <v>0</v>
      </c>
      <c r="H503" s="7"/>
      <c r="I503" s="7"/>
      <c r="J503" s="7"/>
      <c r="K503" s="7"/>
      <c r="L503" s="7"/>
      <c r="M503" s="7"/>
      <c r="N503" s="34"/>
      <c r="O503" s="34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</row>
    <row r="504" spans="1:73" s="1" customFormat="1">
      <c r="H504" s="34"/>
      <c r="I504" s="34"/>
      <c r="J504" s="34"/>
      <c r="K504" s="34"/>
      <c r="L504" s="34"/>
      <c r="M504" s="34"/>
      <c r="N504" s="34"/>
      <c r="O504" s="3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</row>
    <row r="505" spans="1:73" s="1" customFormat="1">
      <c r="A505" s="5" t="str">
        <f>A478</f>
        <v>FIRST</v>
      </c>
      <c r="D505" s="1" t="s">
        <v>112</v>
      </c>
      <c r="F505" s="6">
        <f>SUM(B511:M511)</f>
        <v>47.701999999999998</v>
      </c>
      <c r="H505" s="34"/>
      <c r="I505" s="34"/>
      <c r="J505" s="34"/>
      <c r="K505" s="34"/>
      <c r="L505" s="34"/>
      <c r="M505" s="34"/>
      <c r="N505" s="34"/>
      <c r="O505" s="34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</row>
    <row r="506" spans="1:73" s="1" customFormat="1">
      <c r="B506" s="10" t="str">
        <f t="shared" ref="B506:G510" si="102">B479</f>
        <v>COL 1</v>
      </c>
      <c r="C506" s="10" t="str">
        <f t="shared" si="102"/>
        <v>COL 2</v>
      </c>
      <c r="D506" s="10" t="str">
        <f t="shared" si="102"/>
        <v>COL 2'</v>
      </c>
      <c r="E506" s="10" t="str">
        <f t="shared" si="102"/>
        <v>COL 3</v>
      </c>
      <c r="F506" s="10" t="str">
        <f t="shared" si="102"/>
        <v>COL 3'</v>
      </c>
      <c r="G506" s="10" t="str">
        <f t="shared" si="102"/>
        <v>COL 4</v>
      </c>
      <c r="H506" s="35"/>
      <c r="I506" s="35"/>
      <c r="J506" s="35"/>
      <c r="K506" s="35"/>
      <c r="L506" s="35"/>
      <c r="M506" s="35"/>
      <c r="N506" s="34"/>
      <c r="O506" s="34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</row>
    <row r="507" spans="1:73" s="1" customFormat="1">
      <c r="A507" s="4" t="s">
        <v>49</v>
      </c>
      <c r="B507" s="10">
        <f t="shared" si="102"/>
        <v>0.23</v>
      </c>
      <c r="C507" s="10">
        <f t="shared" si="102"/>
        <v>0.23</v>
      </c>
      <c r="D507" s="10">
        <f t="shared" si="102"/>
        <v>0.23</v>
      </c>
      <c r="E507" s="10">
        <f t="shared" si="102"/>
        <v>0.23</v>
      </c>
      <c r="F507" s="10">
        <f t="shared" si="102"/>
        <v>0.23</v>
      </c>
      <c r="G507" s="10">
        <f t="shared" si="102"/>
        <v>0.23</v>
      </c>
      <c r="H507" s="35"/>
      <c r="I507" s="35"/>
      <c r="J507" s="35"/>
      <c r="K507" s="34"/>
      <c r="L507" s="34"/>
      <c r="M507" s="34"/>
      <c r="N507" s="34"/>
      <c r="O507" s="34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</row>
    <row r="508" spans="1:73" s="1" customFormat="1">
      <c r="A508" s="4" t="s">
        <v>50</v>
      </c>
      <c r="B508" s="10">
        <f t="shared" si="102"/>
        <v>0.23</v>
      </c>
      <c r="C508" s="10">
        <f t="shared" si="102"/>
        <v>0.23</v>
      </c>
      <c r="D508" s="10">
        <f t="shared" si="102"/>
        <v>0.23</v>
      </c>
      <c r="E508" s="10">
        <f t="shared" si="102"/>
        <v>0.23</v>
      </c>
      <c r="F508" s="10">
        <f t="shared" si="102"/>
        <v>0.23</v>
      </c>
      <c r="G508" s="10">
        <f t="shared" si="102"/>
        <v>0.23</v>
      </c>
      <c r="H508" s="35"/>
      <c r="I508" s="35"/>
      <c r="J508" s="35"/>
      <c r="K508" s="36"/>
      <c r="L508" s="36"/>
      <c r="M508" s="34"/>
      <c r="N508" s="34"/>
      <c r="O508" s="34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</row>
    <row r="509" spans="1:73" s="1" customFormat="1">
      <c r="A509" s="1" t="s">
        <v>51</v>
      </c>
      <c r="B509" s="10">
        <f t="shared" si="102"/>
        <v>3.05</v>
      </c>
      <c r="C509" s="10">
        <f t="shared" si="102"/>
        <v>2.7</v>
      </c>
      <c r="D509" s="10">
        <f t="shared" si="102"/>
        <v>2.73</v>
      </c>
      <c r="E509" s="10">
        <f t="shared" si="102"/>
        <v>2.7</v>
      </c>
      <c r="F509" s="10">
        <f t="shared" si="102"/>
        <v>2.73</v>
      </c>
      <c r="G509" s="10">
        <f t="shared" si="102"/>
        <v>2.7</v>
      </c>
      <c r="H509" s="35"/>
      <c r="I509" s="35"/>
      <c r="J509" s="35"/>
      <c r="K509" s="36"/>
      <c r="L509" s="36"/>
      <c r="M509" s="36"/>
      <c r="N509" s="34"/>
      <c r="O509" s="34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</row>
    <row r="510" spans="1:73" s="1" customFormat="1">
      <c r="A510" s="1" t="s">
        <v>52</v>
      </c>
      <c r="B510" s="10">
        <f t="shared" si="102"/>
        <v>17</v>
      </c>
      <c r="C510" s="10">
        <f t="shared" si="102"/>
        <v>0</v>
      </c>
      <c r="D510" s="10">
        <f t="shared" si="102"/>
        <v>0</v>
      </c>
      <c r="E510" s="10">
        <f t="shared" si="102"/>
        <v>0</v>
      </c>
      <c r="F510" s="10">
        <f t="shared" si="102"/>
        <v>0</v>
      </c>
      <c r="G510" s="10">
        <f t="shared" si="102"/>
        <v>0</v>
      </c>
      <c r="H510" s="35"/>
      <c r="I510" s="35"/>
      <c r="J510" s="35"/>
      <c r="K510" s="34"/>
      <c r="L510" s="34"/>
      <c r="M510" s="34"/>
      <c r="N510" s="34"/>
      <c r="O510" s="34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</row>
    <row r="511" spans="1:73" s="1" customFormat="1">
      <c r="B511" s="6">
        <f t="shared" ref="B511:G511" si="103">((B509*B507*2)+(B509*B508*2))*B510</f>
        <v>47.701999999999998</v>
      </c>
      <c r="C511" s="6">
        <f t="shared" si="103"/>
        <v>0</v>
      </c>
      <c r="D511" s="6">
        <f t="shared" si="103"/>
        <v>0</v>
      </c>
      <c r="E511" s="6">
        <f t="shared" si="103"/>
        <v>0</v>
      </c>
      <c r="F511" s="6">
        <f t="shared" si="103"/>
        <v>0</v>
      </c>
      <c r="G511" s="6">
        <f t="shared" si="103"/>
        <v>0</v>
      </c>
      <c r="H511" s="7"/>
      <c r="I511" s="7"/>
      <c r="J511" s="7"/>
      <c r="K511" s="7"/>
      <c r="L511" s="7"/>
      <c r="M511" s="7"/>
      <c r="N511" s="34"/>
      <c r="O511" s="34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</row>
    <row r="512" spans="1:73" s="1" customForma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34"/>
      <c r="O512" s="34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</row>
    <row r="513" spans="1:73" s="1" customFormat="1">
      <c r="A513" s="5" t="str">
        <f>A486</f>
        <v>PENT</v>
      </c>
      <c r="D513" s="1" t="s">
        <v>112</v>
      </c>
      <c r="F513" s="6">
        <f>SUM(B519:M519)</f>
        <v>0</v>
      </c>
      <c r="H513" s="34"/>
      <c r="I513" s="34"/>
      <c r="J513" s="34"/>
      <c r="K513" s="34"/>
      <c r="L513" s="34"/>
      <c r="M513" s="34"/>
      <c r="N513" s="34"/>
      <c r="O513" s="34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</row>
    <row r="514" spans="1:73" s="1" customFormat="1">
      <c r="B514" s="10" t="str">
        <f t="shared" ref="B514:G518" si="104">B487</f>
        <v>COL 1</v>
      </c>
      <c r="C514" s="10" t="str">
        <f t="shared" si="104"/>
        <v>COL 2</v>
      </c>
      <c r="D514" s="10" t="str">
        <f t="shared" si="104"/>
        <v>COL 2'</v>
      </c>
      <c r="E514" s="10" t="str">
        <f t="shared" si="104"/>
        <v>COL 3</v>
      </c>
      <c r="F514" s="10" t="str">
        <f t="shared" si="104"/>
        <v>COL 3'</v>
      </c>
      <c r="G514" s="10" t="str">
        <f t="shared" si="104"/>
        <v>COL 4</v>
      </c>
      <c r="H514" s="35"/>
      <c r="I514" s="35"/>
      <c r="J514" s="35"/>
      <c r="K514" s="35"/>
      <c r="L514" s="35"/>
      <c r="M514" s="35"/>
      <c r="N514" s="34"/>
      <c r="O514" s="3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</row>
    <row r="515" spans="1:73" s="1" customFormat="1">
      <c r="A515" s="4" t="s">
        <v>49</v>
      </c>
      <c r="B515" s="10">
        <f t="shared" si="104"/>
        <v>0.23</v>
      </c>
      <c r="C515" s="10">
        <f t="shared" si="104"/>
        <v>0.23</v>
      </c>
      <c r="D515" s="10">
        <f t="shared" si="104"/>
        <v>0.23</v>
      </c>
      <c r="E515" s="10">
        <f t="shared" si="104"/>
        <v>0.23</v>
      </c>
      <c r="F515" s="10">
        <f t="shared" si="104"/>
        <v>0.23</v>
      </c>
      <c r="G515" s="10">
        <f t="shared" si="104"/>
        <v>0.23</v>
      </c>
      <c r="H515" s="35"/>
      <c r="I515" s="35"/>
      <c r="J515" s="34"/>
      <c r="K515" s="34"/>
      <c r="L515" s="34"/>
      <c r="M515" s="34"/>
      <c r="N515" s="34"/>
      <c r="O515" s="34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</row>
    <row r="516" spans="1:73" s="1" customFormat="1">
      <c r="A516" s="4" t="s">
        <v>50</v>
      </c>
      <c r="B516" s="10">
        <f t="shared" si="104"/>
        <v>0.23</v>
      </c>
      <c r="C516" s="10">
        <f t="shared" si="104"/>
        <v>0.23</v>
      </c>
      <c r="D516" s="10">
        <f t="shared" si="104"/>
        <v>0.23</v>
      </c>
      <c r="E516" s="10">
        <f t="shared" si="104"/>
        <v>0.3</v>
      </c>
      <c r="F516" s="10">
        <f t="shared" si="104"/>
        <v>0.3</v>
      </c>
      <c r="G516" s="10">
        <f t="shared" si="104"/>
        <v>0.3</v>
      </c>
      <c r="H516" s="35"/>
      <c r="I516" s="35"/>
      <c r="J516" s="36"/>
      <c r="K516" s="36"/>
      <c r="L516" s="36"/>
      <c r="M516" s="34"/>
      <c r="N516" s="34"/>
      <c r="O516" s="34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</row>
    <row r="517" spans="1:73" s="1" customFormat="1">
      <c r="A517" s="1" t="s">
        <v>51</v>
      </c>
      <c r="B517" s="10">
        <f t="shared" si="104"/>
        <v>3.05</v>
      </c>
      <c r="C517" s="10">
        <f t="shared" si="104"/>
        <v>2.7</v>
      </c>
      <c r="D517" s="10">
        <f t="shared" si="104"/>
        <v>2.7</v>
      </c>
      <c r="E517" s="10">
        <f t="shared" si="104"/>
        <v>2.85</v>
      </c>
      <c r="F517" s="10">
        <f t="shared" si="104"/>
        <v>2.7</v>
      </c>
      <c r="G517" s="10">
        <f t="shared" si="104"/>
        <v>2.85</v>
      </c>
      <c r="H517" s="35"/>
      <c r="I517" s="35"/>
      <c r="J517" s="36"/>
      <c r="K517" s="36"/>
      <c r="L517" s="36"/>
      <c r="M517" s="36"/>
      <c r="N517" s="34"/>
      <c r="O517" s="34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</row>
    <row r="518" spans="1:73" s="1" customFormat="1">
      <c r="A518" s="1" t="s">
        <v>52</v>
      </c>
      <c r="B518" s="10">
        <f t="shared" si="104"/>
        <v>0</v>
      </c>
      <c r="C518" s="10">
        <f t="shared" si="104"/>
        <v>0</v>
      </c>
      <c r="D518" s="10">
        <f t="shared" si="104"/>
        <v>0</v>
      </c>
      <c r="E518" s="10">
        <f t="shared" si="104"/>
        <v>0</v>
      </c>
      <c r="F518" s="10">
        <f t="shared" si="104"/>
        <v>0</v>
      </c>
      <c r="G518" s="10">
        <f t="shared" si="104"/>
        <v>0</v>
      </c>
      <c r="H518" s="35"/>
      <c r="I518" s="35"/>
      <c r="J518" s="34"/>
      <c r="K518" s="34"/>
      <c r="L518" s="34"/>
      <c r="M518" s="34"/>
      <c r="N518" s="34"/>
      <c r="O518" s="34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</row>
    <row r="519" spans="1:73" s="1" customFormat="1">
      <c r="B519" s="6">
        <f t="shared" ref="B519:G519" si="105">((B517*B515*2)+(B517*B516*2))*B518</f>
        <v>0</v>
      </c>
      <c r="C519" s="6">
        <f t="shared" si="105"/>
        <v>0</v>
      </c>
      <c r="D519" s="6">
        <f t="shared" si="105"/>
        <v>0</v>
      </c>
      <c r="E519" s="6">
        <f t="shared" si="105"/>
        <v>0</v>
      </c>
      <c r="F519" s="6">
        <f t="shared" si="105"/>
        <v>0</v>
      </c>
      <c r="G519" s="6">
        <f t="shared" si="105"/>
        <v>0</v>
      </c>
      <c r="H519" s="7"/>
      <c r="I519" s="7"/>
      <c r="J519" s="7"/>
      <c r="K519" s="7"/>
      <c r="L519" s="7"/>
      <c r="M519" s="7"/>
      <c r="N519" s="34"/>
      <c r="O519" s="34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</row>
    <row r="520" spans="1:73" s="1" customFormat="1" ht="15.75" thickBo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34"/>
      <c r="O520" s="34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</row>
    <row r="521" spans="1:73" s="1" customFormat="1" ht="19.5" thickBot="1">
      <c r="B521" s="203" t="s">
        <v>122</v>
      </c>
      <c r="C521" s="203"/>
      <c r="D521" s="203"/>
      <c r="E521" s="39" t="s">
        <v>105</v>
      </c>
      <c r="F521" s="3">
        <f>E533+E544+E555</f>
        <v>0</v>
      </c>
      <c r="G521" s="7"/>
      <c r="H521" s="7"/>
      <c r="I521" s="7"/>
      <c r="J521" s="7"/>
      <c r="K521" s="7"/>
      <c r="L521" s="7"/>
      <c r="M521" s="7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</row>
    <row r="522" spans="1:73" s="1" customFormat="1" ht="19.5" thickBot="1">
      <c r="B522" s="7"/>
      <c r="C522" s="5"/>
      <c r="E522" s="19" t="s">
        <v>70</v>
      </c>
      <c r="F522" s="3">
        <f>ROUNDUP(E534+E545+E556,0)</f>
        <v>0</v>
      </c>
      <c r="G522" s="7"/>
      <c r="H522" s="7"/>
      <c r="I522" s="7"/>
      <c r="J522" s="7"/>
      <c r="K522" s="7"/>
      <c r="L522" s="7"/>
      <c r="M522" s="7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 s="42"/>
      <c r="BR522"/>
      <c r="BS522"/>
      <c r="BT522"/>
      <c r="BU522"/>
    </row>
    <row r="523" spans="1:73" s="1" customFormat="1" ht="19.5" thickBot="1">
      <c r="B523" s="7"/>
      <c r="C523" s="5"/>
      <c r="E523" s="39" t="s">
        <v>71</v>
      </c>
      <c r="F523" s="3">
        <f>ROUNDUP(E535+E546+E557,0)</f>
        <v>949</v>
      </c>
      <c r="G523" s="7"/>
      <c r="H523" s="7"/>
      <c r="I523" s="7"/>
      <c r="J523" s="7"/>
      <c r="K523" s="7"/>
      <c r="L523" s="7"/>
      <c r="M523" s="7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</row>
    <row r="524" spans="1:73" s="1" customFormat="1" ht="19.5" thickBot="1">
      <c r="B524" s="7"/>
      <c r="C524" s="5"/>
      <c r="E524" s="19" t="s">
        <v>108</v>
      </c>
      <c r="F524" s="3">
        <f>ROUNDUP(E569+E578+E587,0)</f>
        <v>364</v>
      </c>
      <c r="G524" s="7"/>
      <c r="H524" s="7"/>
      <c r="I524" s="7"/>
      <c r="J524" s="7"/>
      <c r="K524" s="7"/>
      <c r="L524" s="7"/>
      <c r="M524" s="7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</row>
    <row r="525" spans="1:73" s="1" customFormat="1" ht="19.5" thickBot="1">
      <c r="A525" s="5" t="str">
        <f>A497</f>
        <v>GROUND</v>
      </c>
      <c r="E525" s="19" t="s">
        <v>123</v>
      </c>
      <c r="F525" s="3">
        <f>ROUNDUP(E570+E579+E588,0)</f>
        <v>0</v>
      </c>
      <c r="H525" s="7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</row>
    <row r="526" spans="1:73" s="1" customFormat="1" ht="15.75" thickBot="1">
      <c r="A526" s="5" t="s">
        <v>87</v>
      </c>
      <c r="B526" s="5"/>
      <c r="C526" s="5"/>
      <c r="D526" s="5"/>
      <c r="E526" s="5"/>
      <c r="F526" s="5"/>
      <c r="H526" s="34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</row>
    <row r="527" spans="1:73" s="42" customFormat="1" ht="15.75" thickBot="1">
      <c r="A527" s="40"/>
      <c r="B527" s="41" t="str">
        <f t="shared" ref="B527:G527" si="106">B498</f>
        <v>COL 1</v>
      </c>
      <c r="C527" s="41" t="str">
        <f t="shared" si="106"/>
        <v>COL 2</v>
      </c>
      <c r="D527" s="41" t="str">
        <f t="shared" si="106"/>
        <v>COL 2'</v>
      </c>
      <c r="E527" s="41" t="str">
        <f t="shared" si="106"/>
        <v>COL 3</v>
      </c>
      <c r="F527" s="41" t="str">
        <f t="shared" si="106"/>
        <v>COL 3'</v>
      </c>
      <c r="G527" s="41" t="str">
        <f t="shared" si="106"/>
        <v>COL 4</v>
      </c>
      <c r="H527" s="41"/>
      <c r="I527" s="41"/>
      <c r="J527" s="41"/>
      <c r="K527" s="41"/>
      <c r="L527" s="41"/>
      <c r="M527" s="41"/>
      <c r="BQ527"/>
    </row>
    <row r="528" spans="1:73" s="1" customFormat="1">
      <c r="A528" s="4" t="s">
        <v>100</v>
      </c>
      <c r="B528" s="4">
        <v>4.0999999999999996</v>
      </c>
      <c r="C528" s="4">
        <v>3.5</v>
      </c>
      <c r="D528" s="4">
        <v>0</v>
      </c>
      <c r="E528" s="4">
        <v>4.25</v>
      </c>
      <c r="F528" s="4">
        <v>4.25</v>
      </c>
      <c r="G528" s="4">
        <v>0</v>
      </c>
      <c r="H528" s="4"/>
      <c r="I528" s="4"/>
      <c r="J528" s="4"/>
      <c r="K528" s="4"/>
      <c r="L528" s="4"/>
      <c r="M528" s="4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</row>
    <row r="529" spans="1:73" s="1" customFormat="1">
      <c r="A529" s="12" t="s">
        <v>101</v>
      </c>
      <c r="B529" s="12">
        <v>4</v>
      </c>
      <c r="C529" s="12">
        <v>4</v>
      </c>
      <c r="D529" s="12">
        <v>4</v>
      </c>
      <c r="E529" s="12">
        <v>4</v>
      </c>
      <c r="F529" s="12">
        <v>4</v>
      </c>
      <c r="G529" s="12">
        <v>4</v>
      </c>
      <c r="H529" s="12"/>
      <c r="I529" s="12"/>
      <c r="J529" s="12"/>
      <c r="K529" s="12"/>
      <c r="L529" s="12"/>
      <c r="M529" s="12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</row>
    <row r="530" spans="1:73" s="1" customFormat="1">
      <c r="A530" s="4"/>
      <c r="B530" s="4" t="s">
        <v>104</v>
      </c>
      <c r="C530" s="4" t="s">
        <v>104</v>
      </c>
      <c r="D530" s="4" t="s">
        <v>104</v>
      </c>
      <c r="E530" s="4" t="s">
        <v>104</v>
      </c>
      <c r="F530" s="4" t="s">
        <v>70</v>
      </c>
      <c r="G530" s="4" t="s">
        <v>104</v>
      </c>
      <c r="H530" s="4"/>
      <c r="I530" s="4"/>
      <c r="J530" s="4"/>
      <c r="K530" s="4"/>
      <c r="L530" s="4"/>
      <c r="M530" s="4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</row>
    <row r="531" spans="1:73" s="1" customFormat="1">
      <c r="A531" s="1" t="s">
        <v>52</v>
      </c>
      <c r="B531" s="10">
        <f t="shared" ref="B531:G531" si="107">B502</f>
        <v>17</v>
      </c>
      <c r="C531" s="10">
        <f t="shared" si="107"/>
        <v>6</v>
      </c>
      <c r="D531" s="10">
        <f t="shared" si="107"/>
        <v>0</v>
      </c>
      <c r="E531" s="10">
        <f t="shared" si="107"/>
        <v>0</v>
      </c>
      <c r="F531" s="10">
        <f t="shared" si="107"/>
        <v>0</v>
      </c>
      <c r="G531" s="10">
        <f t="shared" si="107"/>
        <v>0</v>
      </c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</row>
    <row r="532" spans="1:73" s="1" customFormat="1" ht="15.75" thickBot="1">
      <c r="A532" s="5"/>
      <c r="B532" s="5">
        <f t="shared" ref="B532:G532" si="108">B528*B529*B531</f>
        <v>278.79999999999995</v>
      </c>
      <c r="C532" s="5">
        <f t="shared" si="108"/>
        <v>84</v>
      </c>
      <c r="D532" s="5">
        <f t="shared" si="108"/>
        <v>0</v>
      </c>
      <c r="E532" s="5">
        <f t="shared" si="108"/>
        <v>0</v>
      </c>
      <c r="F532" s="5">
        <f t="shared" si="108"/>
        <v>0</v>
      </c>
      <c r="G532" s="5">
        <f t="shared" si="108"/>
        <v>0</v>
      </c>
      <c r="H532" s="5"/>
      <c r="I532" s="5"/>
      <c r="J532" s="5"/>
      <c r="K532" s="5"/>
      <c r="L532" s="5"/>
      <c r="M532" s="5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</row>
    <row r="533" spans="1:73" s="1" customFormat="1" ht="15.75" thickBot="1">
      <c r="A533" s="5"/>
      <c r="B533" s="5"/>
      <c r="C533" s="5" t="s">
        <v>105</v>
      </c>
      <c r="D533" s="20">
        <f>J532</f>
        <v>0</v>
      </c>
      <c r="E533" s="5">
        <f>D533*3.854</f>
        <v>0</v>
      </c>
      <c r="F533" s="5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 s="42"/>
      <c r="BR533"/>
      <c r="BS533"/>
      <c r="BT533"/>
      <c r="BU533"/>
    </row>
    <row r="534" spans="1:73" s="1" customFormat="1">
      <c r="A534" s="5"/>
      <c r="B534" s="5"/>
      <c r="C534" s="5" t="s">
        <v>70</v>
      </c>
      <c r="D534" s="20">
        <f>F532</f>
        <v>0</v>
      </c>
      <c r="E534" s="5">
        <f>D534*2.467</f>
        <v>0</v>
      </c>
      <c r="F534" s="5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</row>
    <row r="535" spans="1:73" s="1" customFormat="1">
      <c r="A535" s="5"/>
      <c r="B535" s="5"/>
      <c r="C535" s="5" t="s">
        <v>71</v>
      </c>
      <c r="D535" s="22">
        <f>B532+C532</f>
        <v>362.79999999999995</v>
      </c>
      <c r="E535" s="5">
        <f>D535*1.579</f>
        <v>572.86119999999994</v>
      </c>
      <c r="F535" s="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</row>
    <row r="536" spans="1:73" s="1" customFormat="1">
      <c r="A536" s="5" t="str">
        <f>A505</f>
        <v>FIRST</v>
      </c>
      <c r="B536" s="5"/>
      <c r="C536" s="5"/>
      <c r="D536" s="22"/>
      <c r="E536" s="5"/>
      <c r="F536" s="5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</row>
    <row r="537" spans="1:73" s="1" customFormat="1" ht="15.75" thickBot="1">
      <c r="A537" s="5" t="s">
        <v>87</v>
      </c>
      <c r="B537" s="5"/>
      <c r="C537" s="5"/>
      <c r="D537" s="5"/>
      <c r="E537" s="5"/>
      <c r="F537" s="5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</row>
    <row r="538" spans="1:73" s="42" customFormat="1" ht="15.75" thickBot="1">
      <c r="A538" s="40"/>
      <c r="B538" s="41" t="str">
        <f t="shared" ref="B538:G538" si="109">B527</f>
        <v>COL 1</v>
      </c>
      <c r="C538" s="41" t="str">
        <f t="shared" si="109"/>
        <v>COL 2</v>
      </c>
      <c r="D538" s="41" t="str">
        <f t="shared" si="109"/>
        <v>COL 2'</v>
      </c>
      <c r="E538" s="41" t="str">
        <f t="shared" si="109"/>
        <v>COL 3</v>
      </c>
      <c r="F538" s="41" t="str">
        <f t="shared" si="109"/>
        <v>COL 3'</v>
      </c>
      <c r="G538" s="41" t="str">
        <f t="shared" si="109"/>
        <v>COL 4</v>
      </c>
      <c r="H538" s="41"/>
      <c r="I538" s="41"/>
      <c r="J538" s="41"/>
      <c r="K538" s="41"/>
      <c r="L538" s="41"/>
      <c r="M538" s="41"/>
      <c r="BQ538"/>
    </row>
    <row r="539" spans="1:73" s="1" customFormat="1">
      <c r="A539" s="4" t="s">
        <v>100</v>
      </c>
      <c r="B539" s="4">
        <v>3.5</v>
      </c>
      <c r="C539" s="4">
        <v>3.2</v>
      </c>
      <c r="D539" s="4">
        <v>4.25</v>
      </c>
      <c r="E539" s="4">
        <v>3.2</v>
      </c>
      <c r="F539" s="4">
        <v>4.25</v>
      </c>
      <c r="G539" s="4">
        <v>3.2</v>
      </c>
      <c r="H539" s="4"/>
      <c r="I539" s="4"/>
      <c r="J539" s="4"/>
      <c r="K539" s="4"/>
      <c r="L539" s="4"/>
      <c r="M539" s="4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</row>
    <row r="540" spans="1:73" s="1" customFormat="1">
      <c r="A540" s="12" t="s">
        <v>101</v>
      </c>
      <c r="B540" s="12">
        <v>4</v>
      </c>
      <c r="C540" s="12">
        <v>4</v>
      </c>
      <c r="D540" s="12">
        <v>4</v>
      </c>
      <c r="E540" s="12">
        <v>4</v>
      </c>
      <c r="F540" s="12">
        <v>4</v>
      </c>
      <c r="G540" s="12">
        <v>4</v>
      </c>
      <c r="H540" s="12"/>
      <c r="I540" s="12"/>
      <c r="J540" s="12"/>
      <c r="K540" s="12"/>
      <c r="L540" s="12"/>
      <c r="M540" s="12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</row>
    <row r="541" spans="1:73" s="1" customFormat="1">
      <c r="A541" s="4"/>
      <c r="B541" s="4" t="s">
        <v>104</v>
      </c>
      <c r="C541" s="4" t="s">
        <v>104</v>
      </c>
      <c r="D541" s="4" t="s">
        <v>104</v>
      </c>
      <c r="E541" s="4" t="s">
        <v>104</v>
      </c>
      <c r="F541" s="4" t="s">
        <v>104</v>
      </c>
      <c r="G541" s="4" t="s">
        <v>104</v>
      </c>
      <c r="H541" s="4"/>
      <c r="I541" s="4"/>
      <c r="J541" s="4"/>
      <c r="K541" s="4"/>
      <c r="L541" s="4"/>
      <c r="M541" s="4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</row>
    <row r="542" spans="1:73" s="1" customFormat="1">
      <c r="A542" s="1" t="s">
        <v>52</v>
      </c>
      <c r="B542" s="10">
        <f t="shared" ref="B542:G542" si="110">B510</f>
        <v>17</v>
      </c>
      <c r="C542" s="10">
        <f t="shared" si="110"/>
        <v>0</v>
      </c>
      <c r="D542" s="10">
        <f t="shared" si="110"/>
        <v>0</v>
      </c>
      <c r="E542" s="10">
        <f t="shared" si="110"/>
        <v>0</v>
      </c>
      <c r="F542" s="10">
        <f t="shared" si="110"/>
        <v>0</v>
      </c>
      <c r="G542" s="10">
        <f t="shared" si="110"/>
        <v>0</v>
      </c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</row>
    <row r="543" spans="1:73" s="1" customFormat="1" ht="15.75" thickBot="1">
      <c r="A543" s="5"/>
      <c r="B543" s="5">
        <f t="shared" ref="B543:G543" si="111">B539*B540*B542</f>
        <v>238</v>
      </c>
      <c r="C543" s="5">
        <f t="shared" si="111"/>
        <v>0</v>
      </c>
      <c r="D543" s="5">
        <f t="shared" si="111"/>
        <v>0</v>
      </c>
      <c r="E543" s="5">
        <f t="shared" si="111"/>
        <v>0</v>
      </c>
      <c r="F543" s="5">
        <f t="shared" si="111"/>
        <v>0</v>
      </c>
      <c r="G543" s="5">
        <f t="shared" si="111"/>
        <v>0</v>
      </c>
      <c r="H543" s="5"/>
      <c r="I543" s="5"/>
      <c r="J543" s="5"/>
      <c r="K543" s="5"/>
      <c r="L543" s="5"/>
      <c r="M543" s="5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</row>
    <row r="544" spans="1:73" s="1" customFormat="1" ht="15.75" thickBot="1">
      <c r="A544" s="5"/>
      <c r="B544" s="5"/>
      <c r="C544" s="5" t="s">
        <v>105</v>
      </c>
      <c r="D544" s="20"/>
      <c r="E544" s="5">
        <f>D544*3.854</f>
        <v>0</v>
      </c>
      <c r="F544" s="5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 s="42"/>
      <c r="BR544"/>
      <c r="BS544"/>
      <c r="BT544"/>
      <c r="BU544"/>
    </row>
    <row r="545" spans="1:73" s="1" customFormat="1">
      <c r="A545" s="5"/>
      <c r="B545" s="5"/>
      <c r="C545" s="5" t="s">
        <v>70</v>
      </c>
      <c r="D545" s="20"/>
      <c r="E545" s="5">
        <f>D545*2.467</f>
        <v>0</v>
      </c>
      <c r="F545" s="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</row>
    <row r="546" spans="1:73" s="1" customFormat="1">
      <c r="A546" s="5"/>
      <c r="B546" s="5"/>
      <c r="C546" s="5" t="s">
        <v>71</v>
      </c>
      <c r="D546" s="22">
        <f>B543</f>
        <v>238</v>
      </c>
      <c r="E546" s="5">
        <f>D546*1.579</f>
        <v>375.80199999999996</v>
      </c>
      <c r="F546" s="5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</row>
    <row r="547" spans="1:73" s="1" customFormat="1">
      <c r="A547" s="5" t="str">
        <f>A513</f>
        <v>PENT</v>
      </c>
      <c r="B547" s="5"/>
      <c r="C547" s="5"/>
      <c r="D547" s="22"/>
      <c r="E547" s="5"/>
      <c r="F547" s="5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</row>
    <row r="548" spans="1:73" s="1" customFormat="1" ht="15.75" thickBot="1">
      <c r="A548" s="5" t="s">
        <v>87</v>
      </c>
      <c r="B548" s="5"/>
      <c r="C548" s="5"/>
      <c r="D548" s="5"/>
      <c r="E548" s="5"/>
      <c r="F548" s="5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</row>
    <row r="549" spans="1:73" s="42" customFormat="1" ht="15.75" thickBot="1">
      <c r="A549" s="40"/>
      <c r="B549" s="41" t="str">
        <f t="shared" ref="B549:G549" si="112">B514</f>
        <v>COL 1</v>
      </c>
      <c r="C549" s="41" t="str">
        <f t="shared" si="112"/>
        <v>COL 2</v>
      </c>
      <c r="D549" s="41" t="str">
        <f t="shared" si="112"/>
        <v>COL 2'</v>
      </c>
      <c r="E549" s="41" t="str">
        <f t="shared" si="112"/>
        <v>COL 3</v>
      </c>
      <c r="F549" s="41" t="str">
        <f t="shared" si="112"/>
        <v>COL 3'</v>
      </c>
      <c r="G549" s="41" t="str">
        <f t="shared" si="112"/>
        <v>COL 4</v>
      </c>
      <c r="H549" s="41"/>
      <c r="I549" s="41"/>
      <c r="J549" s="41"/>
      <c r="K549" s="41"/>
      <c r="L549" s="41"/>
      <c r="M549" s="41"/>
      <c r="BQ549"/>
    </row>
    <row r="550" spans="1:73" s="1" customFormat="1">
      <c r="A550" s="4" t="s">
        <v>100</v>
      </c>
      <c r="B550" s="4">
        <v>0</v>
      </c>
      <c r="C550" s="4">
        <v>0</v>
      </c>
      <c r="D550" s="4">
        <v>3.2</v>
      </c>
      <c r="E550" s="4">
        <v>0</v>
      </c>
      <c r="F550" s="4">
        <v>3.2</v>
      </c>
      <c r="G550" s="4">
        <v>0</v>
      </c>
      <c r="H550" s="4"/>
      <c r="I550" s="4"/>
      <c r="J550" s="4"/>
      <c r="K550" s="4"/>
      <c r="L550" s="4"/>
      <c r="M550" s="4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</row>
    <row r="551" spans="1:73" s="1" customFormat="1">
      <c r="A551" s="12" t="s">
        <v>101</v>
      </c>
      <c r="B551" s="12">
        <v>4</v>
      </c>
      <c r="C551" s="12">
        <v>4</v>
      </c>
      <c r="D551" s="12">
        <v>4</v>
      </c>
      <c r="E551" s="12">
        <v>6</v>
      </c>
      <c r="F551" s="12">
        <v>4</v>
      </c>
      <c r="G551" s="12">
        <v>4</v>
      </c>
      <c r="H551" s="12"/>
      <c r="I551" s="12"/>
      <c r="J551" s="12"/>
      <c r="K551" s="12"/>
      <c r="L551" s="12"/>
      <c r="M551" s="12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</row>
    <row r="552" spans="1:73" s="1" customFormat="1">
      <c r="A552" s="4"/>
      <c r="B552" s="4" t="s">
        <v>104</v>
      </c>
      <c r="C552" s="4" t="s">
        <v>104</v>
      </c>
      <c r="D552" s="4" t="s">
        <v>104</v>
      </c>
      <c r="E552" s="4" t="s">
        <v>104</v>
      </c>
      <c r="F552" s="4" t="s">
        <v>104</v>
      </c>
      <c r="G552" s="4" t="s">
        <v>104</v>
      </c>
      <c r="H552" s="4"/>
      <c r="I552" s="4"/>
      <c r="J552" s="4"/>
      <c r="K552" s="4"/>
      <c r="L552" s="4"/>
      <c r="M552" s="4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</row>
    <row r="553" spans="1:73" s="1" customFormat="1">
      <c r="A553" s="1" t="s">
        <v>52</v>
      </c>
      <c r="B553" s="10">
        <f t="shared" ref="B553:G553" si="113">B518</f>
        <v>0</v>
      </c>
      <c r="C553" s="10">
        <f t="shared" si="113"/>
        <v>0</v>
      </c>
      <c r="D553" s="10">
        <f t="shared" si="113"/>
        <v>0</v>
      </c>
      <c r="E553" s="10">
        <f t="shared" si="113"/>
        <v>0</v>
      </c>
      <c r="F553" s="10">
        <f t="shared" si="113"/>
        <v>0</v>
      </c>
      <c r="G553" s="10">
        <f t="shared" si="113"/>
        <v>0</v>
      </c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</row>
    <row r="554" spans="1:73" s="1" customFormat="1">
      <c r="A554" s="5"/>
      <c r="B554" s="5">
        <f t="shared" ref="B554:G554" si="114">B550*B551*B553</f>
        <v>0</v>
      </c>
      <c r="C554" s="5">
        <f t="shared" si="114"/>
        <v>0</v>
      </c>
      <c r="D554" s="5">
        <f t="shared" si="114"/>
        <v>0</v>
      </c>
      <c r="E554" s="5">
        <f t="shared" si="114"/>
        <v>0</v>
      </c>
      <c r="F554" s="5">
        <f t="shared" si="114"/>
        <v>0</v>
      </c>
      <c r="G554" s="5">
        <f t="shared" si="114"/>
        <v>0</v>
      </c>
      <c r="H554" s="5"/>
      <c r="I554" s="5"/>
      <c r="J554" s="5"/>
      <c r="K554" s="5"/>
      <c r="L554" s="5"/>
      <c r="M554" s="5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</row>
    <row r="555" spans="1:73" s="1" customFormat="1">
      <c r="A555" s="5"/>
      <c r="B555" s="5"/>
      <c r="C555" s="5" t="s">
        <v>105</v>
      </c>
      <c r="D555" s="20"/>
      <c r="E555" s="5">
        <f>D555*3.854</f>
        <v>0</v>
      </c>
      <c r="F555" s="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</row>
    <row r="556" spans="1:73" s="1" customFormat="1">
      <c r="A556" s="5"/>
      <c r="B556" s="5"/>
      <c r="C556" s="5" t="s">
        <v>70</v>
      </c>
      <c r="D556" s="20"/>
      <c r="E556" s="5">
        <f>D556*2.467</f>
        <v>0</v>
      </c>
      <c r="F556" s="5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</row>
    <row r="557" spans="1:73" s="1" customFormat="1" ht="15.75" thickBot="1">
      <c r="A557" s="5"/>
      <c r="B557" s="5"/>
      <c r="C557" s="5" t="s">
        <v>71</v>
      </c>
      <c r="D557" s="22">
        <f>F554+D554</f>
        <v>0</v>
      </c>
      <c r="E557" s="5">
        <f>D557*1.579</f>
        <v>0</v>
      </c>
      <c r="F557" s="5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</row>
    <row r="558" spans="1:73" s="1" customFormat="1" ht="15.75" thickBot="1">
      <c r="E558" s="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 s="42"/>
      <c r="BR558"/>
      <c r="BS558"/>
      <c r="BT558"/>
      <c r="BU558"/>
    </row>
    <row r="559" spans="1:73" s="1" customFormat="1">
      <c r="B559" s="43" t="s">
        <v>124</v>
      </c>
      <c r="D559" s="44" t="s">
        <v>108</v>
      </c>
      <c r="E559" s="45">
        <f>E569+E578+E587</f>
        <v>363.28959999999995</v>
      </c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</row>
    <row r="560" spans="1:73" s="1" customFormat="1">
      <c r="B560" s="43"/>
      <c r="D560" s="44" t="s">
        <v>123</v>
      </c>
      <c r="E560" s="45">
        <f>E570+E579+E588</f>
        <v>0</v>
      </c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</row>
    <row r="561" spans="1:73" s="1" customFormat="1">
      <c r="B561" s="43"/>
      <c r="E561" s="8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</row>
    <row r="562" spans="1:73" s="1" customFormat="1" ht="15.75" thickBot="1">
      <c r="A562" s="5" t="str">
        <f>A525</f>
        <v>GROUND</v>
      </c>
      <c r="E562" s="8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</row>
    <row r="563" spans="1:73" s="42" customFormat="1" ht="15.75" thickBot="1">
      <c r="A563" s="40"/>
      <c r="B563" s="41" t="str">
        <f t="shared" ref="B563:G563" si="115">B527</f>
        <v>COL 1</v>
      </c>
      <c r="C563" s="41" t="str">
        <f t="shared" si="115"/>
        <v>COL 2</v>
      </c>
      <c r="D563" s="41" t="str">
        <f t="shared" si="115"/>
        <v>COL 2'</v>
      </c>
      <c r="E563" s="41" t="str">
        <f t="shared" si="115"/>
        <v>COL 3</v>
      </c>
      <c r="F563" s="41" t="str">
        <f t="shared" si="115"/>
        <v>COL 3'</v>
      </c>
      <c r="G563" s="41" t="str">
        <f t="shared" si="115"/>
        <v>COL 4</v>
      </c>
      <c r="H563" s="41"/>
      <c r="I563" s="41"/>
      <c r="J563" s="41"/>
      <c r="K563" s="41"/>
      <c r="L563" s="41"/>
      <c r="M563" s="41"/>
      <c r="BQ563"/>
    </row>
    <row r="564" spans="1:73" s="1" customFormat="1">
      <c r="A564" s="1" t="s">
        <v>125</v>
      </c>
      <c r="B564" s="1">
        <v>0.92</v>
      </c>
      <c r="C564" s="1">
        <v>0.92</v>
      </c>
      <c r="D564" s="1">
        <v>0.92</v>
      </c>
      <c r="E564" s="1">
        <v>0.92</v>
      </c>
      <c r="F564" s="1">
        <v>0.92</v>
      </c>
      <c r="G564" s="1">
        <v>0.92</v>
      </c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</row>
    <row r="565" spans="1:73" s="1" customFormat="1">
      <c r="A565" s="5"/>
      <c r="B565" s="5">
        <v>16</v>
      </c>
      <c r="C565" s="5">
        <v>16</v>
      </c>
      <c r="D565" s="5">
        <v>13</v>
      </c>
      <c r="E565" s="5">
        <v>16</v>
      </c>
      <c r="F565" s="5">
        <v>16</v>
      </c>
      <c r="G565" s="5">
        <v>13</v>
      </c>
      <c r="H565" s="5"/>
      <c r="I565" s="5"/>
      <c r="J565" s="5"/>
      <c r="K565" s="5"/>
      <c r="L565" s="5"/>
      <c r="M565" s="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</row>
    <row r="566" spans="1:73" s="1" customFormat="1" ht="15.75" thickBot="1">
      <c r="A566" s="1" t="s">
        <v>52</v>
      </c>
      <c r="B566" s="10">
        <f t="shared" ref="B566:G566" si="116">B531</f>
        <v>17</v>
      </c>
      <c r="C566" s="10">
        <f t="shared" si="116"/>
        <v>6</v>
      </c>
      <c r="D566" s="10">
        <f t="shared" si="116"/>
        <v>0</v>
      </c>
      <c r="E566" s="10">
        <f t="shared" si="116"/>
        <v>0</v>
      </c>
      <c r="F566" s="10">
        <f t="shared" si="116"/>
        <v>0</v>
      </c>
      <c r="G566" s="10">
        <f t="shared" si="116"/>
        <v>0</v>
      </c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</row>
    <row r="567" spans="1:73" s="1" customFormat="1" ht="15.75" thickBot="1">
      <c r="A567" s="46" t="s">
        <v>108</v>
      </c>
      <c r="B567" s="5">
        <f t="shared" ref="B567:G567" si="117">B564*B565*B566</f>
        <v>250.24</v>
      </c>
      <c r="C567" s="5">
        <f t="shared" si="117"/>
        <v>88.320000000000007</v>
      </c>
      <c r="D567" s="5">
        <f t="shared" si="117"/>
        <v>0</v>
      </c>
      <c r="E567" s="5">
        <f t="shared" si="117"/>
        <v>0</v>
      </c>
      <c r="F567" s="5">
        <f t="shared" si="117"/>
        <v>0</v>
      </c>
      <c r="G567" s="5">
        <f t="shared" si="117"/>
        <v>0</v>
      </c>
      <c r="H567" s="5"/>
      <c r="I567" s="5"/>
      <c r="J567" s="5"/>
      <c r="K567" s="5"/>
      <c r="L567" s="5"/>
      <c r="M567" s="5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 s="42"/>
      <c r="BR567"/>
      <c r="BS567"/>
      <c r="BT567"/>
      <c r="BU567"/>
    </row>
    <row r="568" spans="1:73" s="1" customFormat="1">
      <c r="A568" s="46" t="s">
        <v>123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</row>
    <row r="569" spans="1:73" s="1" customFormat="1" ht="23.25" customHeight="1">
      <c r="A569" s="5"/>
      <c r="B569" s="5"/>
      <c r="C569" s="47" t="s">
        <v>108</v>
      </c>
      <c r="D569" s="48">
        <f>SUM(B567:M567)</f>
        <v>338.56</v>
      </c>
      <c r="E569" s="48">
        <f>D569*0.617</f>
        <v>208.89151999999999</v>
      </c>
      <c r="F569" s="4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</row>
    <row r="570" spans="1:73" s="1" customFormat="1">
      <c r="A570" s="5"/>
      <c r="B570" s="5"/>
      <c r="C570" s="47" t="s">
        <v>123</v>
      </c>
      <c r="D570" s="48">
        <f>SUM(B568:M568)</f>
        <v>0</v>
      </c>
      <c r="E570" s="48">
        <f>D570*0.382</f>
        <v>0</v>
      </c>
      <c r="F570" s="5"/>
      <c r="G570" s="5"/>
      <c r="H570" s="5"/>
      <c r="I570" s="5"/>
      <c r="J570" s="5"/>
      <c r="K570" s="5"/>
      <c r="L570" s="5"/>
      <c r="M570" s="5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</row>
    <row r="571" spans="1:73" s="1" customFormat="1" ht="15.95" customHeight="1" thickBot="1">
      <c r="A571" s="5" t="str">
        <f>A536</f>
        <v>FIRST</v>
      </c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</row>
    <row r="572" spans="1:73" s="42" customFormat="1" ht="15.75" thickBot="1">
      <c r="A572" s="40"/>
      <c r="B572" s="41" t="str">
        <f t="shared" ref="B572:G572" si="118">B563</f>
        <v>COL 1</v>
      </c>
      <c r="C572" s="41" t="str">
        <f t="shared" si="118"/>
        <v>COL 2</v>
      </c>
      <c r="D572" s="41" t="str">
        <f t="shared" si="118"/>
        <v>COL 2'</v>
      </c>
      <c r="E572" s="41" t="str">
        <f t="shared" si="118"/>
        <v>COL 3</v>
      </c>
      <c r="F572" s="41" t="str">
        <f t="shared" si="118"/>
        <v>COL 3'</v>
      </c>
      <c r="G572" s="41" t="str">
        <f t="shared" si="118"/>
        <v>COL 4</v>
      </c>
      <c r="H572" s="41"/>
      <c r="I572" s="41"/>
      <c r="J572" s="41"/>
      <c r="K572" s="41"/>
      <c r="L572" s="41"/>
      <c r="M572" s="41"/>
      <c r="BQ572"/>
    </row>
    <row r="573" spans="1:73" s="1" customFormat="1">
      <c r="A573" s="5" t="s">
        <v>125</v>
      </c>
      <c r="B573" s="5">
        <v>0.92</v>
      </c>
      <c r="C573" s="5">
        <v>0.92</v>
      </c>
      <c r="D573" s="5">
        <v>0.92</v>
      </c>
      <c r="E573" s="5">
        <v>0.92</v>
      </c>
      <c r="F573" s="5">
        <v>0.92</v>
      </c>
      <c r="G573" s="5">
        <v>0.92</v>
      </c>
      <c r="N573" s="5"/>
      <c r="O573" s="5"/>
      <c r="P573" s="5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</row>
    <row r="574" spans="1:73" s="1" customFormat="1">
      <c r="A574" s="5"/>
      <c r="B574" s="5">
        <v>16</v>
      </c>
      <c r="C574" s="5">
        <v>14</v>
      </c>
      <c r="D574" s="5">
        <v>14</v>
      </c>
      <c r="E574" s="5">
        <v>14</v>
      </c>
      <c r="F574" s="5">
        <v>14</v>
      </c>
      <c r="G574" s="5">
        <v>14</v>
      </c>
      <c r="H574" s="5"/>
      <c r="I574" s="5"/>
      <c r="J574" s="5"/>
      <c r="K574" s="5"/>
      <c r="L574" s="5"/>
      <c r="M574" s="5"/>
      <c r="N574" s="5"/>
      <c r="O574" s="5"/>
      <c r="P574" s="5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</row>
    <row r="575" spans="1:73" s="1" customFormat="1" ht="15.75" thickBot="1">
      <c r="A575" s="1" t="s">
        <v>52</v>
      </c>
      <c r="B575" s="10">
        <f t="shared" ref="B575:G575" si="119">B542</f>
        <v>17</v>
      </c>
      <c r="C575" s="10">
        <f t="shared" si="119"/>
        <v>0</v>
      </c>
      <c r="D575" s="10">
        <f t="shared" si="119"/>
        <v>0</v>
      </c>
      <c r="E575" s="10">
        <f t="shared" si="119"/>
        <v>0</v>
      </c>
      <c r="F575" s="10">
        <f t="shared" si="119"/>
        <v>0</v>
      </c>
      <c r="G575" s="10">
        <f t="shared" si="119"/>
        <v>0</v>
      </c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</row>
    <row r="576" spans="1:73" s="1" customFormat="1" ht="15.75" thickBot="1">
      <c r="A576" s="46" t="s">
        <v>108</v>
      </c>
      <c r="B576" s="5">
        <f t="shared" ref="B576:G576" si="120">B573*B574*B575</f>
        <v>250.24</v>
      </c>
      <c r="C576" s="5">
        <f t="shared" si="120"/>
        <v>0</v>
      </c>
      <c r="D576" s="5">
        <f t="shared" si="120"/>
        <v>0</v>
      </c>
      <c r="E576" s="5">
        <f t="shared" si="120"/>
        <v>0</v>
      </c>
      <c r="F576" s="5">
        <f t="shared" si="120"/>
        <v>0</v>
      </c>
      <c r="G576" s="5">
        <f t="shared" si="120"/>
        <v>0</v>
      </c>
      <c r="H576" s="5"/>
      <c r="I576" s="5"/>
      <c r="J576" s="5"/>
      <c r="K576" s="5"/>
      <c r="L576" s="5"/>
      <c r="M576" s="5"/>
      <c r="N576" s="10"/>
      <c r="O576" s="10"/>
      <c r="P576" s="10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 s="42"/>
      <c r="BR576"/>
      <c r="BS576"/>
      <c r="BT576"/>
      <c r="BU576"/>
    </row>
    <row r="577" spans="1:73" s="1" customFormat="1">
      <c r="A577" s="46" t="s">
        <v>123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</row>
    <row r="578" spans="1:73" s="1" customFormat="1" ht="24.75" customHeight="1">
      <c r="A578" s="5"/>
      <c r="B578" s="5"/>
      <c r="C578" s="47" t="s">
        <v>108</v>
      </c>
      <c r="D578" s="48">
        <f>SUM(B576:M576)</f>
        <v>250.24</v>
      </c>
      <c r="E578" s="48">
        <f>D578*0.617</f>
        <v>154.39807999999999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</row>
    <row r="579" spans="1:73" s="1" customFormat="1">
      <c r="C579" s="47" t="s">
        <v>123</v>
      </c>
      <c r="D579" s="48">
        <f>SUM(B577:M577)</f>
        <v>0</v>
      </c>
      <c r="E579" s="48">
        <f>D579*0.382</f>
        <v>0</v>
      </c>
      <c r="I579" s="5"/>
      <c r="J579" s="5"/>
      <c r="K579" s="49"/>
      <c r="L579" s="5"/>
      <c r="M579" s="5"/>
      <c r="N579" s="5"/>
      <c r="O579" s="5"/>
      <c r="P579" s="5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</row>
    <row r="580" spans="1:73" s="1" customFormat="1" ht="15.95" customHeight="1" thickBot="1">
      <c r="A580" s="5" t="str">
        <f>A547</f>
        <v>PENT</v>
      </c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</row>
    <row r="581" spans="1:73" s="42" customFormat="1" ht="15.75" thickBot="1">
      <c r="A581" s="40"/>
      <c r="B581" s="41" t="str">
        <f t="shared" ref="B581:G581" si="121">B572</f>
        <v>COL 1</v>
      </c>
      <c r="C581" s="41" t="str">
        <f t="shared" si="121"/>
        <v>COL 2</v>
      </c>
      <c r="D581" s="41" t="str">
        <f t="shared" si="121"/>
        <v>COL 2'</v>
      </c>
      <c r="E581" s="41" t="str">
        <f t="shared" si="121"/>
        <v>COL 3</v>
      </c>
      <c r="F581" s="41" t="str">
        <f t="shared" si="121"/>
        <v>COL 3'</v>
      </c>
      <c r="G581" s="41" t="str">
        <f t="shared" si="121"/>
        <v>COL 4</v>
      </c>
      <c r="H581" s="41"/>
      <c r="I581" s="41"/>
      <c r="J581" s="41"/>
      <c r="K581" s="41"/>
      <c r="L581" s="41"/>
      <c r="M581" s="41"/>
      <c r="BQ581"/>
    </row>
    <row r="582" spans="1:73" s="1" customFormat="1">
      <c r="A582" s="5" t="s">
        <v>125</v>
      </c>
      <c r="B582" s="5">
        <v>0.92</v>
      </c>
      <c r="C582" s="5">
        <v>0.92</v>
      </c>
      <c r="D582" s="5">
        <v>0.92</v>
      </c>
      <c r="E582" s="5">
        <v>0.92</v>
      </c>
      <c r="F582" s="5">
        <v>0.92</v>
      </c>
      <c r="G582" s="5">
        <v>0.92</v>
      </c>
      <c r="N582" s="5"/>
      <c r="O582" s="5"/>
      <c r="P582" s="5"/>
      <c r="BQ582"/>
      <c r="BR582"/>
      <c r="BS582"/>
      <c r="BT582"/>
      <c r="BU582"/>
    </row>
    <row r="583" spans="1:73" s="1" customFormat="1">
      <c r="A583" s="5"/>
      <c r="B583" s="5">
        <v>14</v>
      </c>
      <c r="C583" s="5">
        <v>14</v>
      </c>
      <c r="D583" s="5">
        <v>14</v>
      </c>
      <c r="E583" s="5">
        <v>14</v>
      </c>
      <c r="F583" s="5">
        <v>14</v>
      </c>
      <c r="G583" s="5">
        <v>14</v>
      </c>
      <c r="H583" s="5"/>
      <c r="I583" s="5"/>
      <c r="J583" s="5"/>
      <c r="K583" s="5"/>
      <c r="L583" s="5"/>
      <c r="M583" s="5"/>
      <c r="N583" s="5"/>
      <c r="O583" s="5"/>
      <c r="P583" s="5"/>
      <c r="BQ583"/>
      <c r="BR583"/>
      <c r="BS583"/>
      <c r="BT583"/>
      <c r="BU583"/>
    </row>
    <row r="584" spans="1:73" s="1" customFormat="1">
      <c r="A584" s="1" t="s">
        <v>52</v>
      </c>
      <c r="B584" s="10">
        <f t="shared" ref="B584:G584" si="122">B553</f>
        <v>0</v>
      </c>
      <c r="C584" s="10">
        <f t="shared" si="122"/>
        <v>0</v>
      </c>
      <c r="D584" s="10">
        <f t="shared" si="122"/>
        <v>0</v>
      </c>
      <c r="E584" s="10">
        <f t="shared" si="122"/>
        <v>0</v>
      </c>
      <c r="F584" s="10">
        <f t="shared" si="122"/>
        <v>0</v>
      </c>
      <c r="G584" s="10">
        <f t="shared" si="122"/>
        <v>0</v>
      </c>
      <c r="BQ584"/>
      <c r="BR584"/>
      <c r="BS584"/>
      <c r="BT584"/>
      <c r="BU584"/>
    </row>
    <row r="585" spans="1:73" s="1" customFormat="1">
      <c r="A585" s="46" t="s">
        <v>108</v>
      </c>
      <c r="B585" s="5">
        <f t="shared" ref="B585:G585" si="123">B582*B583*B584</f>
        <v>0</v>
      </c>
      <c r="C585" s="5">
        <f t="shared" si="123"/>
        <v>0</v>
      </c>
      <c r="D585" s="5">
        <f t="shared" si="123"/>
        <v>0</v>
      </c>
      <c r="E585" s="5">
        <f t="shared" si="123"/>
        <v>0</v>
      </c>
      <c r="F585" s="5">
        <f t="shared" si="123"/>
        <v>0</v>
      </c>
      <c r="G585" s="5">
        <f t="shared" si="123"/>
        <v>0</v>
      </c>
      <c r="H585" s="5"/>
      <c r="I585" s="5"/>
      <c r="J585" s="5"/>
      <c r="K585" s="5"/>
      <c r="L585" s="5"/>
      <c r="M585" s="5"/>
      <c r="N585" s="10"/>
      <c r="O585" s="10"/>
      <c r="P585" s="10"/>
      <c r="BQ585"/>
      <c r="BR585"/>
      <c r="BS585"/>
      <c r="BT585"/>
      <c r="BU585"/>
    </row>
    <row r="586" spans="1:73" s="1" customFormat="1">
      <c r="A586" s="46" t="s">
        <v>123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BQ586"/>
      <c r="BR586"/>
      <c r="BS586"/>
      <c r="BT586"/>
      <c r="BU586"/>
    </row>
    <row r="587" spans="1:73" s="1" customFormat="1" ht="21" customHeight="1">
      <c r="A587" s="5"/>
      <c r="B587" s="5"/>
      <c r="C587" s="47" t="s">
        <v>108</v>
      </c>
      <c r="D587" s="48">
        <f>SUM(B585:M585)</f>
        <v>0</v>
      </c>
      <c r="E587" s="48">
        <f>D587*0.617</f>
        <v>0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BQ587" s="44"/>
      <c r="BR587"/>
      <c r="BS587"/>
      <c r="BT587"/>
      <c r="BU587"/>
    </row>
    <row r="588" spans="1:73" s="1" customFormat="1">
      <c r="C588" s="47" t="s">
        <v>123</v>
      </c>
      <c r="D588" s="48">
        <f>SUM(B586:M586)</f>
        <v>0</v>
      </c>
      <c r="E588" s="48">
        <f>D588*0.382</f>
        <v>0</v>
      </c>
      <c r="BQ588"/>
      <c r="BR588"/>
      <c r="BS588"/>
      <c r="BT588"/>
      <c r="BU588"/>
    </row>
    <row r="589" spans="1:73" s="1" customFormat="1" ht="15.75" thickBot="1">
      <c r="BQ589"/>
      <c r="BR589"/>
      <c r="BS589"/>
      <c r="BT589"/>
      <c r="BU589"/>
    </row>
    <row r="590" spans="1:73" s="1" customFormat="1" ht="19.5" thickBot="1">
      <c r="B590" s="203" t="s">
        <v>126</v>
      </c>
      <c r="C590" s="203"/>
      <c r="D590" s="203"/>
      <c r="E590" s="203"/>
      <c r="F590" s="50">
        <f>ROUNDUP(SUM(B595:AM595),0)</f>
        <v>9</v>
      </c>
      <c r="I590" s="4"/>
      <c r="BQ590"/>
      <c r="BR590"/>
      <c r="BS590"/>
      <c r="BT590"/>
      <c r="BU590"/>
    </row>
    <row r="591" spans="1:73" s="1" customFormat="1">
      <c r="B591" s="1" t="s">
        <v>127</v>
      </c>
      <c r="C591" s="1" t="s">
        <v>128</v>
      </c>
      <c r="D591" s="1" t="s">
        <v>129</v>
      </c>
      <c r="E591" s="1" t="s">
        <v>130</v>
      </c>
      <c r="F591" s="1" t="s">
        <v>131</v>
      </c>
      <c r="G591" s="1" t="s">
        <v>132</v>
      </c>
      <c r="H591" s="1" t="s">
        <v>133</v>
      </c>
      <c r="I591" s="1" t="s">
        <v>134</v>
      </c>
      <c r="J591" s="1" t="s">
        <v>135</v>
      </c>
      <c r="K591" s="1" t="s">
        <v>136</v>
      </c>
      <c r="L591" s="1" t="s">
        <v>137</v>
      </c>
      <c r="M591" s="1" t="s">
        <v>138</v>
      </c>
      <c r="N591" s="1" t="s">
        <v>139</v>
      </c>
      <c r="O591" s="1" t="s">
        <v>140</v>
      </c>
      <c r="P591" s="1" t="s">
        <v>141</v>
      </c>
      <c r="Q591" s="1" t="s">
        <v>142</v>
      </c>
      <c r="S591" s="1" t="s">
        <v>143</v>
      </c>
      <c r="T591" s="1" t="s">
        <v>144</v>
      </c>
      <c r="U591" s="1" t="s">
        <v>145</v>
      </c>
      <c r="V591" s="1" t="s">
        <v>146</v>
      </c>
      <c r="W591" s="1" t="s">
        <v>147</v>
      </c>
      <c r="X591" s="1" t="s">
        <v>148</v>
      </c>
      <c r="Y591" s="1" t="s">
        <v>149</v>
      </c>
      <c r="Z591" s="1" t="s">
        <v>150</v>
      </c>
      <c r="AA591" s="1" t="s">
        <v>151</v>
      </c>
      <c r="AB591" s="1" t="s">
        <v>152</v>
      </c>
      <c r="AC591" s="1" t="s">
        <v>153</v>
      </c>
      <c r="AD591" s="1" t="s">
        <v>154</v>
      </c>
      <c r="AE591" s="1" t="s">
        <v>155</v>
      </c>
      <c r="AF591" s="1" t="s">
        <v>156</v>
      </c>
      <c r="AG591" s="1" t="s">
        <v>157</v>
      </c>
      <c r="AH591" s="1" t="s">
        <v>158</v>
      </c>
      <c r="AI591" s="1" t="s">
        <v>159</v>
      </c>
      <c r="AJ591" s="1" t="s">
        <v>160</v>
      </c>
      <c r="AK591" s="1" t="s">
        <v>161</v>
      </c>
      <c r="AL591" s="1" t="s">
        <v>162</v>
      </c>
      <c r="AM591" s="1" t="s">
        <v>163</v>
      </c>
      <c r="AO591" s="1" t="s">
        <v>164</v>
      </c>
      <c r="AP591" s="1" t="s">
        <v>164</v>
      </c>
      <c r="AQ591" s="1" t="s">
        <v>164</v>
      </c>
      <c r="AR591" s="1" t="s">
        <v>164</v>
      </c>
      <c r="AT591" s="1" t="s">
        <v>164</v>
      </c>
      <c r="AU591" s="1" t="s">
        <v>164</v>
      </c>
      <c r="AV591" s="1" t="s">
        <v>164</v>
      </c>
      <c r="AW591" s="1" t="s">
        <v>164</v>
      </c>
      <c r="BQ591"/>
      <c r="BR591"/>
      <c r="BS591"/>
      <c r="BT591"/>
      <c r="BU591"/>
    </row>
    <row r="592" spans="1:73" s="44" customFormat="1">
      <c r="A592" s="44" t="s">
        <v>37</v>
      </c>
      <c r="B592" s="51">
        <f>4+0.625+4.85+0.23</f>
        <v>9.7050000000000001</v>
      </c>
      <c r="C592" s="51">
        <f>4+0.625+4.85+0.23</f>
        <v>9.7050000000000001</v>
      </c>
      <c r="D592" s="52">
        <f>4.63+4.85+0.23</f>
        <v>9.7100000000000009</v>
      </c>
      <c r="E592" s="52">
        <f>4.63+4.85+0.23</f>
        <v>9.7100000000000009</v>
      </c>
      <c r="F592" s="52">
        <f>4.63+1.13+0.23</f>
        <v>5.99</v>
      </c>
      <c r="G592" s="52">
        <f>4.85+0.23</f>
        <v>5.08</v>
      </c>
      <c r="H592" s="52">
        <f>4.65+1.13+1.5+0.23</f>
        <v>7.5100000000000007</v>
      </c>
      <c r="I592" s="52">
        <f>5.68+0.23</f>
        <v>5.91</v>
      </c>
      <c r="J592" s="52">
        <f>3.05+3.73+2.63+3.68+1.78+0.23</f>
        <v>15.1</v>
      </c>
      <c r="K592" s="52">
        <f>1.73+3.93+0.23</f>
        <v>5.8900000000000006</v>
      </c>
      <c r="L592" s="52">
        <f>4.95+0.23</f>
        <v>5.1800000000000006</v>
      </c>
      <c r="M592" s="52">
        <f>0.23+0.73+3.05+3.73+2.63</f>
        <v>10.370000000000001</v>
      </c>
      <c r="N592" s="52">
        <f>1+1.32+3.73+2.46+2.63+3.68+1.98+0.23</f>
        <v>17.03</v>
      </c>
      <c r="O592" s="52">
        <v>0</v>
      </c>
      <c r="P592" s="51">
        <v>0</v>
      </c>
      <c r="Q592" s="51">
        <v>0</v>
      </c>
      <c r="R592" s="51"/>
      <c r="S592" s="51">
        <v>0</v>
      </c>
      <c r="T592" s="51">
        <v>0</v>
      </c>
      <c r="U592" s="51">
        <v>0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0</v>
      </c>
      <c r="AH592" s="51">
        <v>0</v>
      </c>
      <c r="AI592" s="51">
        <v>0</v>
      </c>
      <c r="AJ592" s="51">
        <v>0</v>
      </c>
      <c r="AK592" s="51">
        <v>0</v>
      </c>
      <c r="AL592" s="51">
        <v>0</v>
      </c>
      <c r="AM592" s="51">
        <v>0</v>
      </c>
      <c r="AN592" s="51">
        <v>0</v>
      </c>
      <c r="AO592" s="51">
        <v>0</v>
      </c>
      <c r="AP592" s="51">
        <v>0</v>
      </c>
      <c r="AQ592" s="51">
        <v>0</v>
      </c>
      <c r="AR592" s="51">
        <v>0</v>
      </c>
      <c r="AS592" s="51">
        <v>0</v>
      </c>
      <c r="AT592" s="51">
        <v>0</v>
      </c>
      <c r="AU592" s="51">
        <v>0</v>
      </c>
      <c r="AV592" s="51">
        <v>0</v>
      </c>
      <c r="AW592" s="51">
        <v>0</v>
      </c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4"/>
      <c r="BP592" s="54"/>
      <c r="BQ592"/>
    </row>
    <row r="593" spans="1:73" s="1" customFormat="1">
      <c r="A593" s="44" t="s">
        <v>165</v>
      </c>
      <c r="B593" s="1">
        <v>0.3</v>
      </c>
      <c r="C593" s="1">
        <f t="shared" ref="C593:Q593" si="124">B593</f>
        <v>0.3</v>
      </c>
      <c r="D593" s="1">
        <f t="shared" si="124"/>
        <v>0.3</v>
      </c>
      <c r="E593" s="1">
        <f t="shared" si="124"/>
        <v>0.3</v>
      </c>
      <c r="F593" s="1">
        <f t="shared" si="124"/>
        <v>0.3</v>
      </c>
      <c r="G593" s="1">
        <f t="shared" si="124"/>
        <v>0.3</v>
      </c>
      <c r="H593" s="1">
        <f t="shared" si="124"/>
        <v>0.3</v>
      </c>
      <c r="I593" s="1">
        <v>0.45</v>
      </c>
      <c r="J593" s="1">
        <v>0.3</v>
      </c>
      <c r="K593" s="1">
        <f t="shared" si="124"/>
        <v>0.3</v>
      </c>
      <c r="L593" s="1">
        <f t="shared" si="124"/>
        <v>0.3</v>
      </c>
      <c r="M593" s="1">
        <f t="shared" si="124"/>
        <v>0.3</v>
      </c>
      <c r="N593" s="1">
        <f t="shared" si="124"/>
        <v>0.3</v>
      </c>
      <c r="O593" s="1">
        <f t="shared" si="124"/>
        <v>0.3</v>
      </c>
      <c r="P593" s="1">
        <f t="shared" si="124"/>
        <v>0.3</v>
      </c>
      <c r="Q593" s="1">
        <f t="shared" si="124"/>
        <v>0.3</v>
      </c>
      <c r="S593" s="1">
        <f>Q593</f>
        <v>0.3</v>
      </c>
      <c r="T593" s="1">
        <f t="shared" ref="T593:AM593" si="125">S593</f>
        <v>0.3</v>
      </c>
      <c r="U593" s="1">
        <f t="shared" si="125"/>
        <v>0.3</v>
      </c>
      <c r="V593" s="1">
        <f t="shared" si="125"/>
        <v>0.3</v>
      </c>
      <c r="W593" s="1">
        <f t="shared" si="125"/>
        <v>0.3</v>
      </c>
      <c r="X593" s="1">
        <f t="shared" si="125"/>
        <v>0.3</v>
      </c>
      <c r="Y593" s="1">
        <f t="shared" si="125"/>
        <v>0.3</v>
      </c>
      <c r="Z593" s="1">
        <f t="shared" si="125"/>
        <v>0.3</v>
      </c>
      <c r="AA593" s="1">
        <f t="shared" si="125"/>
        <v>0.3</v>
      </c>
      <c r="AB593" s="1">
        <f t="shared" si="125"/>
        <v>0.3</v>
      </c>
      <c r="AC593" s="1">
        <f t="shared" si="125"/>
        <v>0.3</v>
      </c>
      <c r="AD593" s="1">
        <f t="shared" si="125"/>
        <v>0.3</v>
      </c>
      <c r="AE593" s="1">
        <f t="shared" si="125"/>
        <v>0.3</v>
      </c>
      <c r="AF593" s="1">
        <f t="shared" si="125"/>
        <v>0.3</v>
      </c>
      <c r="AG593" s="1">
        <f t="shared" si="125"/>
        <v>0.3</v>
      </c>
      <c r="AH593" s="1">
        <f t="shared" si="125"/>
        <v>0.3</v>
      </c>
      <c r="AI593" s="1">
        <f t="shared" si="125"/>
        <v>0.3</v>
      </c>
      <c r="AJ593" s="1">
        <f t="shared" si="125"/>
        <v>0.3</v>
      </c>
      <c r="AK593" s="1">
        <f t="shared" si="125"/>
        <v>0.3</v>
      </c>
      <c r="AL593" s="1">
        <f t="shared" si="125"/>
        <v>0.3</v>
      </c>
      <c r="AM593" s="1">
        <f t="shared" si="125"/>
        <v>0.3</v>
      </c>
      <c r="AO593" s="1">
        <v>0.45</v>
      </c>
      <c r="AP593" s="1">
        <v>0.45</v>
      </c>
      <c r="AQ593" s="1">
        <v>0.45</v>
      </c>
      <c r="AR593" s="1">
        <v>0.45</v>
      </c>
      <c r="AT593" s="1">
        <v>0.45</v>
      </c>
      <c r="AU593" s="1">
        <v>0.45</v>
      </c>
      <c r="AV593" s="1">
        <v>0.45</v>
      </c>
      <c r="AW593" s="1">
        <v>0.45</v>
      </c>
      <c r="BQ593"/>
      <c r="BR593"/>
      <c r="BS593"/>
      <c r="BT593"/>
      <c r="BU593"/>
    </row>
    <row r="594" spans="1:73" s="1" customFormat="1">
      <c r="A594" s="44" t="s">
        <v>166</v>
      </c>
      <c r="B594" s="1">
        <v>0.23</v>
      </c>
      <c r="C594" s="1">
        <v>0.23</v>
      </c>
      <c r="D594" s="1">
        <v>0.23</v>
      </c>
      <c r="E594" s="1">
        <v>0.23</v>
      </c>
      <c r="F594" s="1">
        <v>0.23</v>
      </c>
      <c r="G594" s="1">
        <v>0.23</v>
      </c>
      <c r="H594" s="1">
        <v>0.23</v>
      </c>
      <c r="I594" s="1">
        <v>0.23</v>
      </c>
      <c r="J594" s="1">
        <v>0.23</v>
      </c>
      <c r="K594" s="1">
        <v>0.23</v>
      </c>
      <c r="L594" s="1">
        <v>0.23</v>
      </c>
      <c r="M594" s="1">
        <v>0.23</v>
      </c>
      <c r="N594" s="1">
        <v>0.23</v>
      </c>
      <c r="O594" s="1">
        <v>0.23</v>
      </c>
      <c r="P594" s="1">
        <v>0.23</v>
      </c>
      <c r="Q594" s="1">
        <v>0.23</v>
      </c>
      <c r="S594" s="1">
        <v>0.23</v>
      </c>
      <c r="T594" s="1">
        <v>0.23</v>
      </c>
      <c r="U594" s="1">
        <v>0.23</v>
      </c>
      <c r="V594" s="1">
        <v>0.23</v>
      </c>
      <c r="W594" s="1">
        <v>0.23</v>
      </c>
      <c r="X594" s="1">
        <v>0.23</v>
      </c>
      <c r="Y594" s="1">
        <v>0.23</v>
      </c>
      <c r="Z594" s="1">
        <v>0.23</v>
      </c>
      <c r="AA594" s="1">
        <v>0.23</v>
      </c>
      <c r="AB594" s="1">
        <v>0.23</v>
      </c>
      <c r="AC594" s="1">
        <v>0.23</v>
      </c>
      <c r="AD594" s="1">
        <v>0.23</v>
      </c>
      <c r="AE594" s="1">
        <v>0.23</v>
      </c>
      <c r="AF594" s="1">
        <v>0.23</v>
      </c>
      <c r="AG594" s="1">
        <v>0.23</v>
      </c>
      <c r="AH594" s="1">
        <v>0.23</v>
      </c>
      <c r="AI594" s="1">
        <v>0.23</v>
      </c>
      <c r="AJ594" s="1">
        <v>0.23</v>
      </c>
      <c r="AK594" s="1">
        <v>0.23</v>
      </c>
      <c r="AL594" s="1">
        <v>0.23</v>
      </c>
      <c r="AM594" s="1">
        <v>0.23</v>
      </c>
      <c r="AO594" s="1">
        <v>0.15</v>
      </c>
      <c r="AP594" s="1">
        <v>0.15</v>
      </c>
      <c r="AQ594" s="1">
        <v>0.15</v>
      </c>
      <c r="AR594" s="1">
        <v>0.15</v>
      </c>
      <c r="AT594" s="1">
        <v>0.15</v>
      </c>
      <c r="AU594" s="1">
        <v>0.15</v>
      </c>
      <c r="AV594" s="1">
        <v>0.15</v>
      </c>
      <c r="AW594" s="1">
        <v>0.15</v>
      </c>
      <c r="BQ594" s="44"/>
      <c r="BR594"/>
      <c r="BS594"/>
      <c r="BT594"/>
      <c r="BU594"/>
    </row>
    <row r="595" spans="1:73" s="1" customFormat="1">
      <c r="A595" s="44"/>
      <c r="B595" s="8">
        <f t="shared" ref="B595:Q595" si="126">B592*B593*B594</f>
        <v>0.66964499999999993</v>
      </c>
      <c r="C595" s="8">
        <f t="shared" si="126"/>
        <v>0.66964499999999993</v>
      </c>
      <c r="D595" s="8">
        <f t="shared" si="126"/>
        <v>0.66999000000000009</v>
      </c>
      <c r="E595" s="8">
        <f t="shared" si="126"/>
        <v>0.66999000000000009</v>
      </c>
      <c r="F595" s="8">
        <f t="shared" si="126"/>
        <v>0.41331000000000001</v>
      </c>
      <c r="G595" s="8">
        <f t="shared" si="126"/>
        <v>0.35052</v>
      </c>
      <c r="H595" s="8">
        <f t="shared" si="126"/>
        <v>0.51819000000000004</v>
      </c>
      <c r="I595" s="8">
        <f t="shared" si="126"/>
        <v>0.61168500000000003</v>
      </c>
      <c r="J595" s="8">
        <f t="shared" si="126"/>
        <v>1.0418999999999998</v>
      </c>
      <c r="K595" s="8">
        <f t="shared" si="126"/>
        <v>0.40641000000000005</v>
      </c>
      <c r="L595" s="8">
        <f t="shared" si="126"/>
        <v>0.35742000000000002</v>
      </c>
      <c r="M595" s="8">
        <f t="shared" si="126"/>
        <v>0.71553000000000011</v>
      </c>
      <c r="N595" s="8">
        <f t="shared" si="126"/>
        <v>1.1750700000000001</v>
      </c>
      <c r="O595" s="8">
        <f t="shared" si="126"/>
        <v>0</v>
      </c>
      <c r="P595" s="8">
        <f t="shared" si="126"/>
        <v>0</v>
      </c>
      <c r="Q595" s="8">
        <f t="shared" si="126"/>
        <v>0</v>
      </c>
      <c r="R595" s="8"/>
      <c r="S595" s="8">
        <f t="shared" ref="S595:AW595" si="127">S592*S593*S594</f>
        <v>0</v>
      </c>
      <c r="T595" s="8">
        <f t="shared" si="127"/>
        <v>0</v>
      </c>
      <c r="U595" s="8">
        <f t="shared" si="127"/>
        <v>0</v>
      </c>
      <c r="V595" s="8">
        <f t="shared" si="127"/>
        <v>0</v>
      </c>
      <c r="W595" s="8">
        <f t="shared" si="127"/>
        <v>0</v>
      </c>
      <c r="X595" s="8">
        <f t="shared" si="127"/>
        <v>0</v>
      </c>
      <c r="Y595" s="8">
        <f t="shared" si="127"/>
        <v>0</v>
      </c>
      <c r="Z595" s="8">
        <f t="shared" si="127"/>
        <v>0</v>
      </c>
      <c r="AA595" s="8">
        <f t="shared" si="127"/>
        <v>0</v>
      </c>
      <c r="AB595" s="8">
        <f t="shared" si="127"/>
        <v>0</v>
      </c>
      <c r="AC595" s="8">
        <f t="shared" si="127"/>
        <v>0</v>
      </c>
      <c r="AD595" s="8">
        <f t="shared" si="127"/>
        <v>0</v>
      </c>
      <c r="AE595" s="8">
        <f t="shared" si="127"/>
        <v>0</v>
      </c>
      <c r="AF595" s="8">
        <f t="shared" si="127"/>
        <v>0</v>
      </c>
      <c r="AG595" s="8">
        <f t="shared" si="127"/>
        <v>0</v>
      </c>
      <c r="AH595" s="8">
        <f t="shared" si="127"/>
        <v>0</v>
      </c>
      <c r="AI595" s="8">
        <f t="shared" si="127"/>
        <v>0</v>
      </c>
      <c r="AJ595" s="8">
        <f t="shared" si="127"/>
        <v>0</v>
      </c>
      <c r="AK595" s="8">
        <f t="shared" si="127"/>
        <v>0</v>
      </c>
      <c r="AL595" s="8">
        <f t="shared" si="127"/>
        <v>0</v>
      </c>
      <c r="AM595" s="8">
        <f t="shared" si="127"/>
        <v>0</v>
      </c>
      <c r="AN595" s="8"/>
      <c r="AO595" s="8">
        <f t="shared" si="127"/>
        <v>0</v>
      </c>
      <c r="AP595" s="8">
        <f t="shared" si="127"/>
        <v>0</v>
      </c>
      <c r="AQ595" s="8">
        <f t="shared" si="127"/>
        <v>0</v>
      </c>
      <c r="AR595" s="8">
        <f t="shared" si="127"/>
        <v>0</v>
      </c>
      <c r="AS595" s="8"/>
      <c r="AT595" s="8">
        <f t="shared" si="127"/>
        <v>0</v>
      </c>
      <c r="AU595" s="8">
        <f t="shared" si="127"/>
        <v>0</v>
      </c>
      <c r="AV595" s="8">
        <f t="shared" si="127"/>
        <v>0</v>
      </c>
      <c r="AW595" s="8">
        <f t="shared" si="127"/>
        <v>0</v>
      </c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/>
      <c r="BR595"/>
      <c r="BS595"/>
      <c r="BT595"/>
      <c r="BU595"/>
    </row>
    <row r="596" spans="1:73" s="1" customFormat="1" ht="15.75" thickBot="1">
      <c r="H596" s="5"/>
      <c r="I596" s="8"/>
      <c r="BQ596"/>
      <c r="BR596"/>
      <c r="BS596"/>
      <c r="BT596"/>
      <c r="BU596"/>
    </row>
    <row r="597" spans="1:73" s="1" customFormat="1" ht="19.5" thickBot="1">
      <c r="B597" s="203" t="s">
        <v>167</v>
      </c>
      <c r="C597" s="203"/>
      <c r="D597" s="203"/>
      <c r="E597" s="203"/>
      <c r="F597" s="50">
        <f>ROUNDUP(SUM(B602:AM602),0)</f>
        <v>99</v>
      </c>
      <c r="G597" s="55"/>
      <c r="I597" s="4"/>
      <c r="BQ597"/>
      <c r="BR597"/>
      <c r="BS597"/>
      <c r="BT597"/>
      <c r="BU597"/>
    </row>
    <row r="598" spans="1:73" s="1" customFormat="1">
      <c r="B598" s="1" t="str">
        <f t="shared" ref="B598:Q601" si="128">B591</f>
        <v>BM 1</v>
      </c>
      <c r="C598" s="1" t="str">
        <f t="shared" si="128"/>
        <v>BM 2</v>
      </c>
      <c r="D598" s="1" t="str">
        <f t="shared" si="128"/>
        <v>BM 3</v>
      </c>
      <c r="E598" s="1" t="str">
        <f t="shared" si="128"/>
        <v>BM 4</v>
      </c>
      <c r="F598" s="1" t="str">
        <f t="shared" si="128"/>
        <v>BM 5</v>
      </c>
      <c r="G598" s="1" t="str">
        <f t="shared" si="128"/>
        <v>BM 6</v>
      </c>
      <c r="H598" s="1" t="str">
        <f t="shared" si="128"/>
        <v>BM 7</v>
      </c>
      <c r="I598" s="1" t="str">
        <f t="shared" si="128"/>
        <v>BM 8</v>
      </c>
      <c r="J598" s="1" t="str">
        <f t="shared" si="128"/>
        <v>BM 9</v>
      </c>
      <c r="K598" s="1" t="str">
        <f t="shared" si="128"/>
        <v>BM 10</v>
      </c>
      <c r="L598" s="1" t="str">
        <f t="shared" si="128"/>
        <v>BM 11</v>
      </c>
      <c r="M598" s="1" t="str">
        <f t="shared" si="128"/>
        <v>BM 12</v>
      </c>
      <c r="N598" s="1" t="str">
        <f t="shared" si="128"/>
        <v>BM 13</v>
      </c>
      <c r="O598" s="1" t="str">
        <f t="shared" si="128"/>
        <v>BM 14</v>
      </c>
      <c r="P598" s="1" t="str">
        <f t="shared" si="128"/>
        <v>BM 15</v>
      </c>
      <c r="Q598" s="1" t="str">
        <f t="shared" si="128"/>
        <v>BM 16</v>
      </c>
      <c r="S598" s="1" t="str">
        <f t="shared" ref="S598:AM601" si="129">S591</f>
        <v>BM 17</v>
      </c>
      <c r="T598" s="1" t="str">
        <f t="shared" si="129"/>
        <v>BM 18</v>
      </c>
      <c r="U598" s="1" t="str">
        <f t="shared" si="129"/>
        <v>BM 19</v>
      </c>
      <c r="V598" s="1" t="str">
        <f t="shared" si="129"/>
        <v>BM 20</v>
      </c>
      <c r="W598" s="1" t="str">
        <f t="shared" si="129"/>
        <v>BM 21</v>
      </c>
      <c r="X598" s="1" t="str">
        <f t="shared" si="129"/>
        <v>BM 22</v>
      </c>
      <c r="Y598" s="1" t="str">
        <f t="shared" si="129"/>
        <v>BM 23</v>
      </c>
      <c r="Z598" s="1" t="str">
        <f t="shared" si="129"/>
        <v>BM 24</v>
      </c>
      <c r="AA598" s="1" t="str">
        <f t="shared" si="129"/>
        <v>BM 25</v>
      </c>
      <c r="AB598" s="1" t="str">
        <f t="shared" si="129"/>
        <v>BM 26</v>
      </c>
      <c r="AC598" s="1" t="str">
        <f t="shared" si="129"/>
        <v>BM 27</v>
      </c>
      <c r="AD598" s="1" t="str">
        <f t="shared" si="129"/>
        <v>BM 28</v>
      </c>
      <c r="AE598" s="1" t="str">
        <f t="shared" si="129"/>
        <v>BM 29</v>
      </c>
      <c r="AF598" s="1" t="str">
        <f t="shared" si="129"/>
        <v>BM 30</v>
      </c>
      <c r="AG598" s="1" t="str">
        <f t="shared" si="129"/>
        <v>BM 31</v>
      </c>
      <c r="AH598" s="1" t="str">
        <f t="shared" si="129"/>
        <v>BM 32</v>
      </c>
      <c r="AI598" s="1" t="str">
        <f t="shared" si="129"/>
        <v>BM 33</v>
      </c>
      <c r="AJ598" s="1" t="str">
        <f t="shared" si="129"/>
        <v>BM 34</v>
      </c>
      <c r="AK598" s="1" t="str">
        <f t="shared" si="129"/>
        <v>BM 35</v>
      </c>
      <c r="AL598" s="1" t="str">
        <f t="shared" si="129"/>
        <v>BM 36</v>
      </c>
      <c r="AM598" s="1" t="str">
        <f t="shared" si="129"/>
        <v>BM 37</v>
      </c>
      <c r="AO598" s="1" t="str">
        <f t="shared" ref="AO598:AR601" si="130">AO591</f>
        <v>IN BEAM</v>
      </c>
      <c r="AP598" s="1" t="str">
        <f t="shared" si="130"/>
        <v>IN BEAM</v>
      </c>
      <c r="AQ598" s="1" t="str">
        <f t="shared" si="130"/>
        <v>IN BEAM</v>
      </c>
      <c r="AR598" s="1" t="str">
        <f t="shared" si="130"/>
        <v>IN BEAM</v>
      </c>
      <c r="AT598" s="1" t="str">
        <f t="shared" ref="AT598:AW601" si="131">AT591</f>
        <v>IN BEAM</v>
      </c>
      <c r="AU598" s="1" t="str">
        <f t="shared" si="131"/>
        <v>IN BEAM</v>
      </c>
      <c r="AV598" s="1" t="str">
        <f t="shared" si="131"/>
        <v>IN BEAM</v>
      </c>
      <c r="AW598" s="1" t="str">
        <f t="shared" si="131"/>
        <v>IN BEAM</v>
      </c>
      <c r="BQ598"/>
      <c r="BR598"/>
      <c r="BS598"/>
      <c r="BT598"/>
      <c r="BU598"/>
    </row>
    <row r="599" spans="1:73" s="44" customFormat="1">
      <c r="A599" s="44" t="str">
        <f>A592</f>
        <v>length</v>
      </c>
      <c r="B599" s="1">
        <f t="shared" si="128"/>
        <v>9.7050000000000001</v>
      </c>
      <c r="C599" s="1">
        <f t="shared" si="128"/>
        <v>9.7050000000000001</v>
      </c>
      <c r="D599" s="1">
        <f t="shared" si="128"/>
        <v>9.7100000000000009</v>
      </c>
      <c r="E599" s="1">
        <f t="shared" si="128"/>
        <v>9.7100000000000009</v>
      </c>
      <c r="F599" s="1">
        <f t="shared" si="128"/>
        <v>5.99</v>
      </c>
      <c r="G599" s="1">
        <f t="shared" si="128"/>
        <v>5.08</v>
      </c>
      <c r="H599" s="1">
        <f t="shared" si="128"/>
        <v>7.5100000000000007</v>
      </c>
      <c r="I599" s="1">
        <f t="shared" si="128"/>
        <v>5.91</v>
      </c>
      <c r="J599" s="1">
        <f t="shared" si="128"/>
        <v>15.1</v>
      </c>
      <c r="K599" s="1">
        <f t="shared" si="128"/>
        <v>5.8900000000000006</v>
      </c>
      <c r="L599" s="1">
        <f t="shared" si="128"/>
        <v>5.1800000000000006</v>
      </c>
      <c r="M599" s="1">
        <f t="shared" si="128"/>
        <v>10.370000000000001</v>
      </c>
      <c r="N599" s="1">
        <f t="shared" si="128"/>
        <v>17.03</v>
      </c>
      <c r="O599" s="1">
        <f t="shared" si="128"/>
        <v>0</v>
      </c>
      <c r="P599" s="1">
        <f t="shared" si="128"/>
        <v>0</v>
      </c>
      <c r="Q599" s="1">
        <f t="shared" si="128"/>
        <v>0</v>
      </c>
      <c r="R599" s="1"/>
      <c r="S599" s="1">
        <f t="shared" si="129"/>
        <v>0</v>
      </c>
      <c r="T599" s="1">
        <f t="shared" si="129"/>
        <v>0</v>
      </c>
      <c r="U599" s="1">
        <f t="shared" si="129"/>
        <v>0</v>
      </c>
      <c r="V599" s="1">
        <f t="shared" si="129"/>
        <v>0</v>
      </c>
      <c r="W599" s="1">
        <f t="shared" si="129"/>
        <v>0</v>
      </c>
      <c r="X599" s="1">
        <f t="shared" si="129"/>
        <v>0</v>
      </c>
      <c r="Y599" s="1">
        <f t="shared" si="129"/>
        <v>0</v>
      </c>
      <c r="Z599" s="1">
        <f t="shared" si="129"/>
        <v>0</v>
      </c>
      <c r="AA599" s="1">
        <f t="shared" si="129"/>
        <v>0</v>
      </c>
      <c r="AB599" s="1">
        <f t="shared" si="129"/>
        <v>0</v>
      </c>
      <c r="AC599" s="1">
        <f t="shared" si="129"/>
        <v>0</v>
      </c>
      <c r="AD599" s="1">
        <f t="shared" si="129"/>
        <v>0</v>
      </c>
      <c r="AE599" s="1">
        <f t="shared" si="129"/>
        <v>0</v>
      </c>
      <c r="AF599" s="1">
        <f t="shared" si="129"/>
        <v>0</v>
      </c>
      <c r="AG599" s="1">
        <f t="shared" si="129"/>
        <v>0</v>
      </c>
      <c r="AH599" s="1">
        <f t="shared" si="129"/>
        <v>0</v>
      </c>
      <c r="AI599" s="1">
        <f t="shared" si="129"/>
        <v>0</v>
      </c>
      <c r="AJ599" s="1">
        <f t="shared" si="129"/>
        <v>0</v>
      </c>
      <c r="AK599" s="1">
        <f t="shared" si="129"/>
        <v>0</v>
      </c>
      <c r="AL599" s="1">
        <f t="shared" si="129"/>
        <v>0</v>
      </c>
      <c r="AM599" s="1">
        <f t="shared" si="129"/>
        <v>0</v>
      </c>
      <c r="AN599" s="1"/>
      <c r="AO599" s="1">
        <f t="shared" si="130"/>
        <v>0</v>
      </c>
      <c r="AP599" s="1">
        <f t="shared" si="130"/>
        <v>0</v>
      </c>
      <c r="AQ599" s="1">
        <f t="shared" si="130"/>
        <v>0</v>
      </c>
      <c r="AR599" s="1">
        <f t="shared" si="130"/>
        <v>0</v>
      </c>
      <c r="AS599" s="1"/>
      <c r="AT599" s="1">
        <f t="shared" si="131"/>
        <v>0</v>
      </c>
      <c r="AU599" s="1">
        <f t="shared" si="131"/>
        <v>0</v>
      </c>
      <c r="AV599" s="1">
        <f t="shared" si="131"/>
        <v>0</v>
      </c>
      <c r="AW599" s="1">
        <f t="shared" si="131"/>
        <v>0</v>
      </c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4"/>
      <c r="BQ599"/>
    </row>
    <row r="600" spans="1:73" s="1" customFormat="1">
      <c r="A600" s="44" t="str">
        <f>A593</f>
        <v>depth</v>
      </c>
      <c r="B600" s="1">
        <f t="shared" si="128"/>
        <v>0.3</v>
      </c>
      <c r="C600" s="1">
        <f t="shared" si="128"/>
        <v>0.3</v>
      </c>
      <c r="D600" s="1">
        <f t="shared" si="128"/>
        <v>0.3</v>
      </c>
      <c r="E600" s="1">
        <f t="shared" si="128"/>
        <v>0.3</v>
      </c>
      <c r="F600" s="1">
        <f t="shared" si="128"/>
        <v>0.3</v>
      </c>
      <c r="G600" s="1">
        <f t="shared" si="128"/>
        <v>0.3</v>
      </c>
      <c r="H600" s="1">
        <f t="shared" si="128"/>
        <v>0.3</v>
      </c>
      <c r="I600" s="1">
        <f t="shared" si="128"/>
        <v>0.45</v>
      </c>
      <c r="J600" s="1">
        <f t="shared" si="128"/>
        <v>0.3</v>
      </c>
      <c r="K600" s="1">
        <f t="shared" si="128"/>
        <v>0.3</v>
      </c>
      <c r="L600" s="1">
        <f t="shared" si="128"/>
        <v>0.3</v>
      </c>
      <c r="M600" s="1">
        <f t="shared" si="128"/>
        <v>0.3</v>
      </c>
      <c r="N600" s="1">
        <f t="shared" si="128"/>
        <v>0.3</v>
      </c>
      <c r="O600" s="1">
        <f t="shared" si="128"/>
        <v>0.3</v>
      </c>
      <c r="P600" s="1">
        <f t="shared" si="128"/>
        <v>0.3</v>
      </c>
      <c r="Q600" s="1">
        <f t="shared" si="128"/>
        <v>0.3</v>
      </c>
      <c r="S600" s="1">
        <f t="shared" si="129"/>
        <v>0.3</v>
      </c>
      <c r="T600" s="1">
        <f t="shared" si="129"/>
        <v>0.3</v>
      </c>
      <c r="U600" s="1">
        <f t="shared" si="129"/>
        <v>0.3</v>
      </c>
      <c r="V600" s="1">
        <f t="shared" si="129"/>
        <v>0.3</v>
      </c>
      <c r="W600" s="1">
        <f t="shared" si="129"/>
        <v>0.3</v>
      </c>
      <c r="X600" s="1">
        <f t="shared" si="129"/>
        <v>0.3</v>
      </c>
      <c r="Y600" s="1">
        <f t="shared" si="129"/>
        <v>0.3</v>
      </c>
      <c r="Z600" s="1">
        <f t="shared" si="129"/>
        <v>0.3</v>
      </c>
      <c r="AA600" s="1">
        <f t="shared" si="129"/>
        <v>0.3</v>
      </c>
      <c r="AB600" s="1">
        <f t="shared" si="129"/>
        <v>0.3</v>
      </c>
      <c r="AC600" s="1">
        <f t="shared" si="129"/>
        <v>0.3</v>
      </c>
      <c r="AD600" s="1">
        <f t="shared" si="129"/>
        <v>0.3</v>
      </c>
      <c r="AE600" s="1">
        <f t="shared" si="129"/>
        <v>0.3</v>
      </c>
      <c r="AF600" s="1">
        <f t="shared" si="129"/>
        <v>0.3</v>
      </c>
      <c r="AG600" s="1">
        <f t="shared" si="129"/>
        <v>0.3</v>
      </c>
      <c r="AH600" s="1">
        <f t="shared" si="129"/>
        <v>0.3</v>
      </c>
      <c r="AI600" s="1">
        <f t="shared" si="129"/>
        <v>0.3</v>
      </c>
      <c r="AJ600" s="1">
        <f t="shared" si="129"/>
        <v>0.3</v>
      </c>
      <c r="AK600" s="1">
        <f t="shared" si="129"/>
        <v>0.3</v>
      </c>
      <c r="AL600" s="1">
        <f t="shared" si="129"/>
        <v>0.3</v>
      </c>
      <c r="AM600" s="1">
        <f t="shared" si="129"/>
        <v>0.3</v>
      </c>
      <c r="AO600" s="1">
        <f t="shared" si="130"/>
        <v>0.45</v>
      </c>
      <c r="AP600" s="1">
        <f t="shared" si="130"/>
        <v>0.45</v>
      </c>
      <c r="AQ600" s="1">
        <f t="shared" si="130"/>
        <v>0.45</v>
      </c>
      <c r="AR600" s="1">
        <f t="shared" si="130"/>
        <v>0.45</v>
      </c>
      <c r="AT600" s="1">
        <f t="shared" si="131"/>
        <v>0.45</v>
      </c>
      <c r="AU600" s="1">
        <f t="shared" si="131"/>
        <v>0.45</v>
      </c>
      <c r="AV600" s="1">
        <f t="shared" si="131"/>
        <v>0.45</v>
      </c>
      <c r="AW600" s="1">
        <f t="shared" si="131"/>
        <v>0.45</v>
      </c>
      <c r="BQ600"/>
      <c r="BR600"/>
      <c r="BS600"/>
      <c r="BT600"/>
      <c r="BU600"/>
    </row>
    <row r="601" spans="1:73" s="1" customFormat="1">
      <c r="A601" s="44" t="str">
        <f>A594</f>
        <v>width</v>
      </c>
      <c r="B601" s="1">
        <f t="shared" si="128"/>
        <v>0.23</v>
      </c>
      <c r="C601" s="1">
        <f t="shared" si="128"/>
        <v>0.23</v>
      </c>
      <c r="D601" s="1">
        <f t="shared" si="128"/>
        <v>0.23</v>
      </c>
      <c r="E601" s="1">
        <f t="shared" si="128"/>
        <v>0.23</v>
      </c>
      <c r="F601" s="1">
        <f t="shared" si="128"/>
        <v>0.23</v>
      </c>
      <c r="G601" s="1">
        <f t="shared" si="128"/>
        <v>0.23</v>
      </c>
      <c r="H601" s="1">
        <f t="shared" si="128"/>
        <v>0.23</v>
      </c>
      <c r="I601" s="1">
        <f t="shared" si="128"/>
        <v>0.23</v>
      </c>
      <c r="J601" s="1">
        <f t="shared" si="128"/>
        <v>0.23</v>
      </c>
      <c r="K601" s="1">
        <f t="shared" si="128"/>
        <v>0.23</v>
      </c>
      <c r="L601" s="1">
        <f t="shared" si="128"/>
        <v>0.23</v>
      </c>
      <c r="M601" s="1">
        <f t="shared" si="128"/>
        <v>0.23</v>
      </c>
      <c r="N601" s="1">
        <f t="shared" si="128"/>
        <v>0.23</v>
      </c>
      <c r="O601" s="1">
        <f t="shared" si="128"/>
        <v>0.23</v>
      </c>
      <c r="P601" s="1">
        <f t="shared" si="128"/>
        <v>0.23</v>
      </c>
      <c r="Q601" s="1">
        <f t="shared" si="128"/>
        <v>0.23</v>
      </c>
      <c r="S601" s="1">
        <f t="shared" si="129"/>
        <v>0.23</v>
      </c>
      <c r="T601" s="1">
        <f t="shared" si="129"/>
        <v>0.23</v>
      </c>
      <c r="U601" s="1">
        <f t="shared" si="129"/>
        <v>0.23</v>
      </c>
      <c r="V601" s="1">
        <f t="shared" si="129"/>
        <v>0.23</v>
      </c>
      <c r="W601" s="1">
        <f t="shared" si="129"/>
        <v>0.23</v>
      </c>
      <c r="X601" s="1">
        <f t="shared" si="129"/>
        <v>0.23</v>
      </c>
      <c r="Y601" s="1">
        <f t="shared" si="129"/>
        <v>0.23</v>
      </c>
      <c r="Z601" s="1">
        <f t="shared" si="129"/>
        <v>0.23</v>
      </c>
      <c r="AA601" s="1">
        <f t="shared" si="129"/>
        <v>0.23</v>
      </c>
      <c r="AB601" s="1">
        <f t="shared" si="129"/>
        <v>0.23</v>
      </c>
      <c r="AC601" s="1">
        <f t="shared" si="129"/>
        <v>0.23</v>
      </c>
      <c r="AD601" s="1">
        <f t="shared" si="129"/>
        <v>0.23</v>
      </c>
      <c r="AE601" s="1">
        <f t="shared" si="129"/>
        <v>0.23</v>
      </c>
      <c r="AF601" s="1">
        <f t="shared" si="129"/>
        <v>0.23</v>
      </c>
      <c r="AG601" s="1">
        <f t="shared" si="129"/>
        <v>0.23</v>
      </c>
      <c r="AH601" s="1">
        <f t="shared" si="129"/>
        <v>0.23</v>
      </c>
      <c r="AI601" s="1">
        <f t="shared" si="129"/>
        <v>0.23</v>
      </c>
      <c r="AJ601" s="1">
        <f t="shared" si="129"/>
        <v>0.23</v>
      </c>
      <c r="AK601" s="1">
        <f t="shared" si="129"/>
        <v>0.23</v>
      </c>
      <c r="AL601" s="1">
        <f t="shared" si="129"/>
        <v>0.23</v>
      </c>
      <c r="AM601" s="1">
        <f t="shared" si="129"/>
        <v>0.23</v>
      </c>
      <c r="AO601" s="1">
        <f t="shared" si="130"/>
        <v>0.15</v>
      </c>
      <c r="AP601" s="1">
        <f t="shared" si="130"/>
        <v>0.15</v>
      </c>
      <c r="AQ601" s="1">
        <f t="shared" si="130"/>
        <v>0.15</v>
      </c>
      <c r="AR601" s="1">
        <f t="shared" si="130"/>
        <v>0.15</v>
      </c>
      <c r="AT601" s="1">
        <f t="shared" si="131"/>
        <v>0.15</v>
      </c>
      <c r="AU601" s="1">
        <f t="shared" si="131"/>
        <v>0.15</v>
      </c>
      <c r="AV601" s="1">
        <f t="shared" si="131"/>
        <v>0.15</v>
      </c>
      <c r="AW601" s="1">
        <f t="shared" si="131"/>
        <v>0.15</v>
      </c>
      <c r="BQ601"/>
      <c r="BR601"/>
      <c r="BS601"/>
      <c r="BT601"/>
      <c r="BU601"/>
    </row>
    <row r="602" spans="1:73" s="1" customFormat="1">
      <c r="B602" s="8">
        <f t="shared" ref="B602:Q602" si="132">(B599*B600*2)+(B599*B601)</f>
        <v>8.0551499999999994</v>
      </c>
      <c r="C602" s="8">
        <f t="shared" si="132"/>
        <v>8.0551499999999994</v>
      </c>
      <c r="D602" s="8">
        <f t="shared" si="132"/>
        <v>8.0593000000000004</v>
      </c>
      <c r="E602" s="8">
        <f t="shared" si="132"/>
        <v>8.0593000000000004</v>
      </c>
      <c r="F602" s="8">
        <f t="shared" si="132"/>
        <v>4.9717000000000002</v>
      </c>
      <c r="G602" s="8">
        <f t="shared" si="132"/>
        <v>4.2164000000000001</v>
      </c>
      <c r="H602" s="8">
        <f t="shared" si="132"/>
        <v>6.2333000000000007</v>
      </c>
      <c r="I602" s="8">
        <f t="shared" si="132"/>
        <v>6.6783000000000001</v>
      </c>
      <c r="J602" s="8">
        <f t="shared" si="132"/>
        <v>12.532999999999998</v>
      </c>
      <c r="K602" s="8">
        <f t="shared" si="132"/>
        <v>4.8887</v>
      </c>
      <c r="L602" s="8">
        <f t="shared" si="132"/>
        <v>4.2994000000000003</v>
      </c>
      <c r="M602" s="8">
        <f t="shared" si="132"/>
        <v>8.6071000000000009</v>
      </c>
      <c r="N602" s="8">
        <f t="shared" si="132"/>
        <v>14.1349</v>
      </c>
      <c r="O602" s="8">
        <f t="shared" si="132"/>
        <v>0</v>
      </c>
      <c r="P602" s="8">
        <f t="shared" si="132"/>
        <v>0</v>
      </c>
      <c r="Q602" s="8">
        <f t="shared" si="132"/>
        <v>0</v>
      </c>
      <c r="R602" s="8"/>
      <c r="S602" s="8">
        <f t="shared" ref="S602:AW602" si="133">(S599*S600*2)+(S599*S601)</f>
        <v>0</v>
      </c>
      <c r="T602" s="8">
        <f t="shared" si="133"/>
        <v>0</v>
      </c>
      <c r="U602" s="8">
        <f t="shared" si="133"/>
        <v>0</v>
      </c>
      <c r="V602" s="8">
        <f t="shared" si="133"/>
        <v>0</v>
      </c>
      <c r="W602" s="8">
        <f t="shared" si="133"/>
        <v>0</v>
      </c>
      <c r="X602" s="8">
        <f t="shared" si="133"/>
        <v>0</v>
      </c>
      <c r="Y602" s="8">
        <f t="shared" si="133"/>
        <v>0</v>
      </c>
      <c r="Z602" s="8">
        <f t="shared" si="133"/>
        <v>0</v>
      </c>
      <c r="AA602" s="8">
        <f t="shared" si="133"/>
        <v>0</v>
      </c>
      <c r="AB602" s="8">
        <f t="shared" si="133"/>
        <v>0</v>
      </c>
      <c r="AC602" s="8">
        <f t="shared" si="133"/>
        <v>0</v>
      </c>
      <c r="AD602" s="8">
        <f t="shared" si="133"/>
        <v>0</v>
      </c>
      <c r="AE602" s="8">
        <f t="shared" si="133"/>
        <v>0</v>
      </c>
      <c r="AF602" s="8">
        <f t="shared" si="133"/>
        <v>0</v>
      </c>
      <c r="AG602" s="8">
        <f t="shared" si="133"/>
        <v>0</v>
      </c>
      <c r="AH602" s="8">
        <f t="shared" si="133"/>
        <v>0</v>
      </c>
      <c r="AI602" s="8">
        <f t="shared" si="133"/>
        <v>0</v>
      </c>
      <c r="AJ602" s="8">
        <f t="shared" si="133"/>
        <v>0</v>
      </c>
      <c r="AK602" s="8">
        <f t="shared" si="133"/>
        <v>0</v>
      </c>
      <c r="AL602" s="8">
        <f t="shared" si="133"/>
        <v>0</v>
      </c>
      <c r="AM602" s="8">
        <f t="shared" si="133"/>
        <v>0</v>
      </c>
      <c r="AN602" s="8"/>
      <c r="AO602" s="8">
        <f t="shared" si="133"/>
        <v>0</v>
      </c>
      <c r="AP602" s="8">
        <f t="shared" si="133"/>
        <v>0</v>
      </c>
      <c r="AQ602" s="8">
        <f t="shared" si="133"/>
        <v>0</v>
      </c>
      <c r="AR602" s="8">
        <f t="shared" si="133"/>
        <v>0</v>
      </c>
      <c r="AS602" s="8"/>
      <c r="AT602" s="8">
        <f t="shared" si="133"/>
        <v>0</v>
      </c>
      <c r="AU602" s="8">
        <f t="shared" si="133"/>
        <v>0</v>
      </c>
      <c r="AV602" s="8">
        <f t="shared" si="133"/>
        <v>0</v>
      </c>
      <c r="AW602" s="8">
        <f t="shared" si="133"/>
        <v>0</v>
      </c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/>
      <c r="BR602"/>
      <c r="BS602"/>
      <c r="BT602"/>
      <c r="BU602"/>
    </row>
    <row r="603" spans="1:73" s="1" customFormat="1" ht="20.25" customHeight="1">
      <c r="H603" s="5"/>
      <c r="I603" s="8"/>
      <c r="BQ603"/>
      <c r="BR603"/>
      <c r="BS603"/>
      <c r="BT603"/>
      <c r="BU603"/>
    </row>
    <row r="604" spans="1:73" s="1" customFormat="1" ht="20.25" customHeight="1" thickBot="1">
      <c r="H604" s="5"/>
      <c r="I604" s="8"/>
      <c r="BQ604"/>
      <c r="BR604"/>
      <c r="BS604"/>
      <c r="BT604"/>
      <c r="BU604"/>
    </row>
    <row r="605" spans="1:73" s="1" customFormat="1" ht="19.5" thickBot="1">
      <c r="B605" s="203" t="s">
        <v>168</v>
      </c>
      <c r="C605" s="203"/>
      <c r="D605" s="203"/>
      <c r="E605" s="203"/>
      <c r="F605" s="19" t="s">
        <v>105</v>
      </c>
      <c r="G605" s="56">
        <f>ROUNDUP(L618,0)</f>
        <v>116</v>
      </c>
      <c r="BQ605"/>
      <c r="BR605"/>
      <c r="BS605"/>
      <c r="BT605"/>
      <c r="BU605"/>
    </row>
    <row r="606" spans="1:73" s="1" customFormat="1" ht="19.5" thickBot="1">
      <c r="F606" s="19" t="s">
        <v>70</v>
      </c>
      <c r="G606" s="56">
        <f>ROUNDUP(L619,0)</f>
        <v>268</v>
      </c>
      <c r="I606" s="8"/>
      <c r="BQ606"/>
      <c r="BR606"/>
      <c r="BS606"/>
      <c r="BT606"/>
      <c r="BU606"/>
    </row>
    <row r="607" spans="1:73" s="1" customFormat="1" ht="19.5" thickBot="1">
      <c r="F607" s="19" t="s">
        <v>71</v>
      </c>
      <c r="G607" s="56">
        <f>ROUNDUP(L620,0)</f>
        <v>1032</v>
      </c>
      <c r="I607" s="8"/>
      <c r="BQ607" s="42"/>
      <c r="BR607"/>
      <c r="BS607"/>
      <c r="BT607"/>
      <c r="BU607"/>
    </row>
    <row r="608" spans="1:73" s="1" customFormat="1" ht="19.5" thickBot="1">
      <c r="F608" s="19" t="s">
        <v>68</v>
      </c>
      <c r="G608" s="56">
        <f>ROUNDUP(L621,0)</f>
        <v>0</v>
      </c>
      <c r="I608" s="8"/>
      <c r="BQ608"/>
      <c r="BR608"/>
      <c r="BS608"/>
      <c r="BT608"/>
      <c r="BU608"/>
    </row>
    <row r="609" spans="1:73" s="1" customFormat="1" ht="19.5" thickBot="1">
      <c r="F609" s="19" t="s">
        <v>108</v>
      </c>
      <c r="G609" s="56">
        <f>ROUNDUP(L630,0)</f>
        <v>431</v>
      </c>
      <c r="I609" s="8"/>
      <c r="BR609"/>
      <c r="BS609"/>
      <c r="BT609"/>
      <c r="BU609"/>
    </row>
    <row r="610" spans="1:73" s="1" customFormat="1" ht="19.5" thickBot="1">
      <c r="F610" s="19" t="s">
        <v>123</v>
      </c>
      <c r="G610" s="56">
        <f>ROUNDUP(L631,0)</f>
        <v>0</v>
      </c>
      <c r="I610" s="8"/>
      <c r="BR610"/>
      <c r="BS610"/>
      <c r="BT610"/>
      <c r="BU610"/>
    </row>
    <row r="611" spans="1:73" s="1" customFormat="1" ht="15.75" thickBot="1">
      <c r="F611" s="5"/>
      <c r="G611" s="5"/>
      <c r="I611" s="8"/>
      <c r="BR611"/>
      <c r="BS611"/>
      <c r="BT611"/>
      <c r="BU611"/>
    </row>
    <row r="612" spans="1:73" s="42" customFormat="1" ht="16.5" customHeight="1" thickBot="1">
      <c r="B612" s="57" t="s">
        <v>127</v>
      </c>
      <c r="C612" s="42" t="s">
        <v>128</v>
      </c>
      <c r="D612" s="42" t="s">
        <v>129</v>
      </c>
      <c r="E612" s="42" t="s">
        <v>130</v>
      </c>
      <c r="F612" s="42" t="s">
        <v>131</v>
      </c>
      <c r="G612" s="42" t="s">
        <v>132</v>
      </c>
      <c r="H612" s="42" t="s">
        <v>133</v>
      </c>
      <c r="I612" s="42" t="s">
        <v>134</v>
      </c>
      <c r="J612" s="42" t="s">
        <v>135</v>
      </c>
      <c r="K612" s="42" t="s">
        <v>136</v>
      </c>
      <c r="L612" s="42" t="s">
        <v>137</v>
      </c>
      <c r="M612" s="42" t="s">
        <v>138</v>
      </c>
      <c r="N612" s="42" t="s">
        <v>139</v>
      </c>
      <c r="O612" s="42" t="s">
        <v>140</v>
      </c>
      <c r="P612" s="42" t="s">
        <v>141</v>
      </c>
      <c r="Q612" s="42" t="s">
        <v>142</v>
      </c>
      <c r="S612" s="42" t="str">
        <f t="shared" ref="S612:AM612" si="134">S598</f>
        <v>BM 17</v>
      </c>
      <c r="T612" s="42" t="str">
        <f t="shared" si="134"/>
        <v>BM 18</v>
      </c>
      <c r="U612" s="42" t="str">
        <f t="shared" si="134"/>
        <v>BM 19</v>
      </c>
      <c r="V612" s="42" t="str">
        <f t="shared" si="134"/>
        <v>BM 20</v>
      </c>
      <c r="W612" s="42" t="str">
        <f t="shared" si="134"/>
        <v>BM 21</v>
      </c>
      <c r="X612" s="42" t="str">
        <f t="shared" si="134"/>
        <v>BM 22</v>
      </c>
      <c r="Y612" s="42" t="str">
        <f t="shared" si="134"/>
        <v>BM 23</v>
      </c>
      <c r="Z612" s="42" t="str">
        <f t="shared" si="134"/>
        <v>BM 24</v>
      </c>
      <c r="AA612" s="42" t="str">
        <f t="shared" si="134"/>
        <v>BM 25</v>
      </c>
      <c r="AB612" s="42" t="str">
        <f t="shared" si="134"/>
        <v>BM 26</v>
      </c>
      <c r="AC612" s="42" t="str">
        <f t="shared" si="134"/>
        <v>BM 27</v>
      </c>
      <c r="AD612" s="42" t="str">
        <f t="shared" si="134"/>
        <v>BM 28</v>
      </c>
      <c r="AE612" s="42" t="str">
        <f t="shared" si="134"/>
        <v>BM 29</v>
      </c>
      <c r="AF612" s="42" t="str">
        <f t="shared" si="134"/>
        <v>BM 30</v>
      </c>
      <c r="AG612" s="42" t="str">
        <f t="shared" si="134"/>
        <v>BM 31</v>
      </c>
      <c r="AH612" s="42" t="str">
        <f t="shared" si="134"/>
        <v>BM 32</v>
      </c>
      <c r="AI612" s="42" t="str">
        <f t="shared" si="134"/>
        <v>BM 33</v>
      </c>
      <c r="AJ612" s="42" t="str">
        <f t="shared" si="134"/>
        <v>BM 34</v>
      </c>
      <c r="AK612" s="42" t="str">
        <f t="shared" si="134"/>
        <v>BM 35</v>
      </c>
      <c r="AL612" s="42" t="str">
        <f t="shared" si="134"/>
        <v>BM 36</v>
      </c>
      <c r="AM612" s="42" t="str">
        <f t="shared" si="134"/>
        <v>BM 37</v>
      </c>
      <c r="AO612" s="42" t="str">
        <f>AO598</f>
        <v>IN BEAM</v>
      </c>
      <c r="AP612" s="42" t="str">
        <f>AP598</f>
        <v>IN BEAM</v>
      </c>
      <c r="AQ612" s="42" t="str">
        <f>AQ598</f>
        <v>IN BEAM</v>
      </c>
      <c r="AR612" s="42" t="str">
        <f>AR598</f>
        <v>IN BEAM</v>
      </c>
      <c r="AT612" s="42" t="str">
        <f>AT598</f>
        <v>IN BEAM</v>
      </c>
      <c r="AU612" s="42" t="str">
        <f>AU598</f>
        <v>IN BEAM</v>
      </c>
      <c r="AV612" s="42" t="str">
        <f>AV598</f>
        <v>IN BEAM</v>
      </c>
      <c r="AW612" s="42" t="str">
        <f>AW598</f>
        <v>IN BEAM</v>
      </c>
      <c r="BQ612" s="1"/>
    </row>
    <row r="613" spans="1:73" s="1" customFormat="1" ht="16.5" customHeight="1">
      <c r="A613" s="20" t="s">
        <v>169</v>
      </c>
      <c r="E613" s="1">
        <f>9.97*3</f>
        <v>29.910000000000004</v>
      </c>
      <c r="BR613"/>
      <c r="BS613"/>
      <c r="BT613"/>
      <c r="BU613"/>
    </row>
    <row r="614" spans="1:73" s="1" customFormat="1" ht="16.5" customHeight="1">
      <c r="A614" s="20" t="s">
        <v>106</v>
      </c>
      <c r="E614" s="1">
        <f>9.97*3</f>
        <v>29.910000000000004</v>
      </c>
      <c r="I614" s="1">
        <f>6.15*4</f>
        <v>24.6</v>
      </c>
      <c r="L614" s="1">
        <f>5.44*4*2</f>
        <v>43.52</v>
      </c>
      <c r="M614" s="1">
        <f>3.42*3</f>
        <v>10.26</v>
      </c>
      <c r="BQ614" s="34"/>
    </row>
    <row r="615" spans="1:73" s="1" customFormat="1" ht="16.5" customHeight="1">
      <c r="A615" s="20" t="s">
        <v>104</v>
      </c>
      <c r="B615" s="1">
        <f>(9.96*3)+(9.96*4)</f>
        <v>69.72</v>
      </c>
      <c r="C615" s="1">
        <f t="shared" ref="C615:D615" si="135">(9.96*3)+(9.96*4)</f>
        <v>69.72</v>
      </c>
      <c r="D615" s="1">
        <f t="shared" si="135"/>
        <v>69.72</v>
      </c>
      <c r="F615" s="1">
        <f>(6.26*3)+(6.26*4)</f>
        <v>43.82</v>
      </c>
      <c r="G615" s="1">
        <f>(5.35*3)+(5.35*4)</f>
        <v>37.449999999999996</v>
      </c>
      <c r="H615" s="1">
        <f>7.73*3*2</f>
        <v>46.38</v>
      </c>
      <c r="I615" s="1">
        <f>6.15*3</f>
        <v>18.450000000000003</v>
      </c>
      <c r="J615" s="1">
        <f>(9.3*3)+(1.62*3)+(5.32*3)+(8.76*3)+(7.31*3)</f>
        <v>96.93</v>
      </c>
      <c r="K615" s="1">
        <f>6.12*3*2</f>
        <v>36.72</v>
      </c>
      <c r="M615" s="1">
        <f>(1.92*3)+(6*3)+(6.85*3)+(4.31*3)</f>
        <v>57.239999999999995</v>
      </c>
      <c r="N615" s="1">
        <f>(8.05*3)+(1.63*3)+(8.2*3)+(8.77*3)+(9.05*3)</f>
        <v>107.10000000000001</v>
      </c>
    </row>
    <row r="616" spans="1:73" s="1" customFormat="1" ht="16.5" customHeight="1">
      <c r="A616" s="20" t="s">
        <v>69</v>
      </c>
    </row>
    <row r="617" spans="1:73" s="1" customFormat="1" ht="16.5" customHeight="1"/>
    <row r="618" spans="1:73" s="1" customFormat="1" ht="16.5" customHeight="1" thickBot="1">
      <c r="I618" s="1" t="s">
        <v>169</v>
      </c>
      <c r="J618" s="5">
        <f>SUM(B613:AW613)</f>
        <v>29.910000000000004</v>
      </c>
      <c r="K618" s="1">
        <v>3.8540000000000001</v>
      </c>
      <c r="L618" s="1">
        <f>J618*K618</f>
        <v>115.27314000000001</v>
      </c>
    </row>
    <row r="619" spans="1:73" s="34" customFormat="1" ht="13.5" thickBot="1">
      <c r="A619" s="58"/>
      <c r="I619" s="5" t="s">
        <v>70</v>
      </c>
      <c r="J619" s="5">
        <f>SUM(B614:AW614)</f>
        <v>108.29</v>
      </c>
      <c r="K619" s="1">
        <v>2.4670000000000001</v>
      </c>
      <c r="L619" s="1">
        <f>J619*K619</f>
        <v>267.15143</v>
      </c>
      <c r="M619" s="1"/>
      <c r="BQ619" s="42"/>
    </row>
    <row r="620" spans="1:73" s="1" customFormat="1" ht="12.75">
      <c r="I620" s="5" t="s">
        <v>71</v>
      </c>
      <c r="J620" s="5">
        <f>SUM(B615:AW615)</f>
        <v>653.25</v>
      </c>
      <c r="K620" s="59">
        <v>1.579</v>
      </c>
      <c r="L620" s="1">
        <f>J620*K620</f>
        <v>1031.4817499999999</v>
      </c>
    </row>
    <row r="621" spans="1:73" s="1" customFormat="1" ht="12.75">
      <c r="I621" s="5" t="s">
        <v>68</v>
      </c>
      <c r="J621" s="5">
        <f>SUM(B616:AW616)</f>
        <v>0</v>
      </c>
      <c r="K621" s="1">
        <v>0.88800000000000001</v>
      </c>
      <c r="L621" s="1">
        <f>J621*K621</f>
        <v>0</v>
      </c>
      <c r="BQ621" s="52"/>
    </row>
    <row r="622" spans="1:73" s="1" customFormat="1" ht="12.75">
      <c r="I622" s="5"/>
      <c r="J622" s="5"/>
    </row>
    <row r="623" spans="1:73" s="1" customFormat="1" ht="15.75" thickBot="1">
      <c r="C623" s="204" t="s">
        <v>107</v>
      </c>
      <c r="D623" s="204"/>
      <c r="E623" s="204"/>
      <c r="F623" s="204"/>
      <c r="G623" s="204"/>
      <c r="H623" s="204"/>
      <c r="I623" s="5"/>
      <c r="J623" s="5"/>
    </row>
    <row r="624" spans="1:73" s="42" customFormat="1" ht="15.75" thickBot="1">
      <c r="A624" s="57"/>
      <c r="B624" s="42" t="str">
        <f>B612</f>
        <v>BM 1</v>
      </c>
      <c r="C624" s="42" t="str">
        <f t="shared" ref="C624:BA624" si="136">C612</f>
        <v>BM 2</v>
      </c>
      <c r="D624" s="42" t="str">
        <f t="shared" si="136"/>
        <v>BM 3</v>
      </c>
      <c r="E624" s="42" t="str">
        <f t="shared" si="136"/>
        <v>BM 4</v>
      </c>
      <c r="F624" s="42" t="str">
        <f t="shared" si="136"/>
        <v>BM 5</v>
      </c>
      <c r="G624" s="42" t="str">
        <f t="shared" si="136"/>
        <v>BM 6</v>
      </c>
      <c r="H624" s="42" t="str">
        <f t="shared" si="136"/>
        <v>BM 7</v>
      </c>
      <c r="I624" s="42" t="str">
        <f t="shared" si="136"/>
        <v>BM 8</v>
      </c>
      <c r="J624" s="42" t="str">
        <f t="shared" si="136"/>
        <v>BM 9</v>
      </c>
      <c r="K624" s="42" t="str">
        <f t="shared" si="136"/>
        <v>BM 10</v>
      </c>
      <c r="L624" s="42" t="str">
        <f t="shared" si="136"/>
        <v>BM 11</v>
      </c>
      <c r="M624" s="42" t="str">
        <f t="shared" si="136"/>
        <v>BM 12</v>
      </c>
      <c r="N624" s="42" t="str">
        <f t="shared" si="136"/>
        <v>BM 13</v>
      </c>
      <c r="O624" s="42" t="str">
        <f t="shared" si="136"/>
        <v>BM 14</v>
      </c>
      <c r="P624" s="42" t="str">
        <f t="shared" si="136"/>
        <v>BM 15</v>
      </c>
      <c r="Q624" s="42" t="str">
        <f t="shared" si="136"/>
        <v>BM 16</v>
      </c>
      <c r="R624" s="42">
        <f t="shared" si="136"/>
        <v>0</v>
      </c>
      <c r="S624" s="42" t="str">
        <f t="shared" si="136"/>
        <v>BM 17</v>
      </c>
      <c r="T624" s="42" t="str">
        <f t="shared" si="136"/>
        <v>BM 18</v>
      </c>
      <c r="U624" s="42" t="str">
        <f t="shared" si="136"/>
        <v>BM 19</v>
      </c>
      <c r="V624" s="42" t="str">
        <f t="shared" si="136"/>
        <v>BM 20</v>
      </c>
      <c r="W624" s="42" t="str">
        <f t="shared" si="136"/>
        <v>BM 21</v>
      </c>
      <c r="X624" s="42" t="str">
        <f t="shared" si="136"/>
        <v>BM 22</v>
      </c>
      <c r="Y624" s="42" t="str">
        <f t="shared" si="136"/>
        <v>BM 23</v>
      </c>
      <c r="Z624" s="42" t="str">
        <f t="shared" si="136"/>
        <v>BM 24</v>
      </c>
      <c r="AA624" s="42" t="str">
        <f t="shared" si="136"/>
        <v>BM 25</v>
      </c>
      <c r="AB624" s="42" t="str">
        <f t="shared" si="136"/>
        <v>BM 26</v>
      </c>
      <c r="AC624" s="42" t="str">
        <f t="shared" si="136"/>
        <v>BM 27</v>
      </c>
      <c r="AD624" s="42" t="str">
        <f t="shared" si="136"/>
        <v>BM 28</v>
      </c>
      <c r="AE624" s="42" t="str">
        <f t="shared" si="136"/>
        <v>BM 29</v>
      </c>
      <c r="AF624" s="42" t="str">
        <f t="shared" si="136"/>
        <v>BM 30</v>
      </c>
      <c r="AG624" s="42" t="str">
        <f t="shared" si="136"/>
        <v>BM 31</v>
      </c>
      <c r="AH624" s="42" t="str">
        <f t="shared" si="136"/>
        <v>BM 32</v>
      </c>
      <c r="AI624" s="42" t="str">
        <f t="shared" si="136"/>
        <v>BM 33</v>
      </c>
      <c r="AJ624" s="42" t="str">
        <f t="shared" si="136"/>
        <v>BM 34</v>
      </c>
      <c r="AK624" s="42" t="str">
        <f t="shared" si="136"/>
        <v>BM 35</v>
      </c>
      <c r="AL624" s="42" t="str">
        <f t="shared" si="136"/>
        <v>BM 36</v>
      </c>
      <c r="AM624" s="42" t="str">
        <f t="shared" si="136"/>
        <v>BM 37</v>
      </c>
      <c r="AN624" s="42">
        <f t="shared" si="136"/>
        <v>0</v>
      </c>
      <c r="AO624" s="42" t="str">
        <f t="shared" si="136"/>
        <v>IN BEAM</v>
      </c>
      <c r="AP624" s="42" t="str">
        <f t="shared" si="136"/>
        <v>IN BEAM</v>
      </c>
      <c r="AQ624" s="42" t="str">
        <f t="shared" si="136"/>
        <v>IN BEAM</v>
      </c>
      <c r="AR624" s="42" t="str">
        <f t="shared" si="136"/>
        <v>IN BEAM</v>
      </c>
      <c r="AS624" s="42">
        <f t="shared" si="136"/>
        <v>0</v>
      </c>
      <c r="AT624" s="42" t="str">
        <f t="shared" si="136"/>
        <v>IN BEAM</v>
      </c>
      <c r="AU624" s="42" t="str">
        <f t="shared" si="136"/>
        <v>IN BEAM</v>
      </c>
      <c r="AV624" s="42" t="str">
        <f t="shared" si="136"/>
        <v>IN BEAM</v>
      </c>
      <c r="AW624" s="42" t="str">
        <f t="shared" si="136"/>
        <v>IN BEAM</v>
      </c>
      <c r="AX624" s="42">
        <f t="shared" si="136"/>
        <v>0</v>
      </c>
      <c r="AY624" s="42">
        <f t="shared" si="136"/>
        <v>0</v>
      </c>
      <c r="AZ624" s="42">
        <f t="shared" si="136"/>
        <v>0</v>
      </c>
      <c r="BA624" s="42">
        <f t="shared" si="136"/>
        <v>0</v>
      </c>
      <c r="BQ624"/>
    </row>
    <row r="625" spans="1:73" s="1" customFormat="1">
      <c r="A625" s="1" t="s">
        <v>49</v>
      </c>
      <c r="B625" s="5">
        <v>1.38</v>
      </c>
      <c r="C625" s="5">
        <v>1.38</v>
      </c>
      <c r="D625" s="5">
        <v>1.38</v>
      </c>
      <c r="E625" s="5">
        <v>1.38</v>
      </c>
      <c r="F625" s="5">
        <v>1.38</v>
      </c>
      <c r="G625" s="5">
        <v>1.38</v>
      </c>
      <c r="H625" s="5">
        <v>1.38</v>
      </c>
      <c r="I625" s="5">
        <v>1.38</v>
      </c>
      <c r="J625" s="5">
        <v>1.38</v>
      </c>
      <c r="K625" s="5">
        <v>1.38</v>
      </c>
      <c r="L625" s="5">
        <v>1.38</v>
      </c>
      <c r="M625" s="5">
        <v>1.38</v>
      </c>
      <c r="N625" s="5">
        <v>1.38</v>
      </c>
      <c r="O625" s="5">
        <v>1.38</v>
      </c>
      <c r="P625" s="5">
        <v>1.38</v>
      </c>
      <c r="Q625" s="5">
        <v>1.38</v>
      </c>
      <c r="R625" s="5">
        <v>1.38</v>
      </c>
      <c r="S625" s="5">
        <v>1.38</v>
      </c>
      <c r="T625" s="5">
        <v>1.38</v>
      </c>
      <c r="U625" s="5">
        <v>1.38</v>
      </c>
      <c r="V625" s="5">
        <v>1.38</v>
      </c>
      <c r="W625" s="5">
        <v>1.38</v>
      </c>
      <c r="X625" s="5">
        <v>1.38</v>
      </c>
      <c r="Y625" s="5">
        <v>1.38</v>
      </c>
      <c r="Z625" s="5">
        <v>1.38</v>
      </c>
      <c r="AA625" s="5">
        <v>1.38</v>
      </c>
      <c r="AB625" s="5">
        <v>1.38</v>
      </c>
      <c r="AC625" s="5">
        <v>1.38</v>
      </c>
      <c r="AD625" s="5">
        <v>1.38</v>
      </c>
      <c r="AE625" s="5">
        <v>1.38</v>
      </c>
      <c r="AF625" s="5">
        <v>1.38</v>
      </c>
      <c r="AG625" s="5">
        <v>1.38</v>
      </c>
      <c r="AH625" s="5">
        <v>1.38</v>
      </c>
      <c r="AI625" s="5">
        <v>1.38</v>
      </c>
      <c r="AJ625" s="5">
        <v>1.38</v>
      </c>
      <c r="AK625" s="5">
        <v>1.38</v>
      </c>
      <c r="AL625" s="5">
        <v>1.38</v>
      </c>
      <c r="AM625" s="5">
        <v>1.38</v>
      </c>
      <c r="AN625" s="5"/>
      <c r="AO625" s="5">
        <v>1.23</v>
      </c>
      <c r="AP625" s="5">
        <v>1.23</v>
      </c>
      <c r="AQ625" s="5">
        <v>1.23</v>
      </c>
      <c r="AR625" s="5">
        <v>1.23</v>
      </c>
      <c r="AS625" s="5"/>
      <c r="AT625" s="5">
        <v>1.23</v>
      </c>
      <c r="AU625" s="5">
        <v>1.23</v>
      </c>
      <c r="AV625" s="5">
        <v>1.23</v>
      </c>
      <c r="AW625" s="5">
        <v>1.23</v>
      </c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Q625"/>
    </row>
    <row r="626" spans="1:73" s="44" customFormat="1">
      <c r="A626" s="44" t="s">
        <v>170</v>
      </c>
      <c r="B626" s="52">
        <v>40</v>
      </c>
      <c r="C626" s="52">
        <f>17+24</f>
        <v>41</v>
      </c>
      <c r="D626" s="52">
        <v>40</v>
      </c>
      <c r="E626" s="52">
        <v>49</v>
      </c>
      <c r="F626" s="52">
        <v>26</v>
      </c>
      <c r="G626" s="52">
        <v>20</v>
      </c>
      <c r="H626" s="52">
        <v>33</v>
      </c>
      <c r="I626" s="52">
        <v>29</v>
      </c>
      <c r="J626" s="52">
        <v>66</v>
      </c>
      <c r="K626" s="52">
        <v>25</v>
      </c>
      <c r="L626" s="52">
        <v>21</v>
      </c>
      <c r="M626" s="52">
        <v>41</v>
      </c>
      <c r="N626" s="52">
        <v>75</v>
      </c>
      <c r="O626" s="52">
        <f t="shared" ref="O626:AM626" si="137">O592/0.2</f>
        <v>0</v>
      </c>
      <c r="P626" s="52">
        <f t="shared" si="137"/>
        <v>0</v>
      </c>
      <c r="Q626" s="52">
        <f t="shared" si="137"/>
        <v>0</v>
      </c>
      <c r="R626" s="52">
        <f t="shared" si="137"/>
        <v>0</v>
      </c>
      <c r="S626" s="52">
        <f t="shared" si="137"/>
        <v>0</v>
      </c>
      <c r="T626" s="52">
        <f t="shared" si="137"/>
        <v>0</v>
      </c>
      <c r="U626" s="52">
        <f t="shared" si="137"/>
        <v>0</v>
      </c>
      <c r="V626" s="52">
        <f t="shared" si="137"/>
        <v>0</v>
      </c>
      <c r="W626" s="52">
        <f t="shared" si="137"/>
        <v>0</v>
      </c>
      <c r="X626" s="52">
        <f t="shared" si="137"/>
        <v>0</v>
      </c>
      <c r="Y626" s="52">
        <f t="shared" si="137"/>
        <v>0</v>
      </c>
      <c r="Z626" s="52">
        <f t="shared" si="137"/>
        <v>0</v>
      </c>
      <c r="AA626" s="52">
        <f t="shared" si="137"/>
        <v>0</v>
      </c>
      <c r="AB626" s="52">
        <f t="shared" si="137"/>
        <v>0</v>
      </c>
      <c r="AC626" s="52">
        <f t="shared" si="137"/>
        <v>0</v>
      </c>
      <c r="AD626" s="52">
        <f t="shared" si="137"/>
        <v>0</v>
      </c>
      <c r="AE626" s="52">
        <f t="shared" si="137"/>
        <v>0</v>
      </c>
      <c r="AF626" s="52">
        <f t="shared" si="137"/>
        <v>0</v>
      </c>
      <c r="AG626" s="52">
        <f t="shared" si="137"/>
        <v>0</v>
      </c>
      <c r="AH626" s="52">
        <f t="shared" si="137"/>
        <v>0</v>
      </c>
      <c r="AI626" s="52">
        <f t="shared" si="137"/>
        <v>0</v>
      </c>
      <c r="AJ626" s="52">
        <f t="shared" si="137"/>
        <v>0</v>
      </c>
      <c r="AK626" s="52">
        <f t="shared" si="137"/>
        <v>0</v>
      </c>
      <c r="AL626" s="60">
        <f t="shared" si="137"/>
        <v>0</v>
      </c>
      <c r="AM626" s="52">
        <f t="shared" si="137"/>
        <v>0</v>
      </c>
      <c r="AN626" s="52"/>
      <c r="AO626" s="52">
        <f>AO592/0.2</f>
        <v>0</v>
      </c>
      <c r="AP626" s="52">
        <f>AP592/0.2</f>
        <v>0</v>
      </c>
      <c r="AQ626" s="52">
        <f>AQ592/0.2</f>
        <v>0</v>
      </c>
      <c r="AR626" s="52">
        <f>AR592/0.2</f>
        <v>0</v>
      </c>
      <c r="AS626" s="52"/>
      <c r="AT626" s="52">
        <f>AT592/0.2</f>
        <v>0</v>
      </c>
      <c r="AU626" s="52">
        <f>AU592/0.2</f>
        <v>0</v>
      </c>
      <c r="AV626" s="52">
        <f>AV592/0.2</f>
        <v>0</v>
      </c>
      <c r="AW626" s="52">
        <f>AW592/0.2</f>
        <v>0</v>
      </c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/>
      <c r="BR626" s="52"/>
      <c r="BS626" s="52"/>
      <c r="BT626" s="52"/>
      <c r="BU626" s="52"/>
    </row>
    <row r="627" spans="1:73" s="1" customFormat="1">
      <c r="A627" s="1" t="s">
        <v>108</v>
      </c>
      <c r="B627" s="1">
        <f>B625*B626</f>
        <v>55.199999999999996</v>
      </c>
      <c r="C627" s="1">
        <f t="shared" ref="C627:AW627" si="138">C625*C626</f>
        <v>56.58</v>
      </c>
      <c r="D627" s="1">
        <f t="shared" si="138"/>
        <v>55.199999999999996</v>
      </c>
      <c r="E627" s="1">
        <f t="shared" si="138"/>
        <v>67.61999999999999</v>
      </c>
      <c r="F627" s="1">
        <f t="shared" si="138"/>
        <v>35.879999999999995</v>
      </c>
      <c r="G627" s="1">
        <f t="shared" si="138"/>
        <v>27.599999999999998</v>
      </c>
      <c r="H627" s="1">
        <f t="shared" si="138"/>
        <v>45.54</v>
      </c>
      <c r="I627" s="1">
        <f t="shared" si="138"/>
        <v>40.019999999999996</v>
      </c>
      <c r="J627" s="1">
        <f t="shared" si="138"/>
        <v>91.08</v>
      </c>
      <c r="K627" s="1">
        <f t="shared" si="138"/>
        <v>34.5</v>
      </c>
      <c r="L627" s="1">
        <f t="shared" si="138"/>
        <v>28.979999999999997</v>
      </c>
      <c r="M627" s="1">
        <f t="shared" si="138"/>
        <v>56.58</v>
      </c>
      <c r="N627" s="1">
        <f t="shared" si="138"/>
        <v>103.49999999999999</v>
      </c>
      <c r="O627" s="1">
        <f t="shared" si="138"/>
        <v>0</v>
      </c>
      <c r="P627" s="1">
        <f t="shared" si="138"/>
        <v>0</v>
      </c>
      <c r="Q627" s="1">
        <f t="shared" si="138"/>
        <v>0</v>
      </c>
      <c r="R627" s="1">
        <f t="shared" si="138"/>
        <v>0</v>
      </c>
      <c r="S627" s="1">
        <f t="shared" si="138"/>
        <v>0</v>
      </c>
      <c r="T627" s="1">
        <f t="shared" si="138"/>
        <v>0</v>
      </c>
      <c r="U627" s="1">
        <f t="shared" si="138"/>
        <v>0</v>
      </c>
      <c r="V627" s="1">
        <f t="shared" si="138"/>
        <v>0</v>
      </c>
      <c r="W627" s="1">
        <f t="shared" si="138"/>
        <v>0</v>
      </c>
      <c r="X627" s="1">
        <f t="shared" si="138"/>
        <v>0</v>
      </c>
      <c r="Y627" s="1">
        <f t="shared" si="138"/>
        <v>0</v>
      </c>
      <c r="Z627" s="1">
        <f t="shared" si="138"/>
        <v>0</v>
      </c>
      <c r="AA627" s="1">
        <f t="shared" si="138"/>
        <v>0</v>
      </c>
      <c r="AB627" s="1">
        <f t="shared" si="138"/>
        <v>0</v>
      </c>
      <c r="AC627" s="1">
        <f t="shared" si="138"/>
        <v>0</v>
      </c>
      <c r="AD627" s="1">
        <f t="shared" si="138"/>
        <v>0</v>
      </c>
      <c r="AE627" s="1">
        <f t="shared" si="138"/>
        <v>0</v>
      </c>
      <c r="AF627" s="1">
        <f t="shared" si="138"/>
        <v>0</v>
      </c>
      <c r="AG627" s="1">
        <f t="shared" si="138"/>
        <v>0</v>
      </c>
      <c r="AH627" s="1">
        <f t="shared" si="138"/>
        <v>0</v>
      </c>
      <c r="AI627" s="1">
        <f t="shared" si="138"/>
        <v>0</v>
      </c>
      <c r="AJ627" s="1">
        <f t="shared" si="138"/>
        <v>0</v>
      </c>
      <c r="AK627" s="1">
        <f t="shared" si="138"/>
        <v>0</v>
      </c>
      <c r="AL627" s="1">
        <f t="shared" si="138"/>
        <v>0</v>
      </c>
      <c r="AM627" s="1">
        <f t="shared" si="138"/>
        <v>0</v>
      </c>
      <c r="AO627" s="1">
        <f t="shared" si="138"/>
        <v>0</v>
      </c>
      <c r="AP627" s="1">
        <f t="shared" si="138"/>
        <v>0</v>
      </c>
      <c r="AQ627" s="1">
        <f t="shared" si="138"/>
        <v>0</v>
      </c>
      <c r="AR627" s="1">
        <f t="shared" si="138"/>
        <v>0</v>
      </c>
      <c r="AT627" s="1">
        <f t="shared" si="138"/>
        <v>0</v>
      </c>
      <c r="AU627" s="1">
        <f t="shared" si="138"/>
        <v>0</v>
      </c>
      <c r="AV627" s="1">
        <f t="shared" si="138"/>
        <v>0</v>
      </c>
      <c r="AW627" s="1">
        <f t="shared" si="138"/>
        <v>0</v>
      </c>
      <c r="BQ627"/>
    </row>
    <row r="628" spans="1:73" s="1" customFormat="1">
      <c r="A628" s="1" t="s">
        <v>123</v>
      </c>
      <c r="BQ628"/>
    </row>
    <row r="630" spans="1:73" s="1" customFormat="1">
      <c r="A630" s="4"/>
      <c r="B630" s="4"/>
      <c r="C630" s="4"/>
      <c r="D630" s="4"/>
      <c r="E630" s="4"/>
      <c r="F630" s="4"/>
      <c r="G630" s="4"/>
      <c r="H630" s="4"/>
      <c r="I630" s="5" t="s">
        <v>171</v>
      </c>
      <c r="J630" s="5">
        <f>SUM(B627:AW627)</f>
        <v>698.28</v>
      </c>
      <c r="K630" s="59">
        <v>0.61699999999999999</v>
      </c>
      <c r="L630" s="1">
        <f>J630*K630</f>
        <v>430.83875999999998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/>
      <c r="BP630"/>
      <c r="BQ630"/>
      <c r="BR630"/>
      <c r="BS630"/>
      <c r="BT630"/>
      <c r="BU630"/>
    </row>
    <row r="631" spans="1:73" s="1" customFormat="1">
      <c r="H631" s="5"/>
      <c r="I631" s="5" t="s">
        <v>172</v>
      </c>
      <c r="J631" s="5">
        <f>SUM(B628:AW628)</f>
        <v>0</v>
      </c>
      <c r="K631" s="1">
        <v>0.39500000000000002</v>
      </c>
      <c r="L631" s="1">
        <f>J631*K631</f>
        <v>0</v>
      </c>
      <c r="BO631"/>
      <c r="BP631"/>
      <c r="BQ631"/>
      <c r="BR631"/>
      <c r="BS631"/>
      <c r="BT631"/>
      <c r="BU631"/>
    </row>
    <row r="632" spans="1:73" s="1" customFormat="1" ht="26.25" thickBot="1">
      <c r="C632" s="205" t="s">
        <v>173</v>
      </c>
      <c r="D632" s="205"/>
      <c r="E632" s="205"/>
      <c r="F632" s="205"/>
      <c r="G632" s="205"/>
      <c r="H632" s="205"/>
      <c r="BO632"/>
      <c r="BP632"/>
      <c r="BQ632"/>
      <c r="BR632"/>
      <c r="BS632"/>
      <c r="BT632"/>
      <c r="BU632"/>
    </row>
    <row r="633" spans="1:73" s="1" customFormat="1" ht="21.75" thickBot="1">
      <c r="B633" s="203" t="s">
        <v>174</v>
      </c>
      <c r="C633" s="203"/>
      <c r="D633" s="203"/>
      <c r="E633" s="206"/>
      <c r="F633" s="61">
        <f>ROUNDUP(F637+L637,0)</f>
        <v>30</v>
      </c>
      <c r="G633" s="62"/>
      <c r="H633" s="62"/>
      <c r="BO633"/>
      <c r="BP633"/>
      <c r="BQ633"/>
      <c r="BR633"/>
      <c r="BS633"/>
      <c r="BT633"/>
      <c r="BU633"/>
    </row>
    <row r="634" spans="1:73" s="1" customFormat="1" ht="21">
      <c r="A634" s="14"/>
      <c r="C634" s="62"/>
      <c r="D634" s="62"/>
      <c r="E634" s="62"/>
      <c r="F634" s="62"/>
      <c r="G634" s="62"/>
      <c r="H634" s="62"/>
      <c r="BO634"/>
      <c r="BP634"/>
      <c r="BQ634"/>
      <c r="BR634"/>
      <c r="BS634"/>
      <c r="BT634"/>
      <c r="BU634"/>
    </row>
    <row r="635" spans="1:73" s="1" customFormat="1" ht="21">
      <c r="B635" s="14" t="s">
        <v>175</v>
      </c>
      <c r="I635" s="62"/>
      <c r="J635" s="62" t="s">
        <v>176</v>
      </c>
      <c r="BO635"/>
      <c r="BP635"/>
      <c r="BQ635"/>
      <c r="BR635"/>
      <c r="BS635"/>
      <c r="BT635"/>
      <c r="BU635"/>
    </row>
    <row r="636" spans="1:73" s="1" customFormat="1" ht="21">
      <c r="C636" s="1" t="s">
        <v>177</v>
      </c>
      <c r="D636" s="63">
        <v>195.66</v>
      </c>
      <c r="E636" s="62"/>
      <c r="F636" s="62"/>
      <c r="I636" s="1" t="s">
        <v>177</v>
      </c>
      <c r="J636" s="63">
        <v>0</v>
      </c>
      <c r="BO636"/>
      <c r="BP636"/>
      <c r="BQ636"/>
      <c r="BR636"/>
      <c r="BS636"/>
      <c r="BT636"/>
      <c r="BU636"/>
    </row>
    <row r="637" spans="1:73" s="1" customFormat="1" ht="15.75">
      <c r="C637" s="1" t="s">
        <v>51</v>
      </c>
      <c r="D637" s="63">
        <v>0.15</v>
      </c>
      <c r="E637" s="64" t="s">
        <v>120</v>
      </c>
      <c r="F637" s="64">
        <f>D636*D637</f>
        <v>29.348999999999997</v>
      </c>
      <c r="I637" s="1" t="s">
        <v>51</v>
      </c>
      <c r="J637" s="63">
        <v>0.15</v>
      </c>
      <c r="K637" s="64" t="s">
        <v>120</v>
      </c>
      <c r="L637" s="64">
        <f>J636*J637</f>
        <v>0</v>
      </c>
      <c r="BO637"/>
      <c r="BP637"/>
      <c r="BQ637" s="5"/>
      <c r="BR637"/>
      <c r="BS637"/>
      <c r="BT637"/>
      <c r="BU637"/>
    </row>
    <row r="638" spans="1:73" s="1" customFormat="1" ht="21">
      <c r="C638" s="1" t="s">
        <v>54</v>
      </c>
      <c r="D638" s="63">
        <v>67.53</v>
      </c>
      <c r="E638" s="62"/>
      <c r="F638" s="62"/>
      <c r="I638" s="1" t="s">
        <v>54</v>
      </c>
      <c r="J638" s="63">
        <v>13.58</v>
      </c>
      <c r="BO638"/>
      <c r="BP638"/>
      <c r="BQ638"/>
      <c r="BR638"/>
      <c r="BS638"/>
      <c r="BT638"/>
      <c r="BU638"/>
    </row>
    <row r="639" spans="1:73" s="1" customFormat="1" ht="21.75" thickBot="1">
      <c r="D639" s="63"/>
      <c r="E639" s="62"/>
      <c r="F639" s="62"/>
      <c r="G639" s="62"/>
      <c r="H639" s="62"/>
      <c r="I639" s="62"/>
      <c r="BO639"/>
      <c r="BP639"/>
      <c r="BQ639"/>
      <c r="BR639"/>
      <c r="BS639"/>
      <c r="BT639"/>
      <c r="BU639"/>
    </row>
    <row r="640" spans="1:73" s="1" customFormat="1" ht="21.75" thickBot="1">
      <c r="B640" s="203" t="s">
        <v>178</v>
      </c>
      <c r="C640" s="203"/>
      <c r="D640" s="203"/>
      <c r="E640" s="65" t="s">
        <v>179</v>
      </c>
      <c r="F640" s="61">
        <f>ROUNDUP(D636+J636,0)</f>
        <v>196</v>
      </c>
      <c r="G640" s="62"/>
      <c r="H640" s="62"/>
      <c r="I640" s="62"/>
      <c r="BO640"/>
      <c r="BP640"/>
      <c r="BQ640"/>
      <c r="BR640"/>
      <c r="BS640"/>
      <c r="BT640"/>
      <c r="BU640"/>
    </row>
    <row r="641" spans="1:73" s="1" customFormat="1" ht="21.75" thickBot="1">
      <c r="B641" s="55"/>
      <c r="C641" s="55"/>
      <c r="E641" s="65" t="s">
        <v>180</v>
      </c>
      <c r="F641" s="66">
        <f>ROUNDUP(D638+J638,0)</f>
        <v>82</v>
      </c>
      <c r="G641" s="62"/>
      <c r="H641" s="62"/>
      <c r="I641" s="62"/>
      <c r="BO641"/>
      <c r="BP641"/>
      <c r="BQ641"/>
      <c r="BR641"/>
      <c r="BS641"/>
      <c r="BT641"/>
      <c r="BU641"/>
    </row>
    <row r="642" spans="1:73" s="5" customFormat="1" ht="21.75" thickBot="1">
      <c r="E642" s="62"/>
      <c r="F642" s="62"/>
      <c r="G642" s="62"/>
      <c r="H642" s="62"/>
      <c r="I642" s="62"/>
      <c r="BQ642"/>
    </row>
    <row r="643" spans="1:73" s="1" customFormat="1" ht="21.75" thickBot="1">
      <c r="B643" s="203" t="s">
        <v>181</v>
      </c>
      <c r="C643" s="203"/>
      <c r="D643" s="203"/>
      <c r="E643" s="65" t="s">
        <v>68</v>
      </c>
      <c r="F643" s="67">
        <f>ROUNDUP(F680+M680,0)</f>
        <v>3012</v>
      </c>
      <c r="G643" s="68"/>
      <c r="H643" s="68"/>
      <c r="I643" s="68"/>
      <c r="BO643"/>
      <c r="BP643"/>
      <c r="BQ643"/>
      <c r="BR643"/>
      <c r="BS643"/>
      <c r="BT643"/>
      <c r="BU643"/>
    </row>
    <row r="644" spans="1:73" s="1" customFormat="1" ht="21.75" thickBot="1">
      <c r="B644" s="2"/>
      <c r="C644" s="55"/>
      <c r="E644" s="65" t="s">
        <v>108</v>
      </c>
      <c r="F644" s="67">
        <f>ROUNDUP(G680+N680,0)</f>
        <v>162</v>
      </c>
      <c r="G644" s="68"/>
      <c r="H644" s="68"/>
      <c r="I644" s="68"/>
      <c r="BO644"/>
      <c r="BP644"/>
      <c r="BQ644"/>
      <c r="BR644"/>
      <c r="BS644"/>
      <c r="BT644"/>
      <c r="BU644"/>
    </row>
    <row r="645" spans="1:73" s="1" customFormat="1" ht="21">
      <c r="B645" s="69" t="s">
        <v>182</v>
      </c>
      <c r="C645" s="1" t="s">
        <v>170</v>
      </c>
      <c r="D645" s="1" t="s">
        <v>49</v>
      </c>
      <c r="E645" s="1" t="s">
        <v>183</v>
      </c>
      <c r="F645" s="1" t="s">
        <v>68</v>
      </c>
      <c r="G645" s="20" t="s">
        <v>108</v>
      </c>
      <c r="H645" s="68"/>
      <c r="I645" s="14" t="s">
        <v>182</v>
      </c>
      <c r="J645" s="1" t="s">
        <v>170</v>
      </c>
      <c r="K645" s="1" t="s">
        <v>49</v>
      </c>
      <c r="L645" s="1" t="s">
        <v>183</v>
      </c>
      <c r="M645" s="1" t="s">
        <v>68</v>
      </c>
      <c r="N645" s="20" t="s">
        <v>108</v>
      </c>
      <c r="BO645"/>
      <c r="BP645"/>
      <c r="BQ645"/>
      <c r="BR645"/>
      <c r="BS645"/>
      <c r="BT645"/>
      <c r="BU645"/>
    </row>
    <row r="646" spans="1:73" s="1" customFormat="1" ht="21">
      <c r="A646"/>
      <c r="B646" s="69">
        <v>2</v>
      </c>
      <c r="C646" s="20">
        <v>12</v>
      </c>
      <c r="D646" s="1">
        <v>1.62</v>
      </c>
      <c r="E646" s="1">
        <v>2</v>
      </c>
      <c r="G646" s="1">
        <f>C646*D646*E646</f>
        <v>38.880000000000003</v>
      </c>
      <c r="H646" s="68"/>
      <c r="I646" s="70">
        <v>2</v>
      </c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</row>
    <row r="647" spans="1:73" s="1" customFormat="1" ht="21">
      <c r="A647"/>
      <c r="B647" s="69">
        <v>3</v>
      </c>
      <c r="C647" s="20">
        <v>10</v>
      </c>
      <c r="D647" s="1">
        <v>1.6</v>
      </c>
      <c r="E647" s="1">
        <v>1</v>
      </c>
      <c r="G647" s="1">
        <f>C647*D647*E647</f>
        <v>16</v>
      </c>
      <c r="H647" s="68"/>
      <c r="I647" s="69">
        <v>3</v>
      </c>
      <c r="J647" s="20"/>
      <c r="K647" s="1">
        <v>9.5</v>
      </c>
      <c r="L647" s="1">
        <v>2</v>
      </c>
      <c r="M647" s="1">
        <f t="shared" ref="M647:M678" si="139">J647*K647*L647</f>
        <v>0</v>
      </c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</row>
    <row r="648" spans="1:73" s="1" customFormat="1" ht="21">
      <c r="A648"/>
      <c r="B648" s="69">
        <v>4</v>
      </c>
      <c r="C648" s="20">
        <v>28</v>
      </c>
      <c r="D648" s="1">
        <v>9.1300000000000008</v>
      </c>
      <c r="E648" s="1">
        <v>1</v>
      </c>
      <c r="F648" s="1">
        <f t="shared" ref="F648:F675" si="140">C648*D648*E648</f>
        <v>255.64000000000001</v>
      </c>
      <c r="G648" s="68"/>
      <c r="H648" s="68"/>
      <c r="I648" s="69">
        <v>4</v>
      </c>
      <c r="J648" s="20"/>
      <c r="L648" s="1">
        <v>2</v>
      </c>
      <c r="M648" s="1">
        <f t="shared" si="139"/>
        <v>0</v>
      </c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</row>
    <row r="649" spans="1:73" s="1" customFormat="1" ht="21">
      <c r="A649"/>
      <c r="B649" s="69">
        <v>5</v>
      </c>
      <c r="C649" s="20">
        <v>17</v>
      </c>
      <c r="D649" s="1">
        <v>9.67</v>
      </c>
      <c r="E649" s="1">
        <v>1</v>
      </c>
      <c r="F649" s="1">
        <f t="shared" si="140"/>
        <v>164.39</v>
      </c>
      <c r="G649" s="68"/>
      <c r="H649" s="68"/>
      <c r="I649" s="69">
        <v>5</v>
      </c>
      <c r="J649" s="20"/>
      <c r="K649" s="1">
        <v>8.86</v>
      </c>
      <c r="L649" s="1">
        <v>2</v>
      </c>
      <c r="M649" s="1">
        <f t="shared" si="139"/>
        <v>0</v>
      </c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</row>
    <row r="650" spans="1:73" s="1" customFormat="1" ht="21">
      <c r="A650"/>
      <c r="B650" s="69">
        <v>6</v>
      </c>
      <c r="C650" s="20">
        <v>9</v>
      </c>
      <c r="D650" s="1">
        <v>1.3</v>
      </c>
      <c r="E650" s="1">
        <v>1</v>
      </c>
      <c r="G650" s="1">
        <f>C650*D650*E650</f>
        <v>11.700000000000001</v>
      </c>
      <c r="H650" s="68"/>
      <c r="I650" s="69">
        <v>6</v>
      </c>
      <c r="J650" s="20"/>
      <c r="K650" s="1">
        <v>8.1300000000000008</v>
      </c>
      <c r="L650" s="1">
        <v>2</v>
      </c>
      <c r="M650" s="1">
        <f t="shared" si="139"/>
        <v>0</v>
      </c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</row>
    <row r="651" spans="1:73" s="1" customFormat="1" ht="21">
      <c r="A651"/>
      <c r="B651" s="69">
        <v>7</v>
      </c>
      <c r="C651" s="20">
        <v>26</v>
      </c>
      <c r="D651" s="1">
        <v>12.94</v>
      </c>
      <c r="E651" s="1">
        <v>1</v>
      </c>
      <c r="F651" s="1">
        <f t="shared" si="140"/>
        <v>336.44</v>
      </c>
      <c r="G651" s="68"/>
      <c r="H651" s="68"/>
      <c r="I651" s="69">
        <v>7</v>
      </c>
      <c r="J651" s="20"/>
      <c r="K651" s="1">
        <v>7.65</v>
      </c>
      <c r="L651" s="1">
        <v>2</v>
      </c>
      <c r="M651" s="1">
        <f t="shared" si="139"/>
        <v>0</v>
      </c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</row>
    <row r="652" spans="1:73" s="1" customFormat="1" ht="21">
      <c r="A652"/>
      <c r="B652" s="69">
        <v>8</v>
      </c>
      <c r="C652" s="20">
        <v>14</v>
      </c>
      <c r="D652" s="1">
        <v>1.4</v>
      </c>
      <c r="E652" s="1">
        <v>1</v>
      </c>
      <c r="F652" s="1">
        <f t="shared" si="140"/>
        <v>19.599999999999998</v>
      </c>
      <c r="G652" s="68"/>
      <c r="H652" s="68"/>
      <c r="I652" s="69">
        <v>8</v>
      </c>
      <c r="J652" s="20"/>
      <c r="K652" s="1">
        <v>6.68</v>
      </c>
      <c r="L652" s="1">
        <v>2</v>
      </c>
      <c r="M652" s="1">
        <f t="shared" si="139"/>
        <v>0</v>
      </c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</row>
    <row r="653" spans="1:73" s="1" customFormat="1" ht="21">
      <c r="A653"/>
      <c r="B653" s="69">
        <v>9</v>
      </c>
      <c r="C653" s="20">
        <v>26</v>
      </c>
      <c r="D653" s="1">
        <v>3.01</v>
      </c>
      <c r="E653" s="1">
        <v>1</v>
      </c>
      <c r="F653" s="1">
        <f t="shared" si="140"/>
        <v>78.259999999999991</v>
      </c>
      <c r="G653" s="68"/>
      <c r="H653" s="68"/>
      <c r="I653" s="69">
        <v>9</v>
      </c>
      <c r="J653" s="20"/>
      <c r="K653" s="1">
        <v>8.31</v>
      </c>
      <c r="L653" s="1">
        <v>2</v>
      </c>
      <c r="M653" s="1">
        <f t="shared" si="139"/>
        <v>0</v>
      </c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</row>
    <row r="654" spans="1:73" s="1" customFormat="1" ht="21">
      <c r="A654"/>
      <c r="B654" s="69">
        <v>10</v>
      </c>
      <c r="C654" s="20">
        <v>23</v>
      </c>
      <c r="D654" s="1">
        <v>2.54</v>
      </c>
      <c r="E654" s="1">
        <v>1</v>
      </c>
      <c r="F654" s="1">
        <f t="shared" si="140"/>
        <v>58.42</v>
      </c>
      <c r="G654" s="68"/>
      <c r="H654" s="68"/>
      <c r="I654" s="69">
        <v>10</v>
      </c>
      <c r="J654" s="20"/>
      <c r="K654" s="1">
        <v>7.13</v>
      </c>
      <c r="L654" s="1">
        <v>2</v>
      </c>
      <c r="M654" s="1">
        <f t="shared" si="139"/>
        <v>0</v>
      </c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</row>
    <row r="655" spans="1:73" s="1" customFormat="1" ht="21">
      <c r="A655"/>
      <c r="B655" s="69">
        <v>11</v>
      </c>
      <c r="C655" s="20">
        <v>32</v>
      </c>
      <c r="D655" s="1">
        <v>1.42</v>
      </c>
      <c r="E655" s="1">
        <v>1</v>
      </c>
      <c r="F655" s="1">
        <f t="shared" si="140"/>
        <v>45.44</v>
      </c>
      <c r="G655" s="68"/>
      <c r="H655" s="68"/>
      <c r="I655" s="69">
        <v>11</v>
      </c>
      <c r="J655" s="20"/>
      <c r="K655" s="1">
        <v>7.43</v>
      </c>
      <c r="L655" s="1">
        <v>2</v>
      </c>
      <c r="M655" s="1">
        <f t="shared" si="139"/>
        <v>0</v>
      </c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</row>
    <row r="656" spans="1:73" s="1" customFormat="1" ht="21">
      <c r="A656"/>
      <c r="B656" s="69">
        <v>12</v>
      </c>
      <c r="C656" s="20">
        <v>8</v>
      </c>
      <c r="D656" s="1">
        <v>1.54</v>
      </c>
      <c r="E656" s="1">
        <v>1</v>
      </c>
      <c r="F656" s="1">
        <f t="shared" si="140"/>
        <v>12.32</v>
      </c>
      <c r="G656" s="1">
        <f>C656*D656*E656</f>
        <v>12.32</v>
      </c>
      <c r="H656" s="68"/>
      <c r="I656" s="69">
        <v>12</v>
      </c>
      <c r="J656" s="20"/>
      <c r="L656" s="1">
        <v>2</v>
      </c>
      <c r="M656" s="1">
        <f t="shared" si="139"/>
        <v>0</v>
      </c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</row>
    <row r="657" spans="1:73" s="1" customFormat="1" ht="21">
      <c r="A657"/>
      <c r="B657" s="69">
        <v>13</v>
      </c>
      <c r="C657" s="20">
        <v>23</v>
      </c>
      <c r="D657" s="1">
        <v>6.62</v>
      </c>
      <c r="E657" s="1">
        <v>1</v>
      </c>
      <c r="F657" s="1">
        <f t="shared" si="140"/>
        <v>152.26</v>
      </c>
      <c r="G657" s="68"/>
      <c r="H657" s="68"/>
      <c r="I657" s="69">
        <v>13</v>
      </c>
      <c r="J657" s="20"/>
      <c r="K657" s="1">
        <v>7.9</v>
      </c>
      <c r="L657" s="1">
        <v>2</v>
      </c>
      <c r="M657" s="1">
        <f t="shared" si="139"/>
        <v>0</v>
      </c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</row>
    <row r="658" spans="1:73" s="1" customFormat="1" ht="21">
      <c r="A658"/>
      <c r="B658" s="69">
        <v>14</v>
      </c>
      <c r="C658" s="20">
        <v>13</v>
      </c>
      <c r="D658" s="1">
        <v>8.27</v>
      </c>
      <c r="E658" s="1">
        <v>1</v>
      </c>
      <c r="F658" s="1">
        <f t="shared" si="140"/>
        <v>107.50999999999999</v>
      </c>
      <c r="G658" s="68"/>
      <c r="H658" s="68"/>
      <c r="I658" s="69">
        <v>14</v>
      </c>
      <c r="J658" s="20"/>
      <c r="K658" s="1">
        <v>5.4</v>
      </c>
      <c r="L658" s="1">
        <v>2</v>
      </c>
      <c r="M658" s="1">
        <f t="shared" si="139"/>
        <v>0</v>
      </c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</row>
    <row r="659" spans="1:73" s="1" customFormat="1" ht="21">
      <c r="A659"/>
      <c r="B659" s="69">
        <v>15</v>
      </c>
      <c r="C659" s="20">
        <v>23</v>
      </c>
      <c r="D659" s="1">
        <v>6.62</v>
      </c>
      <c r="E659" s="1">
        <v>1</v>
      </c>
      <c r="F659" s="1">
        <f t="shared" si="140"/>
        <v>152.26</v>
      </c>
      <c r="G659" s="68"/>
      <c r="H659" s="68"/>
      <c r="I659" s="69">
        <v>15</v>
      </c>
      <c r="J659" s="20"/>
      <c r="K659" s="1">
        <v>3.61</v>
      </c>
      <c r="L659" s="1">
        <v>2</v>
      </c>
      <c r="M659" s="1">
        <f t="shared" si="139"/>
        <v>0</v>
      </c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</row>
    <row r="660" spans="1:73" s="1" customFormat="1" ht="21">
      <c r="A660"/>
      <c r="B660" s="69">
        <v>16</v>
      </c>
      <c r="C660" s="20">
        <v>4</v>
      </c>
      <c r="D660" s="1">
        <v>1.62</v>
      </c>
      <c r="E660" s="1">
        <v>1</v>
      </c>
      <c r="G660" s="1">
        <f>C660*D660*E660</f>
        <v>6.48</v>
      </c>
      <c r="H660" s="68"/>
      <c r="I660" s="69">
        <v>16</v>
      </c>
      <c r="J660" s="20"/>
      <c r="K660" s="1">
        <v>5.15</v>
      </c>
      <c r="L660" s="1">
        <v>2</v>
      </c>
      <c r="M660" s="1">
        <f t="shared" si="139"/>
        <v>0</v>
      </c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</row>
    <row r="661" spans="1:73" s="1" customFormat="1" ht="21">
      <c r="A661"/>
      <c r="B661" s="69">
        <v>17</v>
      </c>
      <c r="C661" s="20">
        <v>22</v>
      </c>
      <c r="D661" s="1">
        <v>8.6300000000000008</v>
      </c>
      <c r="E661" s="1">
        <v>1</v>
      </c>
      <c r="F661" s="1">
        <f t="shared" si="140"/>
        <v>189.86</v>
      </c>
      <c r="G661" s="68"/>
      <c r="H661" s="68"/>
      <c r="I661" s="69">
        <v>17</v>
      </c>
      <c r="J661" s="20"/>
      <c r="K661" s="1">
        <v>8.4499999999999993</v>
      </c>
      <c r="L661" s="1">
        <v>2</v>
      </c>
      <c r="M661" s="1">
        <f t="shared" si="139"/>
        <v>0</v>
      </c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</row>
    <row r="662" spans="1:73" s="1" customFormat="1" ht="21">
      <c r="A662"/>
      <c r="B662" s="69">
        <v>18</v>
      </c>
      <c r="C662" s="20">
        <v>10</v>
      </c>
      <c r="D662" s="1">
        <v>1.54</v>
      </c>
      <c r="E662" s="1">
        <v>1</v>
      </c>
      <c r="F662" s="1">
        <f t="shared" si="140"/>
        <v>15.4</v>
      </c>
      <c r="G662" s="1">
        <f>C662*D662*E662</f>
        <v>15.4</v>
      </c>
      <c r="H662" s="68"/>
      <c r="I662" s="69">
        <v>18</v>
      </c>
      <c r="J662" s="20"/>
      <c r="L662" s="1">
        <v>2</v>
      </c>
      <c r="M662" s="1">
        <f t="shared" si="139"/>
        <v>0</v>
      </c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</row>
    <row r="663" spans="1:73" s="1" customFormat="1" ht="21">
      <c r="A663"/>
      <c r="B663" s="69">
        <v>19</v>
      </c>
      <c r="C663" s="20">
        <v>34</v>
      </c>
      <c r="D663" s="1">
        <v>12.94</v>
      </c>
      <c r="E663" s="1">
        <v>1</v>
      </c>
      <c r="F663" s="1">
        <f t="shared" si="140"/>
        <v>439.96</v>
      </c>
      <c r="G663" s="68"/>
      <c r="H663" s="68"/>
      <c r="I663" s="69">
        <v>19</v>
      </c>
      <c r="J663" s="20"/>
      <c r="K663" s="1">
        <v>6.72</v>
      </c>
      <c r="L663" s="1">
        <v>2</v>
      </c>
      <c r="M663" s="1">
        <f t="shared" si="139"/>
        <v>0</v>
      </c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</row>
    <row r="664" spans="1:73" s="1" customFormat="1" ht="21">
      <c r="A664"/>
      <c r="B664" s="69">
        <v>20</v>
      </c>
      <c r="C664" s="20">
        <v>43</v>
      </c>
      <c r="D664" s="10">
        <v>6.18</v>
      </c>
      <c r="E664" s="1">
        <v>1</v>
      </c>
      <c r="F664" s="1">
        <f t="shared" si="140"/>
        <v>265.74</v>
      </c>
      <c r="G664" s="68"/>
      <c r="H664" s="68"/>
      <c r="I664" s="69">
        <v>20</v>
      </c>
      <c r="J664" s="20"/>
      <c r="K664" s="10">
        <v>8</v>
      </c>
      <c r="L664" s="1">
        <v>2</v>
      </c>
      <c r="M664" s="1">
        <f t="shared" si="139"/>
        <v>0</v>
      </c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</row>
    <row r="665" spans="1:73" s="1" customFormat="1" ht="21">
      <c r="A665"/>
      <c r="B665" s="69">
        <v>21</v>
      </c>
      <c r="C665" s="20">
        <v>14</v>
      </c>
      <c r="D665" s="10">
        <v>1.4</v>
      </c>
      <c r="E665" s="1">
        <v>1</v>
      </c>
      <c r="F665" s="1">
        <f t="shared" si="140"/>
        <v>19.599999999999998</v>
      </c>
      <c r="G665" s="68"/>
      <c r="H665" s="68"/>
      <c r="I665" s="69">
        <v>21</v>
      </c>
      <c r="J665" s="20"/>
      <c r="K665" s="10"/>
      <c r="L665" s="1">
        <v>2</v>
      </c>
      <c r="M665" s="1">
        <f t="shared" si="139"/>
        <v>0</v>
      </c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</row>
    <row r="666" spans="1:73" s="1" customFormat="1" ht="21">
      <c r="A666"/>
      <c r="B666" s="69">
        <v>22</v>
      </c>
      <c r="C666" s="20">
        <v>23</v>
      </c>
      <c r="D666" s="10">
        <v>7.76</v>
      </c>
      <c r="E666" s="1">
        <v>1</v>
      </c>
      <c r="F666" s="1">
        <f t="shared" si="140"/>
        <v>178.48</v>
      </c>
      <c r="G666" s="68"/>
      <c r="H666" s="68"/>
      <c r="I666" s="69">
        <v>22</v>
      </c>
      <c r="J666" s="20"/>
      <c r="K666" s="10">
        <v>8.33</v>
      </c>
      <c r="L666" s="1">
        <v>2</v>
      </c>
      <c r="M666" s="1">
        <f t="shared" si="139"/>
        <v>0</v>
      </c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</row>
    <row r="667" spans="1:73" s="1" customFormat="1" ht="21">
      <c r="A667"/>
      <c r="B667" s="69">
        <v>23</v>
      </c>
      <c r="C667" s="20">
        <v>12</v>
      </c>
      <c r="D667" s="1">
        <v>2.06</v>
      </c>
      <c r="E667" s="1">
        <v>2</v>
      </c>
      <c r="G667" s="1">
        <f>C667*D667*E667</f>
        <v>49.44</v>
      </c>
      <c r="H667" s="68"/>
      <c r="I667" s="69">
        <v>23</v>
      </c>
      <c r="J667" s="20"/>
      <c r="K667" s="1">
        <v>7.31</v>
      </c>
      <c r="L667" s="1">
        <v>2</v>
      </c>
      <c r="M667" s="1">
        <f t="shared" si="139"/>
        <v>0</v>
      </c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</row>
    <row r="668" spans="1:73" s="1" customFormat="1" ht="21">
      <c r="A668"/>
      <c r="B668" s="69">
        <v>24</v>
      </c>
      <c r="C668" s="20">
        <v>34</v>
      </c>
      <c r="D668" s="52">
        <v>3</v>
      </c>
      <c r="E668" s="1">
        <v>1</v>
      </c>
      <c r="F668" s="1">
        <f t="shared" si="140"/>
        <v>102</v>
      </c>
      <c r="G668" s="68"/>
      <c r="H668" s="68"/>
      <c r="I668" s="69">
        <v>24</v>
      </c>
      <c r="J668" s="20"/>
      <c r="K668" s="52">
        <v>5.79</v>
      </c>
      <c r="L668" s="1">
        <v>2</v>
      </c>
      <c r="M668" s="1">
        <f t="shared" si="139"/>
        <v>0</v>
      </c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</row>
    <row r="669" spans="1:73" s="1" customFormat="1" ht="21">
      <c r="A669"/>
      <c r="B669" s="69">
        <v>25</v>
      </c>
      <c r="C669" s="20">
        <v>22</v>
      </c>
      <c r="D669" s="52">
        <v>3.06</v>
      </c>
      <c r="E669" s="1">
        <v>1</v>
      </c>
      <c r="F669" s="1">
        <f t="shared" si="140"/>
        <v>67.320000000000007</v>
      </c>
      <c r="G669" s="68"/>
      <c r="H669" s="68"/>
      <c r="I669" s="69">
        <v>25</v>
      </c>
      <c r="J669" s="20"/>
      <c r="K669" s="52">
        <v>6.38</v>
      </c>
      <c r="L669" s="1">
        <v>2</v>
      </c>
      <c r="M669" s="1">
        <f t="shared" si="139"/>
        <v>0</v>
      </c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</row>
    <row r="670" spans="1:73" s="1" customFormat="1" ht="21">
      <c r="A670"/>
      <c r="B670" s="69">
        <v>26</v>
      </c>
      <c r="C670" s="20">
        <v>6</v>
      </c>
      <c r="D670" s="52">
        <v>1.51</v>
      </c>
      <c r="E670" s="1">
        <v>1</v>
      </c>
      <c r="G670" s="1">
        <f>C670*D670*E670</f>
        <v>9.06</v>
      </c>
      <c r="H670" s="68"/>
      <c r="I670" s="69">
        <v>26</v>
      </c>
      <c r="J670" s="20"/>
      <c r="K670" s="52">
        <v>3.49</v>
      </c>
      <c r="L670" s="1">
        <v>2</v>
      </c>
      <c r="M670" s="1">
        <f t="shared" si="139"/>
        <v>0</v>
      </c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</row>
    <row r="671" spans="1:73" s="1" customFormat="1" ht="21">
      <c r="A671"/>
      <c r="B671" s="69">
        <v>27</v>
      </c>
      <c r="C671" s="20">
        <v>13</v>
      </c>
      <c r="D671" s="52">
        <v>1.42</v>
      </c>
      <c r="E671" s="1">
        <v>1</v>
      </c>
      <c r="F671" s="1">
        <f t="shared" si="140"/>
        <v>18.46</v>
      </c>
      <c r="G671" s="68"/>
      <c r="H671" s="68"/>
      <c r="I671" s="69">
        <v>27</v>
      </c>
      <c r="J671" s="20"/>
      <c r="K671" s="52">
        <v>6.18</v>
      </c>
      <c r="L671" s="1">
        <v>2</v>
      </c>
      <c r="M671" s="1">
        <f t="shared" si="139"/>
        <v>0</v>
      </c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</row>
    <row r="672" spans="1:73" s="1" customFormat="1" ht="21">
      <c r="A672"/>
      <c r="B672" s="69">
        <v>30</v>
      </c>
      <c r="C672" s="20">
        <v>7</v>
      </c>
      <c r="D672" s="52">
        <v>1.54</v>
      </c>
      <c r="E672" s="1">
        <v>2</v>
      </c>
      <c r="G672" s="1">
        <f>C672*D672*E672</f>
        <v>21.560000000000002</v>
      </c>
      <c r="H672" s="68"/>
      <c r="I672" s="69">
        <v>28</v>
      </c>
      <c r="J672" s="20"/>
      <c r="K672" s="52">
        <v>5.84</v>
      </c>
      <c r="L672" s="1">
        <v>2</v>
      </c>
      <c r="M672" s="1">
        <f t="shared" si="139"/>
        <v>0</v>
      </c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</row>
    <row r="673" spans="1:73" s="1" customFormat="1" ht="21">
      <c r="A673"/>
      <c r="B673" s="69">
        <v>31</v>
      </c>
      <c r="C673" s="20">
        <v>27</v>
      </c>
      <c r="D673" s="52">
        <v>8.3800000000000008</v>
      </c>
      <c r="E673" s="1">
        <v>1</v>
      </c>
      <c r="F673" s="1">
        <f t="shared" si="140"/>
        <v>226.26000000000002</v>
      </c>
      <c r="G673" s="68"/>
      <c r="H673" s="68"/>
      <c r="I673" s="69">
        <v>29</v>
      </c>
      <c r="J673" s="20"/>
      <c r="K673" s="52">
        <v>5.77</v>
      </c>
      <c r="L673" s="1">
        <v>2</v>
      </c>
      <c r="M673" s="1">
        <f t="shared" si="139"/>
        <v>0</v>
      </c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</row>
    <row r="674" spans="1:73" s="1" customFormat="1" ht="21">
      <c r="A674"/>
      <c r="B674" s="69">
        <v>32</v>
      </c>
      <c r="C674" s="20">
        <v>10</v>
      </c>
      <c r="D674" s="52">
        <v>7.84</v>
      </c>
      <c r="E674" s="1">
        <v>1</v>
      </c>
      <c r="F674" s="1">
        <f t="shared" si="140"/>
        <v>78.400000000000006</v>
      </c>
      <c r="G674" s="68"/>
      <c r="H674" s="68"/>
      <c r="I674" s="69">
        <v>29</v>
      </c>
      <c r="J674" s="20"/>
      <c r="K674" s="52">
        <v>5.77</v>
      </c>
      <c r="L674" s="1">
        <v>2</v>
      </c>
      <c r="M674" s="1">
        <f t="shared" si="139"/>
        <v>0</v>
      </c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</row>
    <row r="675" spans="1:73" s="1" customFormat="1" ht="21">
      <c r="A675"/>
      <c r="B675" s="69">
        <v>33</v>
      </c>
      <c r="C675" s="20">
        <v>19</v>
      </c>
      <c r="D675" s="52">
        <v>8.32</v>
      </c>
      <c r="E675" s="1">
        <v>1</v>
      </c>
      <c r="F675" s="1">
        <f t="shared" si="140"/>
        <v>158.08000000000001</v>
      </c>
      <c r="G675" s="68"/>
      <c r="H675" s="68"/>
      <c r="I675" s="69">
        <v>29</v>
      </c>
      <c r="J675" s="20"/>
      <c r="K675" s="52">
        <v>5.77</v>
      </c>
      <c r="L675" s="1">
        <v>2</v>
      </c>
      <c r="M675" s="1">
        <f t="shared" si="139"/>
        <v>0</v>
      </c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</row>
    <row r="676" spans="1:73" s="1" customFormat="1" ht="21">
      <c r="A676"/>
      <c r="B676" s="69">
        <v>34</v>
      </c>
      <c r="C676" s="20">
        <v>7</v>
      </c>
      <c r="D676" s="52">
        <v>2.06</v>
      </c>
      <c r="E676" s="1">
        <v>2</v>
      </c>
      <c r="G676" s="1">
        <f>C676*D676*E676</f>
        <v>28.84</v>
      </c>
      <c r="H676" s="68"/>
      <c r="I676" s="69">
        <v>29</v>
      </c>
      <c r="J676" s="20"/>
      <c r="K676" s="52">
        <v>5.77</v>
      </c>
      <c r="L676" s="1">
        <v>2</v>
      </c>
      <c r="M676" s="1">
        <f t="shared" si="139"/>
        <v>0</v>
      </c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</row>
    <row r="677" spans="1:73" s="1" customFormat="1" ht="21">
      <c r="A677"/>
      <c r="B677" s="71">
        <v>35</v>
      </c>
      <c r="C677" s="20">
        <v>44</v>
      </c>
      <c r="D677" s="52">
        <v>5.66</v>
      </c>
      <c r="E677" s="1">
        <v>1</v>
      </c>
      <c r="F677" s="1">
        <f t="shared" ref="F677" si="141">C677*D677*E677</f>
        <v>249.04000000000002</v>
      </c>
      <c r="G677" s="68"/>
      <c r="H677" s="68"/>
      <c r="I677" s="69">
        <v>29</v>
      </c>
      <c r="J677" s="20"/>
      <c r="K677" s="52">
        <v>5.77</v>
      </c>
      <c r="L677" s="1">
        <v>2</v>
      </c>
      <c r="M677" s="1">
        <f t="shared" si="139"/>
        <v>0</v>
      </c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</row>
    <row r="678" spans="1:73" s="1" customFormat="1" ht="26.25">
      <c r="B678" s="71">
        <v>36</v>
      </c>
      <c r="C678" s="20">
        <v>17</v>
      </c>
      <c r="D678" s="52">
        <v>1.53</v>
      </c>
      <c r="E678" s="1">
        <v>2</v>
      </c>
      <c r="G678" s="1">
        <f>C678*D678*E678</f>
        <v>52.02</v>
      </c>
      <c r="H678" s="68"/>
      <c r="I678" s="69">
        <v>29</v>
      </c>
      <c r="J678" s="20"/>
      <c r="K678" s="52">
        <v>5.77</v>
      </c>
      <c r="L678" s="1">
        <v>2</v>
      </c>
      <c r="M678" s="1">
        <f t="shared" si="139"/>
        <v>0</v>
      </c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 s="72"/>
      <c r="BR678"/>
      <c r="BS678"/>
      <c r="BT678"/>
      <c r="BU678"/>
    </row>
    <row r="679" spans="1:73" s="1" customFormat="1" ht="21">
      <c r="C679" s="20"/>
      <c r="F679" s="1">
        <f>SUM(F646:F678)</f>
        <v>3391.1400000000003</v>
      </c>
      <c r="G679" s="1">
        <f>SUM(G646:G678)</f>
        <v>261.70000000000005</v>
      </c>
      <c r="H679" s="62"/>
      <c r="I679" s="62"/>
      <c r="M679" s="1">
        <f>SUM(M647:M673)</f>
        <v>0</v>
      </c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</row>
    <row r="680" spans="1:73" s="1" customFormat="1" ht="21">
      <c r="C680" s="20"/>
      <c r="F680" s="8">
        <f>F679*0.888</f>
        <v>3011.3323200000004</v>
      </c>
      <c r="G680" s="8">
        <f>G679*0.617</f>
        <v>161.46890000000002</v>
      </c>
      <c r="H680" s="62"/>
      <c r="I680" s="62"/>
      <c r="M680" s="8">
        <f>M679*0.888</f>
        <v>0</v>
      </c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</row>
    <row r="681" spans="1:73" s="1" customFormat="1" ht="21">
      <c r="C681" s="20"/>
      <c r="F681" s="8"/>
      <c r="G681" s="62"/>
      <c r="H681" s="62"/>
      <c r="I681" s="62"/>
      <c r="M681" s="8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</row>
    <row r="682" spans="1:73" s="1" customFormat="1" ht="23.25">
      <c r="B682" s="20"/>
      <c r="D682" s="208" t="s">
        <v>27</v>
      </c>
      <c r="E682" s="208"/>
      <c r="F682" s="208"/>
      <c r="G682" s="208"/>
      <c r="H682" s="62"/>
      <c r="L682" s="8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</row>
    <row r="683" spans="1:73" s="72" customFormat="1" ht="10.5" customHeight="1" thickBot="1">
      <c r="BQ683"/>
    </row>
    <row r="684" spans="1:73" s="1" customFormat="1" ht="19.5" thickBot="1">
      <c r="B684" s="73" t="s">
        <v>174</v>
      </c>
      <c r="C684" s="74"/>
      <c r="D684" s="50">
        <f>B691+B704+B711+D711+B719+D719+D704+D691+B698+D698</f>
        <v>2.654656699299653</v>
      </c>
      <c r="E684" s="75"/>
      <c r="G684" s="203" t="s">
        <v>178</v>
      </c>
      <c r="H684" s="206"/>
      <c r="I684" s="76"/>
      <c r="K684" s="77" t="s">
        <v>181</v>
      </c>
      <c r="L684" s="19" t="s">
        <v>71</v>
      </c>
      <c r="M684" s="78">
        <f>ROUNDUP(M695*1.579,0)</f>
        <v>55</v>
      </c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</row>
    <row r="685" spans="1:73" s="1" customFormat="1" ht="19.5" thickBot="1">
      <c r="C685" s="75"/>
      <c r="D685" s="79"/>
      <c r="E685" s="75"/>
      <c r="F685" s="75"/>
      <c r="G685" s="75"/>
      <c r="H685" s="75"/>
      <c r="I685" s="80"/>
      <c r="L685" s="19" t="s">
        <v>68</v>
      </c>
      <c r="M685" s="78">
        <f>ROUNDUP(R698*0.888,0)</f>
        <v>103</v>
      </c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</row>
    <row r="686" spans="1:73" s="1" customFormat="1" ht="19.5" thickBot="1">
      <c r="C686" s="75"/>
      <c r="D686" s="79"/>
      <c r="E686" s="75"/>
      <c r="F686" s="75"/>
      <c r="G686" s="75"/>
      <c r="H686" s="75"/>
      <c r="I686" s="80"/>
      <c r="L686" s="19" t="s">
        <v>108</v>
      </c>
      <c r="M686" s="78">
        <f>ROUNDUP(L692,0)</f>
        <v>11</v>
      </c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</row>
    <row r="687" spans="1:73" s="1" customFormat="1" ht="15.75">
      <c r="A687" s="5" t="s">
        <v>184</v>
      </c>
      <c r="E687" s="75"/>
      <c r="F687" s="5"/>
      <c r="N687" s="14" t="s">
        <v>182</v>
      </c>
      <c r="O687" s="1" t="s">
        <v>170</v>
      </c>
      <c r="P687" s="1" t="s">
        <v>49</v>
      </c>
      <c r="Q687" s="1" t="s">
        <v>183</v>
      </c>
      <c r="R687" s="1" t="s">
        <v>68</v>
      </c>
      <c r="S687" s="20" t="s">
        <v>108</v>
      </c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</row>
    <row r="688" spans="1:73" s="1" customFormat="1" ht="15.75">
      <c r="A688" s="1" t="s">
        <v>49</v>
      </c>
      <c r="B688" s="4">
        <v>1.2</v>
      </c>
      <c r="D688" s="4">
        <v>0</v>
      </c>
      <c r="E688" s="81"/>
      <c r="G688" s="4"/>
      <c r="M688" s="5" t="s">
        <v>71</v>
      </c>
      <c r="N688" s="14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</row>
    <row r="689" spans="1:73" s="1" customFormat="1" ht="15.75">
      <c r="A689" s="1" t="s">
        <v>50</v>
      </c>
      <c r="B689" s="4">
        <v>0.6</v>
      </c>
      <c r="D689" s="4">
        <v>0.6</v>
      </c>
      <c r="E689" s="81"/>
      <c r="G689" s="4"/>
      <c r="L689" s="5" t="s">
        <v>108</v>
      </c>
      <c r="M689" s="1">
        <v>3.43</v>
      </c>
      <c r="N689" s="69">
        <v>1</v>
      </c>
      <c r="O689" s="20">
        <v>5</v>
      </c>
      <c r="P689" s="1">
        <v>2.33</v>
      </c>
      <c r="Q689" s="1">
        <v>1</v>
      </c>
      <c r="R689" s="1">
        <f>O689*P689*Q689</f>
        <v>11.65</v>
      </c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</row>
    <row r="690" spans="1:73" s="1" customFormat="1" ht="15.75">
      <c r="A690" s="1" t="s">
        <v>51</v>
      </c>
      <c r="B690" s="4">
        <v>0.3</v>
      </c>
      <c r="D690" s="4">
        <v>0.3</v>
      </c>
      <c r="E690" s="81"/>
      <c r="G690" s="4"/>
      <c r="L690" s="1">
        <v>1.38</v>
      </c>
      <c r="M690" s="1">
        <v>2.65</v>
      </c>
      <c r="N690" s="69">
        <v>2</v>
      </c>
      <c r="O690" s="20">
        <v>6</v>
      </c>
      <c r="P690" s="1">
        <v>3</v>
      </c>
      <c r="Q690" s="1">
        <v>1</v>
      </c>
      <c r="R690" s="1">
        <f t="shared" ref="R690:R697" si="142">O690*P690*Q690</f>
        <v>18</v>
      </c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</row>
    <row r="691" spans="1:73" s="1" customFormat="1" ht="15.75">
      <c r="B691" s="5">
        <f>B688*B689*B690</f>
        <v>0.216</v>
      </c>
      <c r="D691" s="5">
        <f>D688*D689*D690*6</f>
        <v>0</v>
      </c>
      <c r="E691" s="81"/>
      <c r="F691" s="1">
        <f>1288-112.5</f>
        <v>1175.5</v>
      </c>
      <c r="L691" s="1">
        <v>12</v>
      </c>
      <c r="M691" s="1">
        <v>1.5</v>
      </c>
      <c r="N691" s="69">
        <v>3</v>
      </c>
      <c r="O691" s="20">
        <v>6</v>
      </c>
      <c r="P691" s="1">
        <v>3.05</v>
      </c>
      <c r="Q691" s="1">
        <v>1</v>
      </c>
      <c r="R691" s="1">
        <f t="shared" si="142"/>
        <v>18.299999999999997</v>
      </c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</row>
    <row r="692" spans="1:73" s="1" customFormat="1" ht="15.75">
      <c r="A692" s="5"/>
      <c r="E692" s="81"/>
      <c r="L692" s="5">
        <f>L690*L691*0.617</f>
        <v>10.217519999999999</v>
      </c>
      <c r="M692" s="1">
        <v>5.61</v>
      </c>
      <c r="N692" s="69">
        <v>4</v>
      </c>
      <c r="O692" s="20">
        <v>11</v>
      </c>
      <c r="P692" s="1">
        <v>1.1299999999999999</v>
      </c>
      <c r="Q692" s="1">
        <v>1</v>
      </c>
      <c r="R692" s="1">
        <f t="shared" si="142"/>
        <v>12.43</v>
      </c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</row>
    <row r="693" spans="1:73" s="1" customFormat="1" ht="15.75">
      <c r="A693" s="5" t="s">
        <v>185</v>
      </c>
      <c r="C693" s="5" t="s">
        <v>186</v>
      </c>
      <c r="D693" s="5"/>
      <c r="E693" s="81"/>
      <c r="F693" s="5" t="s">
        <v>185</v>
      </c>
      <c r="I693" s="4">
        <f>D694</f>
        <v>2.4</v>
      </c>
      <c r="J693" s="4"/>
      <c r="M693" s="1">
        <v>2.34</v>
      </c>
      <c r="N693" s="69">
        <v>5</v>
      </c>
      <c r="O693" s="20">
        <v>6</v>
      </c>
      <c r="P693" s="1">
        <v>2.29</v>
      </c>
      <c r="Q693" s="1">
        <v>1</v>
      </c>
      <c r="R693" s="1">
        <f t="shared" si="142"/>
        <v>13.74</v>
      </c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</row>
    <row r="694" spans="1:73" s="1" customFormat="1" ht="15.75">
      <c r="A694" s="1" t="s">
        <v>49</v>
      </c>
      <c r="B694" s="4">
        <v>2.4</v>
      </c>
      <c r="C694" s="1" t="s">
        <v>49</v>
      </c>
      <c r="D694" s="4">
        <f>B694</f>
        <v>2.4</v>
      </c>
      <c r="E694" s="82"/>
      <c r="F694" s="1" t="s">
        <v>49</v>
      </c>
      <c r="G694" s="4">
        <f>D694</f>
        <v>2.4</v>
      </c>
      <c r="I694" s="4">
        <f>D695</f>
        <v>0.45</v>
      </c>
      <c r="J694" s="4"/>
      <c r="M694" s="1">
        <f>3.2*3*2</f>
        <v>19.200000000000003</v>
      </c>
      <c r="N694" s="69">
        <v>6</v>
      </c>
      <c r="O694" s="20">
        <v>6</v>
      </c>
      <c r="P694" s="1">
        <v>2.04</v>
      </c>
      <c r="Q694" s="1">
        <v>1</v>
      </c>
      <c r="R694" s="1">
        <f t="shared" si="142"/>
        <v>12.24</v>
      </c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</row>
    <row r="695" spans="1:73" s="1" customFormat="1" ht="15.75">
      <c r="A695" s="1" t="s">
        <v>50</v>
      </c>
      <c r="B695" s="4">
        <v>1.18</v>
      </c>
      <c r="C695" s="1" t="s">
        <v>50</v>
      </c>
      <c r="D695" s="4">
        <v>0.45</v>
      </c>
      <c r="E695" s="82"/>
      <c r="F695" s="1" t="s">
        <v>50</v>
      </c>
      <c r="G695" s="4">
        <f>B695</f>
        <v>1.18</v>
      </c>
      <c r="I695" s="4">
        <f>D696</f>
        <v>0.23</v>
      </c>
      <c r="J695" s="4"/>
      <c r="M695" s="5">
        <f>SUM(M689:M694)</f>
        <v>34.730000000000004</v>
      </c>
      <c r="N695" s="69">
        <v>7</v>
      </c>
      <c r="O695" s="20">
        <v>11</v>
      </c>
      <c r="P695" s="1">
        <v>1.1200000000000001</v>
      </c>
      <c r="Q695" s="1">
        <v>1</v>
      </c>
      <c r="R695" s="1">
        <f t="shared" si="142"/>
        <v>12.32</v>
      </c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</row>
    <row r="696" spans="1:73" s="1" customFormat="1" ht="15.75">
      <c r="A696" s="1" t="s">
        <v>51</v>
      </c>
      <c r="B696" s="4">
        <v>0.15</v>
      </c>
      <c r="C696" s="1" t="s">
        <v>51</v>
      </c>
      <c r="D696" s="4">
        <v>0.23</v>
      </c>
      <c r="E696" s="82"/>
      <c r="F696" s="1" t="s">
        <v>170</v>
      </c>
      <c r="G696" s="1">
        <f>B697</f>
        <v>1</v>
      </c>
      <c r="I696" s="1">
        <f>D697</f>
        <v>1</v>
      </c>
      <c r="J696" s="1">
        <v>2</v>
      </c>
      <c r="N696" s="69">
        <v>8</v>
      </c>
      <c r="O696" s="20">
        <v>6</v>
      </c>
      <c r="P696" s="1">
        <v>1.1599999999999999</v>
      </c>
      <c r="Q696" s="1">
        <v>1</v>
      </c>
      <c r="R696" s="1">
        <f t="shared" si="142"/>
        <v>6.9599999999999991</v>
      </c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</row>
    <row r="697" spans="1:73" s="1" customFormat="1" ht="15.75">
      <c r="A697" s="1" t="s">
        <v>170</v>
      </c>
      <c r="B697" s="1">
        <v>1</v>
      </c>
      <c r="C697" s="1" t="s">
        <v>170</v>
      </c>
      <c r="D697" s="1">
        <f>B697</f>
        <v>1</v>
      </c>
      <c r="E697" s="81"/>
      <c r="G697" s="1" t="s">
        <v>179</v>
      </c>
      <c r="H697" s="5">
        <f>G694*G695*G696</f>
        <v>2.8319999999999999</v>
      </c>
      <c r="I697" s="8">
        <f>(I694*I693*I696*2)+(I695*I693*I696)</f>
        <v>2.7120000000000002</v>
      </c>
      <c r="J697" s="5">
        <f>(J693*J694*2)+(J693*J695)*J696*2</f>
        <v>0</v>
      </c>
      <c r="N697" s="69">
        <v>9</v>
      </c>
      <c r="O697" s="20">
        <v>6</v>
      </c>
      <c r="P697" s="1">
        <v>1.59</v>
      </c>
      <c r="Q697" s="1">
        <v>1</v>
      </c>
      <c r="R697" s="1">
        <f t="shared" si="142"/>
        <v>9.5400000000000009</v>
      </c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</row>
    <row r="698" spans="1:73" s="1" customFormat="1" ht="21">
      <c r="B698" s="5">
        <f>B694*B695*B696*B697</f>
        <v>0.42479999999999996</v>
      </c>
      <c r="D698" s="5">
        <f>D694*D695*D696*D697</f>
        <v>0.24840000000000004</v>
      </c>
      <c r="E698" s="81"/>
      <c r="G698" s="1" t="s">
        <v>187</v>
      </c>
      <c r="H698" s="5">
        <f>(G694+G695)*2*G696</f>
        <v>7.16</v>
      </c>
      <c r="N698" s="62"/>
      <c r="R698" s="8">
        <f>SUM(R689:R697)</f>
        <v>115.17999999999998</v>
      </c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</row>
    <row r="699" spans="1:73" s="1" customFormat="1" ht="21">
      <c r="A699" s="5" t="s">
        <v>185</v>
      </c>
      <c r="C699" s="5" t="s">
        <v>186</v>
      </c>
      <c r="D699" s="5"/>
      <c r="E699" s="81"/>
      <c r="F699" s="5" t="s">
        <v>185</v>
      </c>
      <c r="J699" s="4"/>
      <c r="N699" s="62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</row>
    <row r="700" spans="1:73" s="1" customFormat="1">
      <c r="A700" s="1" t="s">
        <v>49</v>
      </c>
      <c r="B700" s="4">
        <v>0</v>
      </c>
      <c r="C700" s="1" t="s">
        <v>49</v>
      </c>
      <c r="D700" s="4">
        <f>B700</f>
        <v>0</v>
      </c>
      <c r="E700" s="82"/>
      <c r="F700" s="1" t="s">
        <v>49</v>
      </c>
      <c r="G700" s="4">
        <f>D700</f>
        <v>0</v>
      </c>
      <c r="J700" s="4">
        <v>0.3</v>
      </c>
      <c r="N700" s="2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</row>
    <row r="701" spans="1:73" s="1" customFormat="1">
      <c r="A701" s="1" t="s">
        <v>50</v>
      </c>
      <c r="B701" s="4">
        <v>0</v>
      </c>
      <c r="C701" s="1" t="s">
        <v>50</v>
      </c>
      <c r="D701" s="4">
        <v>0.45</v>
      </c>
      <c r="E701" s="82"/>
      <c r="F701" s="1" t="s">
        <v>50</v>
      </c>
      <c r="G701" s="4">
        <f>B701</f>
        <v>0</v>
      </c>
      <c r="J701" s="4">
        <v>0.15</v>
      </c>
      <c r="N701" s="20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</row>
    <row r="702" spans="1:73" s="1" customFormat="1">
      <c r="A702" s="1" t="s">
        <v>51</v>
      </c>
      <c r="B702" s="4">
        <v>0.15</v>
      </c>
      <c r="C702" s="1" t="s">
        <v>51</v>
      </c>
      <c r="D702" s="4">
        <v>0.23</v>
      </c>
      <c r="E702" s="82"/>
      <c r="F702" s="1" t="s">
        <v>170</v>
      </c>
      <c r="G702" s="1">
        <f>B703</f>
        <v>3</v>
      </c>
      <c r="J702" s="1">
        <v>1</v>
      </c>
      <c r="N702" s="20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</row>
    <row r="703" spans="1:73" s="1" customFormat="1">
      <c r="A703" s="1" t="s">
        <v>170</v>
      </c>
      <c r="B703" s="1">
        <v>3</v>
      </c>
      <c r="C703" s="1" t="s">
        <v>170</v>
      </c>
      <c r="D703" s="1">
        <f>B703</f>
        <v>3</v>
      </c>
      <c r="E703" s="81"/>
      <c r="G703" s="1" t="s">
        <v>179</v>
      </c>
      <c r="H703" s="5">
        <f>G700*G701*G702</f>
        <v>0</v>
      </c>
      <c r="J703" s="5">
        <f>(J699*J700*2)+(J699*J701)*J702*2</f>
        <v>0</v>
      </c>
      <c r="N703" s="20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</row>
    <row r="704" spans="1:73" s="1" customFormat="1">
      <c r="B704" s="5">
        <f>B700*B701*B702*B703</f>
        <v>0</v>
      </c>
      <c r="D704" s="5">
        <f>D700*D701*D702*D703</f>
        <v>0</v>
      </c>
      <c r="E704" s="81"/>
      <c r="G704" s="1" t="s">
        <v>187</v>
      </c>
      <c r="H704" s="5">
        <f>(G700+G701)*2*G702</f>
        <v>0</v>
      </c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</row>
    <row r="705" spans="1:73" s="1" customFormat="1">
      <c r="E705" s="81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</row>
    <row r="706" spans="1:73" s="1" customFormat="1">
      <c r="A706" s="5" t="s">
        <v>188</v>
      </c>
      <c r="C706" s="5" t="s">
        <v>189</v>
      </c>
      <c r="E706" s="81"/>
      <c r="F706" s="5" t="s">
        <v>190</v>
      </c>
      <c r="T706" s="1">
        <f>S706</f>
        <v>0</v>
      </c>
      <c r="U706" s="1">
        <f>S706*T706</f>
        <v>0</v>
      </c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</row>
    <row r="707" spans="1:73" s="1" customFormat="1">
      <c r="A707" s="1" t="s">
        <v>49</v>
      </c>
      <c r="B707" s="4">
        <f>(SQRT((3.03*3.03)+(1.88*1.88)))</f>
        <v>3.5658519318670536</v>
      </c>
      <c r="D707" s="4">
        <f>(SQRT((2.75*2.75)+(1.73*1.73)))</f>
        <v>3.2489075086865737</v>
      </c>
      <c r="E707" s="81"/>
      <c r="F707" s="1" t="s">
        <v>49</v>
      </c>
      <c r="G707" s="4">
        <f>B707</f>
        <v>3.5658519318670536</v>
      </c>
      <c r="I707" s="4">
        <f>D707</f>
        <v>3.2489075086865737</v>
      </c>
      <c r="T707" s="1">
        <f>S707</f>
        <v>0</v>
      </c>
      <c r="U707" s="1">
        <f>S707*T707</f>
        <v>0</v>
      </c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</row>
    <row r="708" spans="1:73" s="1" customFormat="1">
      <c r="A708" s="1" t="s">
        <v>50</v>
      </c>
      <c r="B708" s="4">
        <v>1.2</v>
      </c>
      <c r="D708" s="4">
        <f>B708</f>
        <v>1.2</v>
      </c>
      <c r="E708" s="81"/>
      <c r="F708" s="1" t="s">
        <v>50</v>
      </c>
      <c r="G708" s="4">
        <f>B708</f>
        <v>1.2</v>
      </c>
      <c r="I708" s="4">
        <f>D708</f>
        <v>1.2</v>
      </c>
      <c r="U708" s="1">
        <f>SUM(U706:U707)</f>
        <v>0</v>
      </c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</row>
    <row r="709" spans="1:73" s="1" customFormat="1">
      <c r="A709" s="1" t="s">
        <v>51</v>
      </c>
      <c r="B709" s="4">
        <v>0.15</v>
      </c>
      <c r="D709" s="4">
        <f>B709</f>
        <v>0.15</v>
      </c>
      <c r="E709" s="81"/>
      <c r="F709" s="1" t="s">
        <v>170</v>
      </c>
      <c r="G709" s="1">
        <f>B710</f>
        <v>1</v>
      </c>
      <c r="I709" s="1">
        <f>D710</f>
        <v>1</v>
      </c>
      <c r="U709" s="4">
        <f>SQRT(U708)</f>
        <v>0</v>
      </c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</row>
    <row r="710" spans="1:73" s="1" customFormat="1">
      <c r="A710" s="1" t="s">
        <v>170</v>
      </c>
      <c r="B710" s="1">
        <v>1</v>
      </c>
      <c r="D710" s="1">
        <v>1</v>
      </c>
      <c r="E710" s="81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</row>
    <row r="711" spans="1:73" s="1" customFormat="1">
      <c r="B711" s="5">
        <f>B707*B708*B709*B710</f>
        <v>0.64185334773606961</v>
      </c>
      <c r="D711" s="5">
        <f>D707*D708*D709*D710</f>
        <v>0.58480335156358321</v>
      </c>
      <c r="E711" s="81"/>
      <c r="G711" s="1" t="s">
        <v>179</v>
      </c>
      <c r="H711" s="1">
        <f>G708*G709*G707</f>
        <v>4.2790223182404645</v>
      </c>
      <c r="I711" s="1" t="s">
        <v>179</v>
      </c>
      <c r="J711" s="1">
        <f>I708*I709*I707</f>
        <v>3.8986890104238885</v>
      </c>
      <c r="K711" s="83">
        <f>H711+J711</f>
        <v>8.177711328664353</v>
      </c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</row>
    <row r="712" spans="1:73" s="1" customFormat="1">
      <c r="E712" s="81"/>
      <c r="G712" s="5" t="s">
        <v>187</v>
      </c>
      <c r="H712" s="1">
        <f>(G708+G707)*2*G709</f>
        <v>9.5317038637341067</v>
      </c>
      <c r="I712" s="5" t="s">
        <v>187</v>
      </c>
      <c r="J712" s="1">
        <f>(I708+I707)*2*I709</f>
        <v>8.8978150173731478</v>
      </c>
      <c r="K712" s="52">
        <f>(H712+J712)*0.15</f>
        <v>2.7644278321660885</v>
      </c>
      <c r="L712" s="83">
        <f>H712+J712</f>
        <v>18.429518881107256</v>
      </c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</row>
    <row r="713" spans="1:73" s="1" customFormat="1">
      <c r="A713" s="5" t="s">
        <v>191</v>
      </c>
      <c r="E713" s="81"/>
      <c r="F713" s="5" t="s">
        <v>191</v>
      </c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</row>
    <row r="714" spans="1:73" s="1" customFormat="1">
      <c r="A714" s="1" t="s">
        <v>49</v>
      </c>
      <c r="B714" s="4">
        <v>1.2</v>
      </c>
      <c r="D714" s="4">
        <f>B714</f>
        <v>1.2</v>
      </c>
      <c r="E714" s="81"/>
      <c r="F714" s="1" t="s">
        <v>49</v>
      </c>
      <c r="G714" s="4"/>
      <c r="I714" s="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</row>
    <row r="715" spans="1:73" s="1" customFormat="1">
      <c r="A715" s="1" t="s">
        <v>50</v>
      </c>
      <c r="B715" s="4">
        <v>0.28000000000000003</v>
      </c>
      <c r="D715" s="4">
        <v>0.3</v>
      </c>
      <c r="E715" s="81"/>
      <c r="F715" s="1" t="s">
        <v>50</v>
      </c>
      <c r="G715" s="4">
        <v>0.3</v>
      </c>
      <c r="I715" s="4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</row>
    <row r="716" spans="1:73" s="1" customFormat="1">
      <c r="A716" s="1" t="s">
        <v>51</v>
      </c>
      <c r="B716" s="4">
        <v>0.16</v>
      </c>
      <c r="D716" s="4">
        <v>0.15</v>
      </c>
      <c r="E716" s="81"/>
      <c r="F716" s="1" t="s">
        <v>51</v>
      </c>
      <c r="G716" s="4">
        <v>0.15</v>
      </c>
      <c r="I716" s="4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</row>
    <row r="717" spans="1:73" s="1" customFormat="1">
      <c r="A717" s="1" t="s">
        <v>170</v>
      </c>
      <c r="B717" s="1">
        <v>0.5</v>
      </c>
      <c r="D717" s="1">
        <v>0.5</v>
      </c>
      <c r="E717" s="81"/>
      <c r="F717" s="1" t="s">
        <v>170</v>
      </c>
      <c r="G717" s="1">
        <v>0.5</v>
      </c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</row>
    <row r="718" spans="1:73" s="1" customFormat="1">
      <c r="A718" s="1" t="s">
        <v>170</v>
      </c>
      <c r="B718" s="1">
        <v>10</v>
      </c>
      <c r="D718" s="1">
        <v>10</v>
      </c>
      <c r="E718" s="81"/>
      <c r="F718" s="1" t="s">
        <v>170</v>
      </c>
      <c r="G718" s="1">
        <f>B718</f>
        <v>10</v>
      </c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</row>
    <row r="719" spans="1:73" s="1" customFormat="1">
      <c r="B719" s="5">
        <f>B714*B715*B716*B717*B718</f>
        <v>0.26880000000000004</v>
      </c>
      <c r="D719" s="5">
        <f>D714*D715*D716*D717*D718</f>
        <v>0.27</v>
      </c>
      <c r="E719" s="81"/>
      <c r="G719" s="5">
        <f>G716*G715*G717*2*G718</f>
        <v>0.44999999999999996</v>
      </c>
      <c r="I719" s="5"/>
      <c r="K719" s="1">
        <f>G719+I719</f>
        <v>0.44999999999999996</v>
      </c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</row>
    <row r="720" spans="1:73" s="1" customFormat="1">
      <c r="E720" s="81"/>
      <c r="K720" s="83">
        <f>SUM(K712:K719)</f>
        <v>3.2144278321660886</v>
      </c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</row>
    <row r="721" spans="1:73" s="1" customFormat="1">
      <c r="E721" s="81"/>
      <c r="F721" s="5" t="s">
        <v>192</v>
      </c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</row>
    <row r="722" spans="1:73" s="1" customFormat="1">
      <c r="E722" s="81"/>
      <c r="F722" s="1" t="s">
        <v>49</v>
      </c>
      <c r="G722" s="4">
        <v>1.2</v>
      </c>
      <c r="I722" s="4">
        <v>1.1499999999999999</v>
      </c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</row>
    <row r="723" spans="1:73" s="1" customFormat="1">
      <c r="E723" s="81"/>
      <c r="F723" s="1" t="s">
        <v>170</v>
      </c>
      <c r="G723" s="1">
        <v>22</v>
      </c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</row>
    <row r="724" spans="1:73" s="1" customFormat="1">
      <c r="G724" s="1">
        <f>G722*G723</f>
        <v>26.4</v>
      </c>
      <c r="I724" s="1">
        <f>I722*I723</f>
        <v>0</v>
      </c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</row>
    <row r="725" spans="1:73" s="1" customFormat="1">
      <c r="H725" s="5">
        <f>G724+I724</f>
        <v>26.4</v>
      </c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</row>
    <row r="726" spans="1:73" s="1" customFormat="1">
      <c r="A726"/>
      <c r="H726" s="1" t="s">
        <v>193</v>
      </c>
      <c r="I726" s="1">
        <f>H725*0.15</f>
        <v>3.9599999999999995</v>
      </c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</row>
    <row r="728" spans="1:73" s="1" customFormat="1">
      <c r="A728"/>
      <c r="F728" s="5" t="s">
        <v>194</v>
      </c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</row>
    <row r="729" spans="1:73" s="1" customFormat="1">
      <c r="A729"/>
      <c r="F729" s="1" t="s">
        <v>49</v>
      </c>
      <c r="G729" s="4">
        <f>G722</f>
        <v>1.2</v>
      </c>
      <c r="I729" s="4">
        <v>1.1499999999999999</v>
      </c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</row>
    <row r="730" spans="1:73" s="1" customFormat="1">
      <c r="A730"/>
      <c r="F730" s="1" t="s">
        <v>170</v>
      </c>
      <c r="G730" s="1">
        <v>20</v>
      </c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</row>
    <row r="731" spans="1:73" s="1" customFormat="1">
      <c r="A731"/>
      <c r="G731" s="1">
        <f>G729*G730</f>
        <v>24</v>
      </c>
      <c r="I731" s="1">
        <f>I729*I730</f>
        <v>0</v>
      </c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</row>
    <row r="732" spans="1:73" s="1" customFormat="1">
      <c r="A732"/>
      <c r="G732" s="1">
        <f>G731*0.25</f>
        <v>6</v>
      </c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</row>
    <row r="733" spans="1:73" s="1" customFormat="1">
      <c r="A733"/>
      <c r="H733" s="5">
        <f>G731+I731</f>
        <v>24</v>
      </c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</row>
    <row r="734" spans="1:73" s="1" customFormat="1">
      <c r="A734"/>
      <c r="H734" s="1" t="s">
        <v>195</v>
      </c>
      <c r="I734" s="1">
        <f>H733*0.3</f>
        <v>7.1999999999999993</v>
      </c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</row>
    <row r="736" spans="1:73" s="1" customFormat="1">
      <c r="A736"/>
      <c r="K736" s="1">
        <v>573.9</v>
      </c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</row>
    <row r="737" spans="1:73" s="1" customFormat="1">
      <c r="A737"/>
      <c r="K737" s="1">
        <v>601.6</v>
      </c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</row>
    <row r="738" spans="1:73" s="1" customFormat="1" ht="26.25">
      <c r="A738"/>
      <c r="D738" s="209" t="s">
        <v>196</v>
      </c>
      <c r="E738" s="209"/>
      <c r="F738" s="209"/>
      <c r="G738" s="209"/>
      <c r="H738" s="84"/>
      <c r="I738" s="4"/>
      <c r="K738" s="1">
        <v>602.5</v>
      </c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</row>
    <row r="739" spans="1:73" s="1" customFormat="1" ht="18.75" customHeight="1" thickBot="1">
      <c r="A739"/>
      <c r="D739" s="198"/>
      <c r="E739" s="198"/>
      <c r="F739" s="198"/>
      <c r="G739" s="198"/>
      <c r="H739" s="86"/>
      <c r="I739" s="4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</row>
    <row r="740" spans="1:73" s="1" customFormat="1" ht="19.5" thickBot="1">
      <c r="A740"/>
      <c r="B740" s="1">
        <v>42.2</v>
      </c>
      <c r="C740" s="1">
        <v>55</v>
      </c>
      <c r="D740" s="1">
        <v>20.9</v>
      </c>
      <c r="E740" s="1">
        <f>C740</f>
        <v>55</v>
      </c>
      <c r="F740" s="1">
        <f>B740</f>
        <v>42.2</v>
      </c>
      <c r="G740" s="1">
        <f>D740</f>
        <v>20.9</v>
      </c>
      <c r="H740" s="86"/>
      <c r="I740" s="4"/>
      <c r="K740" s="5">
        <f>SUM(K736:K738)</f>
        <v>1778</v>
      </c>
      <c r="M740" s="19" t="s">
        <v>71</v>
      </c>
      <c r="N740" s="87">
        <f>N746+K746</f>
        <v>787.93822545454532</v>
      </c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</row>
    <row r="741" spans="1:73" s="1" customFormat="1" ht="19.5" thickBot="1">
      <c r="A741"/>
      <c r="B741" s="4">
        <v>0.45</v>
      </c>
      <c r="C741" s="4">
        <v>0.3</v>
      </c>
      <c r="D741" s="4">
        <v>0.3</v>
      </c>
      <c r="E741" s="4">
        <v>0.3</v>
      </c>
      <c r="F741" s="4">
        <v>0.3</v>
      </c>
      <c r="G741" s="4">
        <f>D741</f>
        <v>0.3</v>
      </c>
      <c r="H741" s="86" t="s">
        <v>197</v>
      </c>
      <c r="I741" s="4">
        <f>(H742*I742)/2</f>
        <v>70.86</v>
      </c>
      <c r="M741" s="19" t="s">
        <v>68</v>
      </c>
      <c r="N741" s="88">
        <f>P745</f>
        <v>37.118400000000001</v>
      </c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</row>
    <row r="742" spans="1:73" s="1" customFormat="1" ht="19.5" thickBot="1">
      <c r="A742"/>
      <c r="B742" s="1">
        <v>0.23</v>
      </c>
      <c r="C742" s="1">
        <v>0.23</v>
      </c>
      <c r="D742" s="1">
        <v>0.15</v>
      </c>
      <c r="E742" s="1">
        <v>0.23</v>
      </c>
      <c r="F742" s="1">
        <v>0.23</v>
      </c>
      <c r="G742" s="1">
        <f>D742</f>
        <v>0.15</v>
      </c>
      <c r="H742" s="86">
        <f>B740+C740+D740</f>
        <v>118.1</v>
      </c>
      <c r="I742" s="4">
        <v>1.2</v>
      </c>
      <c r="M742" s="19" t="s">
        <v>108</v>
      </c>
      <c r="N742" s="89">
        <f>N749+K749+Q747</f>
        <v>381.33685000000003</v>
      </c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</row>
    <row r="743" spans="1:73" s="1" customFormat="1">
      <c r="A743"/>
      <c r="B743" s="8">
        <f>B740*B741*B742</f>
        <v>4.367700000000001</v>
      </c>
      <c r="C743" s="8">
        <f>C740*C741*C742</f>
        <v>3.7950000000000004</v>
      </c>
      <c r="D743" s="8">
        <f>D740*D741*D742</f>
        <v>0.94049999999999989</v>
      </c>
      <c r="E743" s="8">
        <f>(E740*E741*2)+(E740*E742)</f>
        <v>45.65</v>
      </c>
      <c r="F743" s="8">
        <f>(F740*F741*2)+(F740*F742)</f>
        <v>35.026000000000003</v>
      </c>
      <c r="G743" s="8">
        <f>(G740*G741*2)+(G740*G742)</f>
        <v>15.674999999999999</v>
      </c>
      <c r="H743" s="86"/>
      <c r="I743" s="4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</row>
    <row r="744" spans="1:73" s="1" customFormat="1">
      <c r="A744"/>
      <c r="E744" s="5"/>
      <c r="G744" s="83"/>
      <c r="H744" s="86"/>
      <c r="I744" s="5" t="s">
        <v>198</v>
      </c>
      <c r="P744" s="1" t="s">
        <v>199</v>
      </c>
      <c r="Q744" s="1">
        <v>1.46</v>
      </c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</row>
    <row r="745" spans="1:73" s="1" customFormat="1">
      <c r="A745"/>
      <c r="B745" s="12">
        <f>E746*G745</f>
        <v>519.53125</v>
      </c>
      <c r="C745" s="1" t="s">
        <v>200</v>
      </c>
      <c r="E745" s="1">
        <v>45.674999999999997</v>
      </c>
      <c r="F745" s="1">
        <v>1.2</v>
      </c>
      <c r="G745" s="1">
        <f>(E745/F745)+1</f>
        <v>39.0625</v>
      </c>
      <c r="I745" s="1">
        <f>C740*4</f>
        <v>220</v>
      </c>
      <c r="J745" s="1">
        <f>(I745/11)*0.6</f>
        <v>12</v>
      </c>
      <c r="K745" s="90"/>
      <c r="L745" s="1">
        <f>B740*6</f>
        <v>253.20000000000002</v>
      </c>
      <c r="M745" s="1">
        <f>(L745/11)*0.6</f>
        <v>13.810909090909091</v>
      </c>
      <c r="N745" s="90"/>
      <c r="P745" s="1">
        <f>D740*2*0.888</f>
        <v>37.118400000000001</v>
      </c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</row>
    <row r="746" spans="1:73" s="1" customFormat="1">
      <c r="A746"/>
      <c r="E746" s="1">
        <v>13.3</v>
      </c>
      <c r="J746" s="1">
        <f>J745+I745</f>
        <v>232</v>
      </c>
      <c r="K746" s="90">
        <f>J746*1.579</f>
        <v>366.32799999999997</v>
      </c>
      <c r="M746" s="1">
        <f>M745+L745</f>
        <v>267.01090909090908</v>
      </c>
      <c r="N746" s="90">
        <f>M746*1.579</f>
        <v>421.6102254545454</v>
      </c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</row>
    <row r="747" spans="1:73" s="1" customFormat="1">
      <c r="A747"/>
      <c r="P747" s="1">
        <f>G740/0.2</f>
        <v>104.49999999999999</v>
      </c>
      <c r="Q747" s="1">
        <f>1.46*P747*0.617</f>
        <v>94.135689999999983</v>
      </c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</row>
    <row r="748" spans="1:73" s="1" customFormat="1">
      <c r="A748"/>
      <c r="B748" s="12">
        <f>C750*G745</f>
        <v>522.65625</v>
      </c>
      <c r="C748" s="1" t="s">
        <v>201</v>
      </c>
      <c r="E748" s="1">
        <v>1.43</v>
      </c>
      <c r="F748" s="1">
        <v>1.43</v>
      </c>
      <c r="G748" s="1">
        <f>F748*E748</f>
        <v>2.0448999999999997</v>
      </c>
      <c r="I748" s="1">
        <f>C740/0.25</f>
        <v>220</v>
      </c>
      <c r="J748" s="1">
        <v>1.08</v>
      </c>
      <c r="L748" s="1">
        <f>B740/0.2</f>
        <v>211</v>
      </c>
      <c r="M748" s="1">
        <v>1.08</v>
      </c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</row>
    <row r="749" spans="1:73" s="1" customFormat="1">
      <c r="A749"/>
      <c r="E749" s="1">
        <v>13.3</v>
      </c>
      <c r="F749" s="1">
        <v>13.3</v>
      </c>
      <c r="G749" s="1">
        <f>F749*E749</f>
        <v>176.89000000000001</v>
      </c>
      <c r="J749" s="1">
        <f>J748*I748</f>
        <v>237.60000000000002</v>
      </c>
      <c r="K749" s="90">
        <f>J749*0.617</f>
        <v>146.59920000000002</v>
      </c>
      <c r="M749" s="1">
        <f>M748*L748</f>
        <v>227.88000000000002</v>
      </c>
      <c r="N749" s="90">
        <f>M749*0.617</f>
        <v>140.60196000000002</v>
      </c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</row>
    <row r="750" spans="1:73" s="1" customFormat="1">
      <c r="A750"/>
      <c r="C750" s="1">
        <v>13.38</v>
      </c>
      <c r="G750" s="1">
        <f>SUM(G748:G749)</f>
        <v>178.93490000000003</v>
      </c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</row>
    <row r="751" spans="1:73" s="1" customFormat="1">
      <c r="A751"/>
      <c r="G751" s="1">
        <f>SQRT(G750)</f>
        <v>13.376655037788783</v>
      </c>
      <c r="N751" s="8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</row>
    <row r="752" spans="1:73" s="1" customFormat="1">
      <c r="A752"/>
      <c r="B752" s="12">
        <f>E754*G752</f>
        <v>724.70999999999992</v>
      </c>
      <c r="C752" s="1" t="s">
        <v>202</v>
      </c>
      <c r="E752" s="1">
        <f>C750</f>
        <v>13.38</v>
      </c>
      <c r="F752" s="1">
        <v>0.9</v>
      </c>
      <c r="G752" s="1">
        <f>(E752/F752)+1</f>
        <v>15.866666666666667</v>
      </c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</row>
    <row r="754" spans="1:73" s="1" customFormat="1">
      <c r="A754"/>
      <c r="E754" s="1">
        <v>45.674999999999997</v>
      </c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</row>
    <row r="755" spans="1:73" s="1" customFormat="1">
      <c r="A755"/>
      <c r="B755" s="1">
        <f>G745*L769</f>
        <v>777.34375</v>
      </c>
      <c r="C755" s="1" t="s">
        <v>203</v>
      </c>
      <c r="E755" s="1">
        <v>1.43</v>
      </c>
      <c r="F755" s="1">
        <v>1.43</v>
      </c>
      <c r="G755" s="1">
        <f>F755*E755</f>
        <v>2.0448999999999997</v>
      </c>
      <c r="K755" s="1">
        <v>13.3</v>
      </c>
      <c r="L755" s="1">
        <v>1.43</v>
      </c>
      <c r="M755" s="1">
        <v>1.87</v>
      </c>
      <c r="P755" s="1" t="s">
        <v>181</v>
      </c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</row>
    <row r="756" spans="1:73" s="1" customFormat="1">
      <c r="A756"/>
      <c r="E756" s="1">
        <v>1.2</v>
      </c>
      <c r="F756" s="1">
        <v>1.2</v>
      </c>
      <c r="G756" s="1">
        <f>F756*E756</f>
        <v>1.44</v>
      </c>
      <c r="K756" s="1">
        <v>12.1</v>
      </c>
      <c r="L756" s="1">
        <v>1.3</v>
      </c>
      <c r="M756" s="1">
        <v>1.7</v>
      </c>
      <c r="N756" s="1" t="s">
        <v>178</v>
      </c>
      <c r="P756" s="4">
        <f>(N757/11)*0.6</f>
        <v>5.6867083636363631</v>
      </c>
      <c r="R756" s="1">
        <v>0.94</v>
      </c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</row>
    <row r="757" spans="1:73" s="1" customFormat="1">
      <c r="A757"/>
      <c r="G757" s="1">
        <f>SUM(G755:G756)</f>
        <v>3.4848999999999997</v>
      </c>
      <c r="K757" s="1">
        <v>10.9</v>
      </c>
      <c r="L757" s="1">
        <v>1.17</v>
      </c>
      <c r="M757" s="1">
        <v>1.53</v>
      </c>
      <c r="N757" s="1">
        <f>L780</f>
        <v>104.25631999999999</v>
      </c>
      <c r="P757" s="4">
        <f>N757+P756</f>
        <v>109.94302836363636</v>
      </c>
      <c r="Q757" s="1" t="s">
        <v>170</v>
      </c>
      <c r="R757" s="12">
        <f>(N757/0.3)+1</f>
        <v>348.52106666666663</v>
      </c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</row>
    <row r="758" spans="1:73" s="1" customFormat="1">
      <c r="G758" s="1">
        <f>SQRT(G757)</f>
        <v>1.8667886864881091</v>
      </c>
      <c r="K758" s="1">
        <v>9.6999999999999993</v>
      </c>
      <c r="L758" s="1">
        <v>1.04</v>
      </c>
      <c r="M758" s="1">
        <v>1.36</v>
      </c>
      <c r="N758" s="1">
        <f>L781</f>
        <v>0.23</v>
      </c>
      <c r="P758" s="8">
        <f>P757*4*0.888</f>
        <v>390.51763674763635</v>
      </c>
      <c r="R758" s="91">
        <f>R756*R757*0.617</f>
        <v>202.13524824533329</v>
      </c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</row>
    <row r="759" spans="1:73" s="1" customFormat="1">
      <c r="K759" s="1">
        <v>8.5</v>
      </c>
      <c r="L759" s="1">
        <v>0.91</v>
      </c>
      <c r="M759" s="1">
        <v>1.19</v>
      </c>
      <c r="N759" s="1">
        <f>L782</f>
        <v>0.23</v>
      </c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</row>
    <row r="760" spans="1:73" s="1" customFormat="1">
      <c r="E760" s="1">
        <v>1.43</v>
      </c>
      <c r="F760" s="1">
        <v>1.87</v>
      </c>
      <c r="K760" s="1">
        <v>7.2999999999999901</v>
      </c>
      <c r="L760" s="1">
        <v>0.78</v>
      </c>
      <c r="M760" s="1">
        <v>1.02</v>
      </c>
      <c r="N760" s="91">
        <f>(N757*N758*2)+(N757*N759)</f>
        <v>71.936860799999991</v>
      </c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</row>
    <row r="761" spans="1:73" s="1" customFormat="1">
      <c r="E761" s="1">
        <v>0.14000000000000001</v>
      </c>
      <c r="F761" s="4">
        <f>(E761*F760)/E760</f>
        <v>0.18307692307692311</v>
      </c>
      <c r="K761" s="1">
        <v>6.0999999999999899</v>
      </c>
      <c r="L761" s="1">
        <v>0.66</v>
      </c>
      <c r="M761" s="1">
        <v>0.86</v>
      </c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</row>
    <row r="762" spans="1:73" s="1" customFormat="1">
      <c r="K762" s="1">
        <v>4.8999999999999897</v>
      </c>
      <c r="L762" s="1">
        <v>0.53</v>
      </c>
      <c r="M762" s="1">
        <v>0.69</v>
      </c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</row>
    <row r="763" spans="1:73" s="1" customFormat="1">
      <c r="K763" s="1">
        <v>3.69999999999999</v>
      </c>
      <c r="L763" s="1">
        <v>0.4</v>
      </c>
      <c r="M763" s="1">
        <v>0.52</v>
      </c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</row>
    <row r="764" spans="1:73" s="1" customFormat="1">
      <c r="K764" s="1">
        <v>2.5</v>
      </c>
      <c r="L764" s="1">
        <v>0.27</v>
      </c>
      <c r="M764" s="1">
        <v>0.35</v>
      </c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</row>
    <row r="765" spans="1:73" s="1" customFormat="1">
      <c r="I765" s="1">
        <f>13.3/1.2</f>
        <v>11.083333333333334</v>
      </c>
      <c r="K765" s="1">
        <v>1.3</v>
      </c>
      <c r="L765" s="1">
        <v>0.14000000000000001</v>
      </c>
      <c r="M765" s="1">
        <v>0.18</v>
      </c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</row>
    <row r="766" spans="1:73" s="1" customFormat="1">
      <c r="L766" s="1">
        <f>SUM(L755:L765)</f>
        <v>8.6300000000000008</v>
      </c>
      <c r="M766" s="1">
        <f>SUM(M755:M765)</f>
        <v>11.269999999999998</v>
      </c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</row>
    <row r="769" spans="1:73" s="1" customFormat="1">
      <c r="L769" s="1">
        <f>L766+M766</f>
        <v>19.899999999999999</v>
      </c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</row>
    <row r="770" spans="1:73" s="1" customFormat="1" ht="15.75" thickBot="1"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</row>
    <row r="771" spans="1:73" s="1" customFormat="1" ht="19.5" thickBot="1">
      <c r="B771" s="203" t="s">
        <v>204</v>
      </c>
      <c r="C771" s="203"/>
      <c r="D771" s="203"/>
      <c r="E771" s="203"/>
      <c r="F771" s="50">
        <f>E777-I802</f>
        <v>383.40620000000001</v>
      </c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</row>
    <row r="772" spans="1:73" s="1" customFormat="1" ht="17.45" customHeight="1">
      <c r="L772" s="5"/>
      <c r="M772" s="5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</row>
    <row r="773" spans="1:73" s="1" customFormat="1">
      <c r="A773" s="1" t="s">
        <v>205</v>
      </c>
      <c r="C773" s="5" t="s">
        <v>49</v>
      </c>
      <c r="E773" s="1">
        <v>69.7</v>
      </c>
      <c r="F773" s="1">
        <v>70.099999999999994</v>
      </c>
      <c r="G773" s="1">
        <v>0</v>
      </c>
      <c r="H773" s="1">
        <v>0</v>
      </c>
      <c r="M773" s="5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</row>
    <row r="774" spans="1:73" s="1" customFormat="1">
      <c r="A774" s="1" t="s">
        <v>206</v>
      </c>
      <c r="C774" s="5" t="s">
        <v>206</v>
      </c>
      <c r="E774" s="1">
        <v>3.2</v>
      </c>
      <c r="F774" s="1">
        <v>3.35</v>
      </c>
      <c r="G774" s="1">
        <v>3.3</v>
      </c>
      <c r="H774" s="1">
        <v>3.3</v>
      </c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</row>
    <row r="775" spans="1:73" s="1" customFormat="1">
      <c r="E775" s="8">
        <f>E773*E774</f>
        <v>223.04000000000002</v>
      </c>
      <c r="F775" s="8">
        <f>F773*F774</f>
        <v>234.83499999999998</v>
      </c>
      <c r="G775" s="8">
        <f>G773*G774</f>
        <v>0</v>
      </c>
      <c r="H775" s="8">
        <f>H773*H774</f>
        <v>0</v>
      </c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</row>
    <row r="776" spans="1:73" s="1" customFormat="1">
      <c r="A776" s="5" t="s">
        <v>207</v>
      </c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</row>
    <row r="777" spans="1:73" s="1" customFormat="1">
      <c r="A777" s="1" t="s">
        <v>174</v>
      </c>
      <c r="E777" s="92">
        <f>SUM(E775:H775)</f>
        <v>457.875</v>
      </c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</row>
    <row r="779" spans="1:73" s="1" customFormat="1">
      <c r="A779" s="1" t="s">
        <v>50</v>
      </c>
      <c r="F779" s="1" t="s">
        <v>208</v>
      </c>
      <c r="G779" s="1" t="s">
        <v>209</v>
      </c>
      <c r="H779" s="1" t="s">
        <v>52</v>
      </c>
      <c r="K779" s="77" t="s">
        <v>207</v>
      </c>
      <c r="L779" s="93" t="s">
        <v>120</v>
      </c>
      <c r="N779" s="1">
        <v>58.5</v>
      </c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</row>
    <row r="780" spans="1:73" s="1" customFormat="1">
      <c r="A780" s="1" t="s">
        <v>210</v>
      </c>
      <c r="B780" s="1" t="s">
        <v>211</v>
      </c>
      <c r="E780" s="1" t="s">
        <v>212</v>
      </c>
      <c r="F780" s="4">
        <v>0.8</v>
      </c>
      <c r="G780" s="4">
        <v>1.8</v>
      </c>
      <c r="H780" s="1">
        <v>5</v>
      </c>
      <c r="I780" s="4">
        <f t="shared" ref="I780:I799" si="143">F780*G780*H780</f>
        <v>7.2000000000000011</v>
      </c>
      <c r="J780" s="1">
        <f t="shared" ref="J780:J786" si="144">(F780+G780)*2</f>
        <v>5.2</v>
      </c>
      <c r="K780" s="1" t="s">
        <v>49</v>
      </c>
      <c r="L780" s="4">
        <f>I802+(0.4*I802)</f>
        <v>104.25631999999999</v>
      </c>
      <c r="N780" s="1">
        <v>1.2749999999999999</v>
      </c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</row>
    <row r="781" spans="1:73" s="1" customFormat="1">
      <c r="B781" s="1" t="s">
        <v>213</v>
      </c>
      <c r="E781" s="1" t="s">
        <v>214</v>
      </c>
      <c r="F781" s="4">
        <v>0.8</v>
      </c>
      <c r="G781" s="4">
        <v>1.8</v>
      </c>
      <c r="H781" s="1">
        <v>4</v>
      </c>
      <c r="I781" s="4">
        <f t="shared" si="143"/>
        <v>5.7600000000000007</v>
      </c>
      <c r="J781" s="1">
        <f t="shared" si="144"/>
        <v>5.2</v>
      </c>
      <c r="K781" s="1" t="s">
        <v>50</v>
      </c>
      <c r="L781" s="1">
        <v>0.23</v>
      </c>
      <c r="N781" s="8">
        <f>N779*N780</f>
        <v>74.587499999999991</v>
      </c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</row>
    <row r="782" spans="1:73" s="1" customFormat="1">
      <c r="B782" s="1" t="s">
        <v>215</v>
      </c>
      <c r="E782" s="1" t="s">
        <v>216</v>
      </c>
      <c r="F782" s="4">
        <v>2</v>
      </c>
      <c r="G782" s="4">
        <v>1.8</v>
      </c>
      <c r="H782" s="1">
        <v>1</v>
      </c>
      <c r="I782" s="4">
        <f t="shared" si="143"/>
        <v>3.6</v>
      </c>
      <c r="J782" s="1">
        <f t="shared" si="144"/>
        <v>7.6</v>
      </c>
      <c r="K782" s="1" t="s">
        <v>51</v>
      </c>
      <c r="L782" s="1">
        <v>0.23</v>
      </c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</row>
    <row r="783" spans="1:73" s="1" customFormat="1">
      <c r="B783" s="1" t="s">
        <v>217</v>
      </c>
      <c r="E783" s="1" t="s">
        <v>218</v>
      </c>
      <c r="F783" s="4">
        <v>2.4</v>
      </c>
      <c r="G783" s="4">
        <v>1.8</v>
      </c>
      <c r="H783" s="1">
        <v>1</v>
      </c>
      <c r="I783" s="4">
        <f t="shared" si="143"/>
        <v>4.32</v>
      </c>
      <c r="J783" s="1">
        <f t="shared" si="144"/>
        <v>8.4</v>
      </c>
      <c r="L783" s="94">
        <f>ROUNDUP(L780*L781*L782,0)</f>
        <v>6</v>
      </c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</row>
    <row r="784" spans="1:73" s="1" customFormat="1">
      <c r="E784" s="1" t="s">
        <v>219</v>
      </c>
      <c r="F784" s="4">
        <v>1.2</v>
      </c>
      <c r="G784" s="4">
        <v>1.8</v>
      </c>
      <c r="H784" s="1">
        <v>2</v>
      </c>
      <c r="I784" s="4">
        <f t="shared" si="143"/>
        <v>4.32</v>
      </c>
      <c r="J784" s="1">
        <f t="shared" si="144"/>
        <v>6</v>
      </c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</row>
    <row r="785" spans="1:73" s="1" customFormat="1">
      <c r="E785" s="1" t="s">
        <v>220</v>
      </c>
      <c r="F785" s="4">
        <v>1.2</v>
      </c>
      <c r="G785" s="4">
        <v>1.8</v>
      </c>
      <c r="H785" s="1">
        <v>3</v>
      </c>
      <c r="I785" s="4">
        <f t="shared" si="143"/>
        <v>6.48</v>
      </c>
      <c r="J785" s="1">
        <f t="shared" si="144"/>
        <v>6</v>
      </c>
      <c r="P785" s="202" t="s">
        <v>181</v>
      </c>
      <c r="Q785" s="202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</row>
    <row r="786" spans="1:73" s="1" customFormat="1" ht="15" customHeight="1">
      <c r="E786" s="1" t="s">
        <v>221</v>
      </c>
      <c r="F786" s="4">
        <v>1.2</v>
      </c>
      <c r="G786" s="4">
        <v>1.8</v>
      </c>
      <c r="H786" s="1">
        <v>1</v>
      </c>
      <c r="I786" s="4">
        <f t="shared" si="143"/>
        <v>2.16</v>
      </c>
      <c r="J786" s="1">
        <f t="shared" si="144"/>
        <v>6</v>
      </c>
      <c r="M786" s="202" t="s">
        <v>178</v>
      </c>
      <c r="N786" s="202"/>
      <c r="O786" s="202"/>
      <c r="P786" s="4">
        <f>(N787/11)*0.6</f>
        <v>5.6867083636363631</v>
      </c>
      <c r="R786" s="1">
        <v>0.92</v>
      </c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</row>
    <row r="787" spans="1:73" s="1" customFormat="1">
      <c r="F787" s="4">
        <v>0.9</v>
      </c>
      <c r="G787" s="4">
        <v>1.2</v>
      </c>
      <c r="H787" s="1">
        <v>1</v>
      </c>
      <c r="I787" s="4">
        <f t="shared" si="143"/>
        <v>1.08</v>
      </c>
      <c r="N787" s="4">
        <f>L780</f>
        <v>104.25631999999999</v>
      </c>
      <c r="P787" s="4">
        <f>N787+P786</f>
        <v>109.94302836363636</v>
      </c>
      <c r="Q787" s="1" t="s">
        <v>170</v>
      </c>
      <c r="R787" s="12">
        <f>(N787/0.3)+1</f>
        <v>348.52106666666663</v>
      </c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</row>
    <row r="788" spans="1:73" s="1" customFormat="1">
      <c r="E788" s="1" t="s">
        <v>222</v>
      </c>
      <c r="F788" s="4">
        <v>1.5</v>
      </c>
      <c r="G788" s="4">
        <v>0.9</v>
      </c>
      <c r="H788" s="1">
        <v>1</v>
      </c>
      <c r="I788" s="4">
        <f t="shared" si="143"/>
        <v>1.35</v>
      </c>
      <c r="N788" s="1">
        <f>L815</f>
        <v>0.23</v>
      </c>
      <c r="P788" s="8">
        <f>P787*4*0.888</f>
        <v>390.51763674763635</v>
      </c>
      <c r="R788" s="91">
        <f>R786*R787*0.617</f>
        <v>197.83449828266663</v>
      </c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</row>
    <row r="789" spans="1:73" s="1" customFormat="1">
      <c r="E789" s="1" t="s">
        <v>223</v>
      </c>
      <c r="F789" s="4">
        <v>0.91</v>
      </c>
      <c r="G789" s="4">
        <v>2.1</v>
      </c>
      <c r="H789" s="1">
        <v>1</v>
      </c>
      <c r="I789" s="4">
        <f t="shared" si="143"/>
        <v>1.9110000000000003</v>
      </c>
      <c r="N789" s="1">
        <f>L816</f>
        <v>0.23</v>
      </c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</row>
    <row r="790" spans="1:73" s="1" customFormat="1">
      <c r="A790"/>
      <c r="E790" s="1" t="s">
        <v>223</v>
      </c>
      <c r="F790" s="4">
        <v>0.3</v>
      </c>
      <c r="G790" s="4">
        <v>3</v>
      </c>
      <c r="H790" s="1">
        <v>1</v>
      </c>
      <c r="I790" s="4">
        <f t="shared" si="143"/>
        <v>0.89999999999999991</v>
      </c>
      <c r="N790" s="91">
        <f>(N787*N788*2)+(N787*N789)</f>
        <v>71.936860799999991</v>
      </c>
      <c r="P790" s="8"/>
      <c r="R790" s="91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</row>
    <row r="791" spans="1:73" s="1" customFormat="1">
      <c r="A791"/>
      <c r="F791" s="4">
        <v>0.45</v>
      </c>
      <c r="G791" s="4">
        <v>0.9</v>
      </c>
      <c r="H791" s="1">
        <v>1</v>
      </c>
      <c r="I791" s="4">
        <f t="shared" si="143"/>
        <v>0.40500000000000003</v>
      </c>
      <c r="P791" s="8"/>
      <c r="R791" s="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</row>
    <row r="792" spans="1:73" s="1" customFormat="1">
      <c r="A792"/>
      <c r="F792" s="4">
        <v>0.45</v>
      </c>
      <c r="G792" s="4">
        <v>0.9</v>
      </c>
      <c r="H792" s="1">
        <v>2</v>
      </c>
      <c r="I792" s="4">
        <f t="shared" si="143"/>
        <v>0.81</v>
      </c>
      <c r="P792" s="8"/>
      <c r="R792" s="91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</row>
    <row r="793" spans="1:73" s="1" customFormat="1">
      <c r="A793"/>
      <c r="F793" s="4">
        <v>0.61</v>
      </c>
      <c r="G793" s="4">
        <v>1.22</v>
      </c>
      <c r="H793" s="1">
        <v>2</v>
      </c>
      <c r="I793" s="4">
        <f t="shared" si="143"/>
        <v>1.4883999999999999</v>
      </c>
      <c r="P793" s="8"/>
      <c r="R793" s="91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</row>
    <row r="794" spans="1:73" s="1" customFormat="1">
      <c r="A794"/>
      <c r="F794" s="4">
        <v>0.61</v>
      </c>
      <c r="G794" s="4">
        <v>1.22</v>
      </c>
      <c r="H794" s="1">
        <v>2</v>
      </c>
      <c r="I794" s="4">
        <f t="shared" si="143"/>
        <v>1.4883999999999999</v>
      </c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</row>
    <row r="795" spans="1:73" s="1" customFormat="1">
      <c r="A795"/>
      <c r="F795" s="4">
        <v>0.38</v>
      </c>
      <c r="G795" s="4">
        <v>1.1000000000000001</v>
      </c>
      <c r="H795" s="1">
        <v>2</v>
      </c>
      <c r="I795" s="4">
        <f t="shared" si="143"/>
        <v>0.83600000000000008</v>
      </c>
      <c r="N795" s="91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</row>
    <row r="796" spans="1:73" s="1" customFormat="1">
      <c r="A796"/>
      <c r="F796" s="4">
        <v>2.8</v>
      </c>
      <c r="G796" s="4">
        <v>2.4</v>
      </c>
      <c r="H796" s="1">
        <v>3</v>
      </c>
      <c r="I796" s="4">
        <f t="shared" si="143"/>
        <v>20.16</v>
      </c>
      <c r="N796" s="91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</row>
    <row r="797" spans="1:73" s="1" customFormat="1">
      <c r="A797"/>
      <c r="F797" s="4">
        <v>0.75</v>
      </c>
      <c r="G797" s="4">
        <v>2.4</v>
      </c>
      <c r="H797" s="1">
        <v>2</v>
      </c>
      <c r="I797" s="4">
        <f t="shared" si="143"/>
        <v>3.5999999999999996</v>
      </c>
      <c r="N797" s="91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</row>
    <row r="798" spans="1:73" s="1" customFormat="1">
      <c r="A798"/>
      <c r="F798" s="4">
        <v>1.2</v>
      </c>
      <c r="G798" s="4">
        <v>2.35</v>
      </c>
      <c r="H798" s="1">
        <v>1</v>
      </c>
      <c r="I798" s="4">
        <f t="shared" si="143"/>
        <v>2.82</v>
      </c>
      <c r="N798" s="91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</row>
    <row r="799" spans="1:73" s="1" customFormat="1">
      <c r="A799"/>
      <c r="F799" s="4">
        <v>0.9</v>
      </c>
      <c r="G799" s="4">
        <v>2.1</v>
      </c>
      <c r="H799" s="1">
        <v>2</v>
      </c>
      <c r="I799" s="4">
        <f t="shared" si="143"/>
        <v>3.7800000000000002</v>
      </c>
      <c r="N799" s="91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</row>
    <row r="800" spans="1:73" s="1" customFormat="1">
      <c r="A800"/>
      <c r="F800" s="4"/>
      <c r="G800" s="4"/>
      <c r="I800" s="4"/>
      <c r="N800" s="91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</row>
    <row r="801" spans="1:73" s="1" customFormat="1">
      <c r="A801"/>
      <c r="N801" s="9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</row>
    <row r="802" spans="1:73" s="1" customFormat="1">
      <c r="A802"/>
      <c r="I802" s="8">
        <f>SUM(I780:I799)</f>
        <v>74.468799999999987</v>
      </c>
      <c r="N802" s="91"/>
      <c r="P802" s="8"/>
      <c r="R802" s="91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</row>
    <row r="804" spans="1:73" s="1" customFormat="1" ht="15.75" thickBot="1">
      <c r="A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</row>
    <row r="805" spans="1:73" s="1" customFormat="1" ht="19.5" thickBot="1">
      <c r="A805"/>
      <c r="B805" s="203" t="s">
        <v>224</v>
      </c>
      <c r="C805" s="203"/>
      <c r="D805" s="203"/>
      <c r="E805" s="203"/>
      <c r="F805" s="50">
        <f>E811-I826</f>
        <v>54.265000000000001</v>
      </c>
      <c r="N805" s="1">
        <v>58.5</v>
      </c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</row>
    <row r="806" spans="1:73" s="1" customFormat="1">
      <c r="A806"/>
      <c r="L806" s="5" t="s">
        <v>225</v>
      </c>
      <c r="M806" s="5" t="s">
        <v>49</v>
      </c>
      <c r="N806" s="1">
        <v>1.2749999999999999</v>
      </c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</row>
    <row r="807" spans="1:73" s="1" customFormat="1">
      <c r="A807"/>
      <c r="C807" s="5" t="s">
        <v>49</v>
      </c>
      <c r="E807" s="1">
        <v>16.899999999999999</v>
      </c>
      <c r="F807" s="1">
        <v>2.5</v>
      </c>
      <c r="G807" s="1">
        <v>0</v>
      </c>
      <c r="H807" s="1">
        <v>0</v>
      </c>
      <c r="M807" s="5" t="s">
        <v>206</v>
      </c>
      <c r="N807" s="8">
        <f>N805*N806</f>
        <v>74.587499999999991</v>
      </c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</row>
    <row r="808" spans="1:73" s="1" customFormat="1">
      <c r="A808"/>
      <c r="C808" s="5" t="s">
        <v>206</v>
      </c>
      <c r="E808" s="1">
        <f>E774</f>
        <v>3.2</v>
      </c>
      <c r="F808" s="1">
        <f>F774</f>
        <v>3.35</v>
      </c>
      <c r="G808" s="1">
        <f>G774</f>
        <v>3.3</v>
      </c>
      <c r="H808" s="1">
        <f>H774</f>
        <v>3.3</v>
      </c>
      <c r="I808" s="95" t="s">
        <v>226</v>
      </c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</row>
    <row r="809" spans="1:73" s="1" customFormat="1">
      <c r="A809"/>
      <c r="E809" s="8">
        <f>E807*E808</f>
        <v>54.08</v>
      </c>
      <c r="F809" s="8">
        <f>F807*F808</f>
        <v>8.375</v>
      </c>
      <c r="G809" s="8">
        <f>G807*G808</f>
        <v>0</v>
      </c>
      <c r="H809" s="8">
        <f>H807*H808</f>
        <v>0</v>
      </c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</row>
    <row r="811" spans="1:73" s="1" customFormat="1">
      <c r="A811"/>
      <c r="E811" s="92">
        <f>SUM(E809:H809)</f>
        <v>62.454999999999998</v>
      </c>
      <c r="P811" s="1" t="s">
        <v>181</v>
      </c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</row>
    <row r="812" spans="1:73" s="1" customFormat="1">
      <c r="A812"/>
      <c r="N812" s="93" t="s">
        <v>178</v>
      </c>
      <c r="P812" s="4">
        <f>(N813/11)*0.6</f>
        <v>0.62541818181818176</v>
      </c>
      <c r="R812" s="1">
        <v>0.92</v>
      </c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</row>
    <row r="813" spans="1:73" s="1" customFormat="1">
      <c r="A813"/>
      <c r="F813" s="1" t="s">
        <v>208</v>
      </c>
      <c r="G813" s="1" t="s">
        <v>209</v>
      </c>
      <c r="H813" s="1" t="s">
        <v>52</v>
      </c>
      <c r="K813" s="77" t="s">
        <v>207</v>
      </c>
      <c r="L813" s="93" t="s">
        <v>120</v>
      </c>
      <c r="N813" s="4">
        <f>L814</f>
        <v>11.466000000000001</v>
      </c>
      <c r="P813" s="4">
        <f>N813+P812</f>
        <v>12.091418181818183</v>
      </c>
      <c r="Q813" s="1" t="s">
        <v>170</v>
      </c>
      <c r="R813" s="12">
        <f>(N813/0.3)+1</f>
        <v>39.220000000000006</v>
      </c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</row>
    <row r="814" spans="1:73" s="1" customFormat="1">
      <c r="A814"/>
      <c r="B814" s="1" t="s">
        <v>211</v>
      </c>
      <c r="E814" s="1" t="s">
        <v>227</v>
      </c>
      <c r="F814" s="4">
        <v>0.9</v>
      </c>
      <c r="G814" s="4">
        <v>2.1</v>
      </c>
      <c r="H814" s="1">
        <v>1</v>
      </c>
      <c r="I814" s="4">
        <f t="shared" ref="I814:I825" si="145">F814*G814*H814</f>
        <v>1.8900000000000001</v>
      </c>
      <c r="K814" s="1" t="s">
        <v>49</v>
      </c>
      <c r="L814" s="4">
        <f>I826+(0.4*I826)</f>
        <v>11.466000000000001</v>
      </c>
      <c r="N814" s="1">
        <f>L837</f>
        <v>0.23</v>
      </c>
      <c r="P814" s="4"/>
      <c r="R814" s="12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</row>
    <row r="815" spans="1:73" s="1" customFormat="1">
      <c r="A815"/>
      <c r="B815" s="1" t="s">
        <v>213</v>
      </c>
      <c r="E815" s="1" t="s">
        <v>228</v>
      </c>
      <c r="F815" s="4">
        <v>0.75</v>
      </c>
      <c r="G815" s="4">
        <v>2.1</v>
      </c>
      <c r="H815" s="1">
        <v>4</v>
      </c>
      <c r="I815" s="4">
        <f t="shared" si="145"/>
        <v>6.3000000000000007</v>
      </c>
      <c r="K815" s="1" t="s">
        <v>50</v>
      </c>
      <c r="L815" s="1">
        <v>0.23</v>
      </c>
      <c r="N815" s="1">
        <f>L838</f>
        <v>0.23</v>
      </c>
      <c r="P815" s="4"/>
      <c r="R815" s="12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</row>
    <row r="816" spans="1:73" s="1" customFormat="1">
      <c r="A816"/>
      <c r="B816" s="1" t="s">
        <v>215</v>
      </c>
      <c r="E816" s="1" t="s">
        <v>229</v>
      </c>
      <c r="F816" s="4">
        <v>0.9</v>
      </c>
      <c r="G816" s="4">
        <v>2.1</v>
      </c>
      <c r="I816" s="4">
        <f t="shared" si="145"/>
        <v>0</v>
      </c>
      <c r="K816" s="1" t="s">
        <v>51</v>
      </c>
      <c r="L816" s="1">
        <v>0.23</v>
      </c>
      <c r="N816" s="91">
        <f>(N813*N814*2)+(N813*N815)</f>
        <v>7.9115400000000005</v>
      </c>
      <c r="P816" s="4"/>
      <c r="R816" s="12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</row>
    <row r="817" spans="1:73" s="1" customFormat="1">
      <c r="A817"/>
      <c r="B817" s="1" t="s">
        <v>215</v>
      </c>
      <c r="E817" s="1" t="s">
        <v>229</v>
      </c>
      <c r="F817" s="4">
        <v>1.2</v>
      </c>
      <c r="G817" s="4">
        <v>2.4</v>
      </c>
      <c r="I817" s="4">
        <f t="shared" si="145"/>
        <v>0</v>
      </c>
      <c r="L817" s="94">
        <f>ROUNDUP(L814*L815*L816,0)</f>
        <v>1</v>
      </c>
      <c r="P817" s="8">
        <f>P813*4</f>
        <v>48.365672727272731</v>
      </c>
      <c r="R817" s="91">
        <f>R812*R813</f>
        <v>36.082400000000007</v>
      </c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</row>
    <row r="818" spans="1:73" s="1" customFormat="1">
      <c r="A818"/>
      <c r="B818" s="1" t="s">
        <v>215</v>
      </c>
      <c r="E818" s="1" t="s">
        <v>229</v>
      </c>
      <c r="F818" s="4">
        <v>1.28</v>
      </c>
      <c r="G818" s="4">
        <v>2.33</v>
      </c>
      <c r="I818" s="4">
        <f t="shared" si="145"/>
        <v>0</v>
      </c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</row>
    <row r="819" spans="1:73" s="1" customFormat="1">
      <c r="A819"/>
      <c r="B819" s="1" t="s">
        <v>215</v>
      </c>
      <c r="E819" s="1" t="s">
        <v>229</v>
      </c>
      <c r="F819" s="4">
        <v>4.29</v>
      </c>
      <c r="G819" s="4">
        <v>2.33</v>
      </c>
      <c r="I819" s="4">
        <f t="shared" si="145"/>
        <v>0</v>
      </c>
      <c r="N819" s="91"/>
      <c r="O819" s="1" t="s">
        <v>68</v>
      </c>
      <c r="P819" s="8">
        <f>P817*0.888</f>
        <v>42.948717381818184</v>
      </c>
      <c r="Q819" s="1" t="s">
        <v>108</v>
      </c>
      <c r="R819" s="91">
        <f>R817*0.617</f>
        <v>22.262840800000003</v>
      </c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</row>
    <row r="820" spans="1:73" s="1" customFormat="1">
      <c r="A820"/>
      <c r="B820" s="1" t="s">
        <v>215</v>
      </c>
      <c r="E820" s="1" t="s">
        <v>229</v>
      </c>
      <c r="F820" s="4">
        <v>2.4</v>
      </c>
      <c r="G820" s="4">
        <v>2.33</v>
      </c>
      <c r="I820" s="4">
        <f t="shared" si="145"/>
        <v>0</v>
      </c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</row>
    <row r="821" spans="1:73" s="1" customFormat="1">
      <c r="A821"/>
      <c r="F821" s="4">
        <v>1.2</v>
      </c>
      <c r="G821" s="4">
        <v>2.33</v>
      </c>
      <c r="I821" s="4">
        <f t="shared" si="145"/>
        <v>0</v>
      </c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</row>
    <row r="822" spans="1:73" s="1" customFormat="1">
      <c r="A822"/>
      <c r="B822" s="1" t="s">
        <v>217</v>
      </c>
      <c r="E822" s="1" t="s">
        <v>223</v>
      </c>
      <c r="F822" s="4">
        <v>0.97</v>
      </c>
      <c r="G822" s="4">
        <v>2.33</v>
      </c>
      <c r="I822" s="4">
        <f t="shared" si="145"/>
        <v>0</v>
      </c>
      <c r="L822" s="8">
        <f>ROUNDUP(L814*L815*L816,0)</f>
        <v>1</v>
      </c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</row>
    <row r="823" spans="1:73" s="1" customFormat="1">
      <c r="A823"/>
      <c r="F823" s="4">
        <v>1.27</v>
      </c>
      <c r="G823" s="4">
        <v>2.33</v>
      </c>
      <c r="I823" s="4">
        <f t="shared" si="145"/>
        <v>0</v>
      </c>
      <c r="L823" s="8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</row>
    <row r="824" spans="1:73" s="1" customFormat="1">
      <c r="A824"/>
      <c r="F824" s="4">
        <v>1.2</v>
      </c>
      <c r="G824" s="4">
        <v>1.8</v>
      </c>
      <c r="I824" s="4">
        <f t="shared" si="145"/>
        <v>0</v>
      </c>
      <c r="L824" s="8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</row>
    <row r="825" spans="1:73" s="1" customFormat="1">
      <c r="A825"/>
      <c r="F825" s="4">
        <v>0.6</v>
      </c>
      <c r="G825" s="4">
        <v>0.9</v>
      </c>
      <c r="I825" s="4">
        <f t="shared" si="145"/>
        <v>0</v>
      </c>
      <c r="L825" s="8"/>
      <c r="P825" s="4">
        <f>P819+P837</f>
        <v>173.05815963927273</v>
      </c>
      <c r="R825" s="4">
        <f>R819+R837</f>
        <v>89.995341116000006</v>
      </c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</row>
    <row r="826" spans="1:73" s="1" customFormat="1" ht="15.75" thickBot="1">
      <c r="A826"/>
      <c r="I826" s="8">
        <f>SUM(I814:I825)</f>
        <v>8.1900000000000013</v>
      </c>
      <c r="N826" s="1">
        <v>58.5</v>
      </c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</row>
    <row r="827" spans="1:73" s="1" customFormat="1" ht="19.5" thickBot="1">
      <c r="A827"/>
      <c r="B827" s="203" t="s">
        <v>230</v>
      </c>
      <c r="C827" s="203"/>
      <c r="D827" s="203"/>
      <c r="E827" s="203"/>
      <c r="F827" s="50">
        <f>E833-I843</f>
        <v>254.78910000000002</v>
      </c>
      <c r="G827" s="4"/>
      <c r="I827" s="4"/>
      <c r="N827" s="1">
        <v>1.2749999999999999</v>
      </c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</row>
    <row r="828" spans="1:73" s="1" customFormat="1">
      <c r="A828"/>
      <c r="L828" s="5" t="s">
        <v>225</v>
      </c>
      <c r="M828" s="5" t="s">
        <v>49</v>
      </c>
      <c r="N828" s="8">
        <f>N826*N827</f>
        <v>74.587499999999991</v>
      </c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</row>
    <row r="829" spans="1:73" s="1" customFormat="1">
      <c r="A829"/>
      <c r="C829" s="5" t="s">
        <v>49</v>
      </c>
      <c r="E829" s="1">
        <v>38.799999999999997</v>
      </c>
      <c r="F829" s="1">
        <v>46.4</v>
      </c>
      <c r="G829" s="1">
        <v>0</v>
      </c>
      <c r="H829" s="1">
        <v>0</v>
      </c>
      <c r="M829" s="5" t="s">
        <v>206</v>
      </c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</row>
    <row r="830" spans="1:73" s="1" customFormat="1">
      <c r="A830"/>
      <c r="C830" s="5" t="s">
        <v>206</v>
      </c>
      <c r="E830" s="1">
        <f>E774</f>
        <v>3.2</v>
      </c>
      <c r="F830" s="1">
        <f>F774</f>
        <v>3.35</v>
      </c>
      <c r="G830" s="1">
        <v>3</v>
      </c>
      <c r="H830" s="1">
        <v>3</v>
      </c>
      <c r="I830" s="95" t="s">
        <v>226</v>
      </c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</row>
    <row r="831" spans="1:73" s="1" customFormat="1">
      <c r="A831"/>
      <c r="E831" s="8">
        <f>E829*E830</f>
        <v>124.16</v>
      </c>
      <c r="F831" s="8">
        <f>F829*F830</f>
        <v>155.44</v>
      </c>
      <c r="G831" s="8">
        <f>G829*G830</f>
        <v>0</v>
      </c>
      <c r="H831" s="8">
        <f>H829*H830</f>
        <v>0</v>
      </c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</row>
    <row r="832" spans="1:73" s="1" customFormat="1">
      <c r="A832"/>
      <c r="P832" s="1" t="s">
        <v>181</v>
      </c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</row>
    <row r="833" spans="1:73" s="1" customFormat="1">
      <c r="A833"/>
      <c r="E833" s="92">
        <f>SUM(E831:H831)</f>
        <v>279.60000000000002</v>
      </c>
      <c r="N833" s="93" t="s">
        <v>178</v>
      </c>
      <c r="P833" s="4">
        <f>(N834/11)*0.6</f>
        <v>1.8946505454545455</v>
      </c>
      <c r="R833" s="1">
        <v>0.94</v>
      </c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</row>
    <row r="834" spans="1:73" s="1" customFormat="1">
      <c r="A834"/>
      <c r="N834" s="4">
        <f>L836</f>
        <v>34.735260000000004</v>
      </c>
      <c r="P834" s="4">
        <f>N834+P833</f>
        <v>36.62991054545455</v>
      </c>
      <c r="Q834" s="1" t="s">
        <v>170</v>
      </c>
      <c r="R834" s="12">
        <f>(N834/0.3)+1</f>
        <v>116.78420000000001</v>
      </c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</row>
    <row r="835" spans="1:73" s="1" customFormat="1">
      <c r="A835"/>
      <c r="F835" s="1" t="s">
        <v>208</v>
      </c>
      <c r="G835" s="1" t="s">
        <v>209</v>
      </c>
      <c r="H835" s="1" t="s">
        <v>52</v>
      </c>
      <c r="K835" s="77" t="s">
        <v>207</v>
      </c>
      <c r="L835" s="93" t="s">
        <v>120</v>
      </c>
      <c r="N835" s="1">
        <f>L858</f>
        <v>0.23</v>
      </c>
      <c r="P835" s="8">
        <f>P834*4</f>
        <v>146.5196421818182</v>
      </c>
      <c r="R835" s="91">
        <f>R833*R834</f>
        <v>109.77714800000001</v>
      </c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</row>
    <row r="836" spans="1:73" s="1" customFormat="1">
      <c r="A836"/>
      <c r="B836" s="1" t="s">
        <v>211</v>
      </c>
      <c r="E836" s="1" t="s">
        <v>227</v>
      </c>
      <c r="F836" s="4">
        <v>2.8</v>
      </c>
      <c r="G836" s="4">
        <v>2.4</v>
      </c>
      <c r="I836" s="4">
        <f t="shared" ref="I836:I842" si="146">F836*G836*H836</f>
        <v>0</v>
      </c>
      <c r="K836" s="1" t="s">
        <v>49</v>
      </c>
      <c r="L836" s="4">
        <f>I843+(0.4*I843)</f>
        <v>34.735260000000004</v>
      </c>
      <c r="N836" s="1">
        <f>L859</f>
        <v>0.23</v>
      </c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</row>
    <row r="837" spans="1:73" s="1" customFormat="1">
      <c r="A837"/>
      <c r="B837" s="1" t="s">
        <v>213</v>
      </c>
      <c r="E837" s="1" t="s">
        <v>228</v>
      </c>
      <c r="F837" s="4">
        <v>0.75</v>
      </c>
      <c r="G837" s="4">
        <v>2.4</v>
      </c>
      <c r="H837" s="1">
        <v>5</v>
      </c>
      <c r="I837" s="4">
        <f t="shared" si="146"/>
        <v>9</v>
      </c>
      <c r="K837" s="1" t="s">
        <v>50</v>
      </c>
      <c r="L837" s="1">
        <v>0.23</v>
      </c>
      <c r="N837" s="91">
        <f>(N834*N835*2)+(N834*N836)</f>
        <v>23.967329400000004</v>
      </c>
      <c r="O837" s="1" t="s">
        <v>68</v>
      </c>
      <c r="P837" s="8">
        <f>P835*0.888</f>
        <v>130.10944225745456</v>
      </c>
      <c r="Q837" s="1" t="s">
        <v>108</v>
      </c>
      <c r="R837" s="91">
        <f>R835*0.617</f>
        <v>67.732500315999999</v>
      </c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</row>
    <row r="838" spans="1:73" s="1" customFormat="1">
      <c r="A838"/>
      <c r="F838" s="4">
        <v>1.2</v>
      </c>
      <c r="G838" s="4">
        <v>2.35</v>
      </c>
      <c r="I838" s="4">
        <f t="shared" si="146"/>
        <v>0</v>
      </c>
      <c r="K838" s="1" t="s">
        <v>51</v>
      </c>
      <c r="L838" s="1">
        <v>0.23</v>
      </c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</row>
    <row r="839" spans="1:73" s="1" customFormat="1">
      <c r="A839"/>
      <c r="F839" s="4">
        <v>0.9</v>
      </c>
      <c r="G839" s="4">
        <v>2.1</v>
      </c>
      <c r="H839" s="1">
        <v>5</v>
      </c>
      <c r="I839" s="4">
        <f t="shared" si="146"/>
        <v>9.4500000000000011</v>
      </c>
      <c r="L839" s="94">
        <f>ROUNDUP(L836*L837*L838,0)</f>
        <v>2</v>
      </c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</row>
    <row r="840" spans="1:73" s="1" customFormat="1">
      <c r="A840"/>
      <c r="F840" s="4">
        <v>1.83</v>
      </c>
      <c r="G840" s="4">
        <v>2.33</v>
      </c>
      <c r="H840" s="1">
        <v>1</v>
      </c>
      <c r="I840" s="4">
        <f t="shared" si="146"/>
        <v>4.2639000000000005</v>
      </c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</row>
    <row r="841" spans="1:73" s="1" customFormat="1">
      <c r="A841"/>
      <c r="B841" s="1" t="s">
        <v>215</v>
      </c>
      <c r="E841" s="1" t="s">
        <v>229</v>
      </c>
      <c r="F841" s="4">
        <v>0.9</v>
      </c>
      <c r="G841" s="4">
        <v>2.33</v>
      </c>
      <c r="H841" s="1">
        <v>1</v>
      </c>
      <c r="I841" s="4">
        <f t="shared" si="146"/>
        <v>2.097</v>
      </c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</row>
    <row r="842" spans="1:73" s="1" customFormat="1">
      <c r="A842"/>
      <c r="B842" s="1" t="s">
        <v>217</v>
      </c>
      <c r="E842" s="1" t="s">
        <v>223</v>
      </c>
      <c r="F842" s="4">
        <v>0.75</v>
      </c>
      <c r="G842" s="4">
        <v>2.1</v>
      </c>
      <c r="I842" s="4">
        <f t="shared" si="146"/>
        <v>0</v>
      </c>
      <c r="L842" s="8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</row>
    <row r="843" spans="1:73" s="1" customFormat="1">
      <c r="A843"/>
      <c r="I843" s="8">
        <f>SUM(I836:I842)</f>
        <v>24.810900000000004</v>
      </c>
      <c r="R843" s="1">
        <v>457.8</v>
      </c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</row>
    <row r="844" spans="1:73" s="1" customFormat="1">
      <c r="A844"/>
      <c r="F844" s="4"/>
      <c r="G844" s="4"/>
      <c r="I844" s="4"/>
      <c r="R844" s="1">
        <v>7.56</v>
      </c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</row>
    <row r="845" spans="1:73" s="1" customFormat="1">
      <c r="A845"/>
      <c r="F845" s="4"/>
      <c r="G845" s="4"/>
      <c r="I845" s="4"/>
      <c r="R845" s="1">
        <v>28.35</v>
      </c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</row>
    <row r="846" spans="1:73" s="1" customFormat="1">
      <c r="A846"/>
      <c r="G846" s="5" t="s">
        <v>231</v>
      </c>
      <c r="I846" s="1" t="s">
        <v>232</v>
      </c>
      <c r="R846" s="1">
        <v>5.4</v>
      </c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</row>
    <row r="847" spans="1:73" s="1" customFormat="1">
      <c r="A847"/>
      <c r="C847" s="5" t="s">
        <v>233</v>
      </c>
      <c r="D847" s="4">
        <f>F827*2</f>
        <v>509.57820000000004</v>
      </c>
      <c r="E847" s="91">
        <f>D847+D848</f>
        <v>509.57820000000004</v>
      </c>
      <c r="R847" s="1">
        <f>R843-R844-R845-R846</f>
        <v>416.49</v>
      </c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</row>
    <row r="849" spans="1:73" s="1" customFormat="1">
      <c r="A849"/>
      <c r="G849" s="5" t="s">
        <v>230</v>
      </c>
      <c r="I849" s="84">
        <f>E854-I861</f>
        <v>189.7</v>
      </c>
      <c r="L849" s="5" t="s">
        <v>225</v>
      </c>
      <c r="M849" s="5" t="s">
        <v>49</v>
      </c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</row>
    <row r="850" spans="1:73" s="1" customFormat="1">
      <c r="A850"/>
      <c r="C850" s="5" t="s">
        <v>49</v>
      </c>
      <c r="E850" s="1">
        <v>32.6</v>
      </c>
      <c r="F850" s="1">
        <v>30</v>
      </c>
      <c r="G850" s="1">
        <v>0</v>
      </c>
      <c r="H850" s="1">
        <v>0</v>
      </c>
      <c r="M850" s="5" t="s">
        <v>206</v>
      </c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</row>
    <row r="851" spans="1:73" s="1" customFormat="1">
      <c r="A851"/>
      <c r="C851" s="5" t="s">
        <v>206</v>
      </c>
      <c r="E851" s="1">
        <f>E830</f>
        <v>3.2</v>
      </c>
      <c r="F851" s="1">
        <f>F830</f>
        <v>3.35</v>
      </c>
      <c r="G851" s="1">
        <v>3</v>
      </c>
      <c r="H851" s="1">
        <v>3</v>
      </c>
      <c r="N851" s="1">
        <v>9.15</v>
      </c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</row>
    <row r="852" spans="1:73" s="1" customFormat="1">
      <c r="A852"/>
      <c r="E852" s="8">
        <f>E850*E851</f>
        <v>104.32000000000001</v>
      </c>
      <c r="F852" s="8">
        <f>F850*F851</f>
        <v>100.5</v>
      </c>
      <c r="G852" s="8">
        <f>G850*G851</f>
        <v>0</v>
      </c>
      <c r="H852" s="8">
        <f>H850*H851</f>
        <v>0</v>
      </c>
      <c r="N852" s="1">
        <v>7.79</v>
      </c>
      <c r="P852" s="1">
        <v>21.85</v>
      </c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</row>
    <row r="853" spans="1:73" s="1" customFormat="1">
      <c r="A853"/>
      <c r="N853" s="1">
        <v>10.11</v>
      </c>
      <c r="P853" s="1">
        <v>3</v>
      </c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</row>
    <row r="854" spans="1:73" s="1" customFormat="1">
      <c r="A854"/>
      <c r="E854" s="92">
        <f>SUM(E852:H852)</f>
        <v>204.82</v>
      </c>
      <c r="N854" s="1">
        <v>9.43</v>
      </c>
      <c r="P854" s="5">
        <f>P852*P853</f>
        <v>65.550000000000011</v>
      </c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</row>
    <row r="855" spans="1:73" s="1" customFormat="1">
      <c r="A855"/>
      <c r="N855" s="1">
        <v>7.15</v>
      </c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</row>
    <row r="856" spans="1:73" s="1" customFormat="1">
      <c r="A856"/>
      <c r="F856" s="1" t="s">
        <v>208</v>
      </c>
      <c r="G856" s="1" t="s">
        <v>209</v>
      </c>
      <c r="H856" s="1" t="s">
        <v>52</v>
      </c>
      <c r="K856" s="77" t="s">
        <v>207</v>
      </c>
      <c r="L856" s="93" t="s">
        <v>120</v>
      </c>
      <c r="N856" s="1">
        <v>6.31</v>
      </c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</row>
    <row r="857" spans="1:73" s="1" customFormat="1">
      <c r="A857"/>
      <c r="B857" s="1" t="s">
        <v>211</v>
      </c>
      <c r="E857" s="1" t="s">
        <v>227</v>
      </c>
      <c r="F857" s="4">
        <v>1.5</v>
      </c>
      <c r="G857" s="4">
        <v>2.1</v>
      </c>
      <c r="H857" s="1">
        <v>0</v>
      </c>
      <c r="I857" s="4">
        <f>F857*G857*H857</f>
        <v>0</v>
      </c>
      <c r="K857" s="1" t="s">
        <v>49</v>
      </c>
      <c r="L857" s="1">
        <f>(8*F859)</f>
        <v>7.2</v>
      </c>
      <c r="N857" s="1">
        <f>SUM(N851:N856)</f>
        <v>49.940000000000005</v>
      </c>
      <c r="O857" s="1" t="s">
        <v>229</v>
      </c>
      <c r="P857" s="4">
        <v>0.9</v>
      </c>
      <c r="Q857" s="4">
        <v>2.1</v>
      </c>
      <c r="R857" s="1">
        <v>2</v>
      </c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</row>
    <row r="858" spans="1:73" s="1" customFormat="1">
      <c r="A858"/>
      <c r="B858" s="1" t="s">
        <v>213</v>
      </c>
      <c r="E858" s="1" t="s">
        <v>228</v>
      </c>
      <c r="F858" s="4">
        <v>1.5</v>
      </c>
      <c r="G858" s="4">
        <v>2.5</v>
      </c>
      <c r="H858" s="1">
        <v>0</v>
      </c>
      <c r="I858" s="4">
        <f>F858*G858*H858</f>
        <v>0</v>
      </c>
      <c r="K858" s="1" t="s">
        <v>50</v>
      </c>
      <c r="L858" s="1">
        <v>0.23</v>
      </c>
      <c r="N858" s="1">
        <v>3</v>
      </c>
      <c r="O858" s="1" t="s">
        <v>216</v>
      </c>
      <c r="P858" s="4">
        <v>1.2</v>
      </c>
      <c r="Q858" s="4">
        <v>0.9</v>
      </c>
      <c r="R858" s="1">
        <v>1</v>
      </c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</row>
    <row r="859" spans="1:73" s="1" customFormat="1">
      <c r="A859"/>
      <c r="B859" s="1" t="s">
        <v>215</v>
      </c>
      <c r="E859" s="1" t="s">
        <v>229</v>
      </c>
      <c r="F859" s="4">
        <v>0.9</v>
      </c>
      <c r="G859" s="4">
        <v>2.1</v>
      </c>
      <c r="H859" s="1">
        <v>8</v>
      </c>
      <c r="I859" s="4">
        <f>F859*G859*H859</f>
        <v>15.120000000000001</v>
      </c>
      <c r="K859" s="1" t="s">
        <v>51</v>
      </c>
      <c r="L859" s="1">
        <v>0.23</v>
      </c>
      <c r="N859" s="5">
        <f>N857*N858</f>
        <v>149.82000000000002</v>
      </c>
      <c r="O859" s="1" t="s">
        <v>212</v>
      </c>
      <c r="P859" s="4">
        <v>0.6</v>
      </c>
      <c r="Q859" s="4">
        <v>0.6</v>
      </c>
      <c r="R859" s="1">
        <v>6</v>
      </c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</row>
    <row r="860" spans="1:73" s="1" customFormat="1">
      <c r="A860"/>
      <c r="B860" s="1" t="s">
        <v>217</v>
      </c>
      <c r="E860" s="1" t="s">
        <v>223</v>
      </c>
      <c r="F860" s="4">
        <v>0.75</v>
      </c>
      <c r="G860" s="4">
        <v>2.1</v>
      </c>
      <c r="H860" s="1">
        <v>0</v>
      </c>
      <c r="I860" s="4">
        <f>F860*G860*H860</f>
        <v>0</v>
      </c>
      <c r="L860" s="8">
        <f>ROUNDUP(L857*L858*L859,0)</f>
        <v>1</v>
      </c>
      <c r="O860" s="1" t="s">
        <v>223</v>
      </c>
      <c r="P860" s="4">
        <v>0.75</v>
      </c>
      <c r="Q860" s="4">
        <v>2.1</v>
      </c>
      <c r="R860" s="1">
        <v>6</v>
      </c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</row>
    <row r="861" spans="1:73" s="1" customFormat="1">
      <c r="A861"/>
      <c r="I861" s="8">
        <f>SUM(I857:I860)</f>
        <v>15.120000000000001</v>
      </c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</row>
    <row r="862" spans="1:73" s="1" customFormat="1">
      <c r="A862"/>
      <c r="F862" s="4"/>
      <c r="G862" s="4"/>
      <c r="I862" s="4"/>
      <c r="P862" s="1">
        <f>N859+P854</f>
        <v>215.37000000000003</v>
      </c>
      <c r="V862" s="1">
        <v>1.2</v>
      </c>
      <c r="W862" s="1">
        <v>2.85</v>
      </c>
      <c r="X862" s="1">
        <f>W862*V862*3</f>
        <v>10.26</v>
      </c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</row>
    <row r="863" spans="1:73" s="1" customFormat="1">
      <c r="A863"/>
      <c r="F863" s="4"/>
      <c r="G863" s="4"/>
      <c r="I863" s="4"/>
      <c r="P863" s="1">
        <f>P862-S885</f>
        <v>198.90000000000003</v>
      </c>
      <c r="V863" s="1">
        <v>1.2</v>
      </c>
      <c r="W863" s="1">
        <v>4.5</v>
      </c>
      <c r="X863" s="1">
        <f>W863*V863*3</f>
        <v>16.2</v>
      </c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</row>
    <row r="864" spans="1:73" s="1" customFormat="1">
      <c r="A864"/>
      <c r="G864" s="5" t="s">
        <v>231</v>
      </c>
      <c r="I864" s="1" t="s">
        <v>232</v>
      </c>
      <c r="P864" s="1">
        <f>P863*6</f>
        <v>1193.4000000000001</v>
      </c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</row>
    <row r="865" spans="1:73" s="1" customFormat="1">
      <c r="A865"/>
      <c r="C865" s="5" t="s">
        <v>233</v>
      </c>
      <c r="D865" s="4">
        <f>I849*2</f>
        <v>379.4</v>
      </c>
      <c r="E865" s="91">
        <f>D865+D867+D866</f>
        <v>1272.3843999999999</v>
      </c>
      <c r="X865" s="1">
        <f>SUM(X862:X863)</f>
        <v>26.46</v>
      </c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</row>
    <row r="866" spans="1:73" s="1" customFormat="1">
      <c r="A866"/>
      <c r="C866" s="5"/>
      <c r="D866" s="4">
        <f>F827*2</f>
        <v>509.57820000000004</v>
      </c>
      <c r="E866" s="91"/>
      <c r="T866" s="1">
        <v>0.5</v>
      </c>
      <c r="U866" s="1">
        <v>0.15</v>
      </c>
      <c r="V866" s="1">
        <v>0.3</v>
      </c>
      <c r="W866" s="1">
        <v>37</v>
      </c>
      <c r="X866" s="1">
        <v>3</v>
      </c>
      <c r="Y866" s="1">
        <f>X866*W866*V866*T866*U866</f>
        <v>2.4974999999999996</v>
      </c>
      <c r="Z866" s="1">
        <f>Y866*0.3</f>
        <v>0.74924999999999986</v>
      </c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</row>
    <row r="867" spans="1:73" s="1" customFormat="1">
      <c r="A867"/>
      <c r="D867" s="4">
        <f>F771</f>
        <v>383.40620000000001</v>
      </c>
      <c r="V867" s="1">
        <v>1.28</v>
      </c>
      <c r="W867" s="1">
        <v>39</v>
      </c>
      <c r="X867" s="1">
        <v>3</v>
      </c>
      <c r="Y867" s="1">
        <f>X867*W867*V867</f>
        <v>149.76</v>
      </c>
      <c r="Z867" s="1">
        <f>Y867*0.15</f>
        <v>22.463999999999999</v>
      </c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</row>
    <row r="868" spans="1:73" s="1" customFormat="1">
      <c r="A868"/>
      <c r="D868" s="8"/>
      <c r="E868" s="5" t="s">
        <v>36</v>
      </c>
      <c r="N868" s="8">
        <f>M889-M893</f>
        <v>64.2</v>
      </c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</row>
    <row r="869" spans="1:73" s="1" customFormat="1">
      <c r="A869"/>
      <c r="F869" s="1" t="str">
        <f t="shared" ref="F869:I875" si="147">E780</f>
        <v>W1</v>
      </c>
      <c r="G869" s="4">
        <f t="shared" si="147"/>
        <v>0.8</v>
      </c>
      <c r="H869" s="4">
        <f t="shared" si="147"/>
        <v>1.8</v>
      </c>
      <c r="I869" s="1">
        <f t="shared" si="147"/>
        <v>5</v>
      </c>
      <c r="J869" s="4">
        <f t="shared" ref="J869:J875" si="148">((G869+H869)*2)*I869</f>
        <v>26</v>
      </c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</row>
    <row r="870" spans="1:73" s="1" customFormat="1">
      <c r="A870"/>
      <c r="B870"/>
      <c r="F870" s="1" t="str">
        <f t="shared" si="147"/>
        <v>W2</v>
      </c>
      <c r="G870" s="4">
        <f t="shared" si="147"/>
        <v>0.8</v>
      </c>
      <c r="H870" s="4">
        <f t="shared" si="147"/>
        <v>1.8</v>
      </c>
      <c r="I870" s="1">
        <f t="shared" si="147"/>
        <v>4</v>
      </c>
      <c r="J870" s="4">
        <f t="shared" si="148"/>
        <v>20.8</v>
      </c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</row>
    <row r="871" spans="1:73" s="1" customFormat="1">
      <c r="A871"/>
      <c r="B871"/>
      <c r="F871" s="1" t="str">
        <f t="shared" si="147"/>
        <v>W3</v>
      </c>
      <c r="G871" s="4">
        <f t="shared" si="147"/>
        <v>2</v>
      </c>
      <c r="H871" s="4">
        <f t="shared" si="147"/>
        <v>1.8</v>
      </c>
      <c r="I871" s="1">
        <f t="shared" si="147"/>
        <v>1</v>
      </c>
      <c r="J871" s="4">
        <f t="shared" si="148"/>
        <v>7.6</v>
      </c>
      <c r="U871" s="1" t="s">
        <v>234</v>
      </c>
      <c r="W871" s="1">
        <v>9</v>
      </c>
      <c r="X871" s="1">
        <v>0.23</v>
      </c>
      <c r="Y871" s="1">
        <v>0.35</v>
      </c>
      <c r="Z871" s="1">
        <f>(W871*X871*2)+(W871*Y871*2)</f>
        <v>10.440000000000001</v>
      </c>
      <c r="AA871" s="1">
        <f>Z871*17</f>
        <v>177.48000000000002</v>
      </c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</row>
    <row r="872" spans="1:73" s="1" customFormat="1">
      <c r="A872"/>
      <c r="B872"/>
      <c r="F872" s="1" t="str">
        <f t="shared" si="147"/>
        <v>W4</v>
      </c>
      <c r="G872" s="4">
        <f t="shared" si="147"/>
        <v>2.4</v>
      </c>
      <c r="H872" s="4">
        <f t="shared" si="147"/>
        <v>1.8</v>
      </c>
      <c r="I872" s="1">
        <f t="shared" si="147"/>
        <v>1</v>
      </c>
      <c r="J872" s="4">
        <f t="shared" si="148"/>
        <v>8.4</v>
      </c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</row>
    <row r="873" spans="1:73" s="1" customFormat="1">
      <c r="A873"/>
      <c r="B873"/>
      <c r="F873" s="1" t="str">
        <f t="shared" si="147"/>
        <v>W5</v>
      </c>
      <c r="G873" s="4">
        <f t="shared" si="147"/>
        <v>1.2</v>
      </c>
      <c r="H873" s="4">
        <f t="shared" si="147"/>
        <v>1.8</v>
      </c>
      <c r="I873" s="1">
        <f t="shared" si="147"/>
        <v>2</v>
      </c>
      <c r="J873" s="4">
        <f t="shared" si="148"/>
        <v>12</v>
      </c>
      <c r="U873" s="1" t="s">
        <v>235</v>
      </c>
      <c r="V873" s="1">
        <v>33</v>
      </c>
      <c r="W873" s="1">
        <v>0.45</v>
      </c>
      <c r="X873" s="1">
        <v>4</v>
      </c>
      <c r="Y873" s="1">
        <f>V873*W873*X873</f>
        <v>59.4</v>
      </c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</row>
    <row r="874" spans="1:73" s="1" customFormat="1">
      <c r="A874"/>
      <c r="B874"/>
      <c r="F874" s="1" t="str">
        <f t="shared" si="147"/>
        <v>W6</v>
      </c>
      <c r="G874" s="4">
        <f t="shared" si="147"/>
        <v>1.2</v>
      </c>
      <c r="H874" s="4">
        <f t="shared" si="147"/>
        <v>1.8</v>
      </c>
      <c r="I874" s="1">
        <f t="shared" si="147"/>
        <v>3</v>
      </c>
      <c r="J874" s="4">
        <f t="shared" si="148"/>
        <v>18</v>
      </c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</row>
    <row r="875" spans="1:73" s="1" customFormat="1">
      <c r="A875"/>
      <c r="B875"/>
      <c r="F875" s="1" t="str">
        <f t="shared" si="147"/>
        <v>W7</v>
      </c>
      <c r="G875" s="4">
        <f t="shared" si="147"/>
        <v>1.2</v>
      </c>
      <c r="H875" s="4">
        <f t="shared" si="147"/>
        <v>1.8</v>
      </c>
      <c r="I875" s="1">
        <f t="shared" si="147"/>
        <v>1</v>
      </c>
      <c r="J875" s="4">
        <f t="shared" si="148"/>
        <v>6</v>
      </c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</row>
    <row r="876" spans="1:73" s="1" customFormat="1">
      <c r="A876"/>
      <c r="B876"/>
      <c r="F876" s="1" t="str">
        <f>E788</f>
        <v>D3</v>
      </c>
      <c r="G876" s="4">
        <f>F787</f>
        <v>0.9</v>
      </c>
      <c r="H876" s="4">
        <f>G787</f>
        <v>1.2</v>
      </c>
      <c r="I876" s="1">
        <f>H787</f>
        <v>1</v>
      </c>
      <c r="J876" s="4">
        <f>((G876*2)+H876)*I876</f>
        <v>3</v>
      </c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</row>
    <row r="877" spans="1:73" s="1" customFormat="1">
      <c r="A877"/>
      <c r="B877"/>
      <c r="F877" s="1" t="str">
        <f>E789</f>
        <v>D1</v>
      </c>
      <c r="G877" s="4">
        <f>F788</f>
        <v>1.5</v>
      </c>
      <c r="H877" s="4">
        <f>G789</f>
        <v>2.1</v>
      </c>
      <c r="J877" s="4">
        <f>((G877*2)+H877)*I877</f>
        <v>0</v>
      </c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</row>
    <row r="878" spans="1:73" s="1" customFormat="1">
      <c r="A878"/>
      <c r="B878"/>
      <c r="F878" s="1">
        <f>E802</f>
        <v>0</v>
      </c>
      <c r="G878" s="4">
        <f>F802</f>
        <v>0</v>
      </c>
      <c r="H878" s="4">
        <f>G802</f>
        <v>0</v>
      </c>
      <c r="I878" s="1">
        <f>H802</f>
        <v>0</v>
      </c>
      <c r="J878" s="4">
        <f>((G878*2)+H878)*I878</f>
        <v>0</v>
      </c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</row>
    <row r="879" spans="1:73" s="1" customFormat="1">
      <c r="A879"/>
      <c r="B879"/>
      <c r="F879" s="1">
        <f>E803</f>
        <v>0</v>
      </c>
      <c r="G879" s="4">
        <v>0.75</v>
      </c>
      <c r="H879" s="4">
        <f>G803</f>
        <v>0</v>
      </c>
      <c r="I879" s="1">
        <f>H803</f>
        <v>0</v>
      </c>
      <c r="J879" s="4">
        <f>((G879*2)+H879)*I879</f>
        <v>0</v>
      </c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</row>
    <row r="880" spans="1:73" s="1" customFormat="1">
      <c r="A880"/>
      <c r="B880"/>
      <c r="F880" s="1">
        <f>E804</f>
        <v>0</v>
      </c>
      <c r="J880" s="96">
        <f>SUM(J869:J879)</f>
        <v>101.8</v>
      </c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</row>
    <row r="881" spans="1:73" s="1" customFormat="1">
      <c r="A881"/>
      <c r="B881"/>
      <c r="F881" s="1">
        <f>E848</f>
        <v>0</v>
      </c>
      <c r="S881" s="1">
        <f>P857*Q857*R857</f>
        <v>3.7800000000000002</v>
      </c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</row>
    <row r="882" spans="1:73" s="1" customFormat="1">
      <c r="A882"/>
      <c r="B882"/>
      <c r="F882" s="1" t="s">
        <v>236</v>
      </c>
      <c r="S882" s="1">
        <f>P858*Q858*R858</f>
        <v>1.08</v>
      </c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</row>
    <row r="883" spans="1:73" s="1" customFormat="1">
      <c r="A883"/>
      <c r="B883"/>
      <c r="F883" s="1">
        <v>8.9</v>
      </c>
      <c r="S883" s="1">
        <f>P859*Q859*R859</f>
        <v>2.16</v>
      </c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</row>
    <row r="884" spans="1:73" s="1" customFormat="1">
      <c r="A884"/>
      <c r="B884"/>
      <c r="F884" s="1">
        <v>3.15</v>
      </c>
      <c r="S884" s="1">
        <f>P860*Q860*R860</f>
        <v>9.4500000000000011</v>
      </c>
      <c r="V884" s="1">
        <v>1.75</v>
      </c>
      <c r="W884" s="1">
        <v>86.2</v>
      </c>
      <c r="X884" s="1">
        <f>W884*V884</f>
        <v>150.85</v>
      </c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</row>
    <row r="885" spans="1:73" s="1" customFormat="1">
      <c r="A885"/>
      <c r="B885"/>
      <c r="C885" s="4">
        <v>0.9</v>
      </c>
      <c r="D885" s="4">
        <v>2.1</v>
      </c>
      <c r="F885" s="1">
        <f>F883*F884</f>
        <v>28.035</v>
      </c>
      <c r="S885" s="1">
        <f>SUM(S880:S884)</f>
        <v>16.470000000000002</v>
      </c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</row>
    <row r="886" spans="1:73" s="1" customFormat="1">
      <c r="A886"/>
      <c r="B886" s="1" t="s">
        <v>229</v>
      </c>
      <c r="C886" s="4">
        <v>0.9</v>
      </c>
      <c r="D886" s="4">
        <v>2.1</v>
      </c>
      <c r="E886" s="1">
        <v>0</v>
      </c>
      <c r="F886" s="4">
        <f>C886*D886*E886</f>
        <v>0</v>
      </c>
      <c r="M886" s="1" t="s">
        <v>236</v>
      </c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</row>
    <row r="887" spans="1:73" s="1" customFormat="1">
      <c r="A887"/>
      <c r="B887" s="1" t="s">
        <v>223</v>
      </c>
      <c r="C887" s="4">
        <v>1.2</v>
      </c>
      <c r="D887" s="4">
        <v>0.9</v>
      </c>
      <c r="E887" s="1">
        <v>1</v>
      </c>
      <c r="F887" s="4">
        <f>C887*D887*E887</f>
        <v>1.08</v>
      </c>
      <c r="G887" s="8">
        <f>F885-F889</f>
        <v>26.954999999999998</v>
      </c>
      <c r="M887" s="1">
        <v>31.12</v>
      </c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</row>
    <row r="888" spans="1:73" s="1" customFormat="1">
      <c r="A888"/>
      <c r="B888" s="1" t="s">
        <v>214</v>
      </c>
      <c r="C888" s="4">
        <v>0.6</v>
      </c>
      <c r="D888" s="4">
        <v>0.6</v>
      </c>
      <c r="F888" s="4">
        <f>C888*D888*E888</f>
        <v>0</v>
      </c>
      <c r="M888" s="1">
        <v>3</v>
      </c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</row>
    <row r="889" spans="1:73" s="1" customFormat="1">
      <c r="A889"/>
      <c r="C889" s="4">
        <v>0.6</v>
      </c>
      <c r="D889" s="4">
        <v>0.6</v>
      </c>
      <c r="F889" s="4">
        <f>SUM(F886:F888)</f>
        <v>1.08</v>
      </c>
      <c r="J889" s="4">
        <v>0.9</v>
      </c>
      <c r="K889" s="4">
        <v>2.1</v>
      </c>
      <c r="M889" s="1">
        <f>M887*M888</f>
        <v>93.36</v>
      </c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</row>
    <row r="890" spans="1:73" s="1" customFormat="1">
      <c r="A890"/>
      <c r="I890" s="1" t="s">
        <v>229</v>
      </c>
      <c r="J890" s="4">
        <v>0.9</v>
      </c>
      <c r="K890" s="4">
        <v>2.1</v>
      </c>
      <c r="L890" s="1">
        <v>12</v>
      </c>
      <c r="M890" s="4">
        <f>J890*K890*L890</f>
        <v>22.68</v>
      </c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</row>
    <row r="891" spans="1:73" s="1" customFormat="1">
      <c r="A891"/>
      <c r="F891" s="1">
        <v>27.85</v>
      </c>
      <c r="I891" s="1" t="s">
        <v>223</v>
      </c>
      <c r="J891" s="4">
        <v>1.2</v>
      </c>
      <c r="K891" s="4">
        <v>0.9</v>
      </c>
      <c r="L891" s="1">
        <v>6</v>
      </c>
      <c r="M891" s="4">
        <f>J891*K891*L891</f>
        <v>6.48</v>
      </c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</row>
    <row r="892" spans="1:73" s="1" customFormat="1">
      <c r="A892"/>
      <c r="F892" s="1">
        <v>27.8</v>
      </c>
      <c r="I892" s="1" t="s">
        <v>214</v>
      </c>
      <c r="J892" s="4">
        <v>0.6</v>
      </c>
      <c r="K892" s="4">
        <v>0.6</v>
      </c>
      <c r="M892" s="4">
        <f>J892*K892*L892</f>
        <v>0</v>
      </c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</row>
    <row r="893" spans="1:73" s="1" customFormat="1">
      <c r="A893"/>
      <c r="F893" s="1">
        <f>F891+F892</f>
        <v>55.650000000000006</v>
      </c>
      <c r="J893" s="4">
        <v>0.6</v>
      </c>
      <c r="K893" s="4">
        <v>0.6</v>
      </c>
      <c r="M893" s="4">
        <f>SUM(M890:M892)</f>
        <v>29.16</v>
      </c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</row>
    <row r="894" spans="1:73" s="1" customFormat="1">
      <c r="A894"/>
      <c r="F894" s="1">
        <v>3</v>
      </c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</row>
    <row r="895" spans="1:73" s="1" customFormat="1">
      <c r="A895"/>
      <c r="C895" s="4">
        <v>0.9</v>
      </c>
      <c r="D895" s="4">
        <v>2.1</v>
      </c>
      <c r="F895" s="1">
        <f>F893*F894</f>
        <v>166.95000000000002</v>
      </c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</row>
    <row r="896" spans="1:73" s="1" customFormat="1">
      <c r="A896"/>
      <c r="B896" s="1" t="s">
        <v>229</v>
      </c>
      <c r="C896" s="4">
        <v>0.75</v>
      </c>
      <c r="D896" s="4">
        <v>2.1</v>
      </c>
      <c r="E896" s="1">
        <v>9</v>
      </c>
      <c r="F896" s="4">
        <f>C896*D896*E896</f>
        <v>14.175000000000001</v>
      </c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</row>
    <row r="897" spans="1:73" s="1" customFormat="1">
      <c r="A897"/>
      <c r="B897" s="1" t="s">
        <v>223</v>
      </c>
      <c r="C897" s="4">
        <v>1.2</v>
      </c>
      <c r="D897" s="4">
        <v>0.9</v>
      </c>
      <c r="F897" s="4">
        <f>C897*D897*E897</f>
        <v>0</v>
      </c>
      <c r="G897" s="8">
        <f>F895-F899</f>
        <v>149.53500000000003</v>
      </c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</row>
    <row r="898" spans="1:73" s="1" customFormat="1">
      <c r="A898"/>
      <c r="B898" s="1" t="s">
        <v>214</v>
      </c>
      <c r="C898" s="4">
        <v>0.6</v>
      </c>
      <c r="D898" s="4">
        <v>0.6</v>
      </c>
      <c r="E898" s="1">
        <v>9</v>
      </c>
      <c r="F898" s="4">
        <f>C898*D898*E898</f>
        <v>3.2399999999999998</v>
      </c>
      <c r="J898" s="8">
        <f>G887+G897+N868</f>
        <v>240.69</v>
      </c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</row>
    <row r="899" spans="1:73" s="1" customFormat="1">
      <c r="A899"/>
      <c r="C899" s="4">
        <v>0.6</v>
      </c>
      <c r="D899" s="4">
        <v>0.6</v>
      </c>
      <c r="F899" s="4">
        <f>SUM(F896:F898)</f>
        <v>17.414999999999999</v>
      </c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</row>
    <row r="900" spans="1:73" s="1" customFormat="1">
      <c r="A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</row>
    <row r="901" spans="1:73" s="1" customFormat="1">
      <c r="A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</row>
    <row r="902" spans="1:73" s="1" customFormat="1">
      <c r="A902"/>
      <c r="B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</row>
    <row r="903" spans="1:73" s="1" customFormat="1">
      <c r="A903"/>
      <c r="B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</row>
    <row r="904" spans="1:73" s="1" customFormat="1">
      <c r="A904"/>
      <c r="B904"/>
      <c r="M904" s="1">
        <f>I909+I910</f>
        <v>247.2</v>
      </c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</row>
    <row r="905" spans="1:73" s="1" customFormat="1">
      <c r="A905"/>
      <c r="B905"/>
      <c r="C905" s="1" t="s">
        <v>237</v>
      </c>
      <c r="D905" s="1">
        <v>42.5</v>
      </c>
      <c r="E905" s="1">
        <v>8</v>
      </c>
      <c r="F905" s="1">
        <v>23.3</v>
      </c>
      <c r="G905" s="1">
        <f t="shared" ref="G905:G911" si="149">SUM(D905:F905)</f>
        <v>73.8</v>
      </c>
      <c r="H905" s="1">
        <v>6</v>
      </c>
      <c r="I905" s="1">
        <f t="shared" ref="I905:I911" si="150">G905*H905</f>
        <v>442.79999999999995</v>
      </c>
      <c r="K905" s="52">
        <f>I905+I908</f>
        <v>526.19999999999993</v>
      </c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</row>
    <row r="906" spans="1:73" s="1" customFormat="1">
      <c r="A906"/>
      <c r="B906"/>
      <c r="C906" s="1" t="s">
        <v>238</v>
      </c>
      <c r="D906" s="1">
        <v>6</v>
      </c>
      <c r="E906" s="1">
        <v>45.2</v>
      </c>
      <c r="F906" s="1">
        <v>36.5</v>
      </c>
      <c r="G906" s="1">
        <f t="shared" si="149"/>
        <v>87.7</v>
      </c>
      <c r="H906" s="1">
        <v>6</v>
      </c>
      <c r="I906" s="1">
        <f t="shared" si="150"/>
        <v>526.20000000000005</v>
      </c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</row>
    <row r="907" spans="1:73" s="1" customFormat="1">
      <c r="A907"/>
      <c r="B907"/>
      <c r="C907" s="1" t="s">
        <v>239</v>
      </c>
      <c r="E907" s="1">
        <v>6</v>
      </c>
      <c r="F907" s="1">
        <v>3.5</v>
      </c>
      <c r="G907" s="1">
        <f t="shared" si="149"/>
        <v>9.5</v>
      </c>
      <c r="H907" s="1">
        <v>6</v>
      </c>
      <c r="I907" s="1">
        <f t="shared" si="150"/>
        <v>57</v>
      </c>
      <c r="M907" s="1">
        <f>I911+I907</f>
        <v>78</v>
      </c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</row>
    <row r="908" spans="1:73" s="1" customFormat="1">
      <c r="A908"/>
      <c r="B908"/>
      <c r="C908" s="1" t="s">
        <v>240</v>
      </c>
      <c r="D908" s="1">
        <v>5.6</v>
      </c>
      <c r="F908" s="1">
        <v>8.3000000000000007</v>
      </c>
      <c r="G908" s="1">
        <f t="shared" si="149"/>
        <v>13.9</v>
      </c>
      <c r="H908" s="1">
        <v>6</v>
      </c>
      <c r="I908" s="1">
        <f t="shared" si="150"/>
        <v>83.4</v>
      </c>
      <c r="K908" s="1">
        <f>I906</f>
        <v>526.20000000000005</v>
      </c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</row>
    <row r="909" spans="1:73" s="1" customFormat="1">
      <c r="A909"/>
      <c r="B909"/>
      <c r="C909" s="1" t="s">
        <v>241</v>
      </c>
      <c r="D909" s="1">
        <v>4.5</v>
      </c>
      <c r="E909" s="1">
        <v>11.7</v>
      </c>
      <c r="F909" s="1">
        <v>9</v>
      </c>
      <c r="G909" s="1">
        <f t="shared" si="149"/>
        <v>25.2</v>
      </c>
      <c r="H909" s="1">
        <v>6</v>
      </c>
      <c r="I909" s="1">
        <f t="shared" si="150"/>
        <v>151.19999999999999</v>
      </c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</row>
    <row r="910" spans="1:73" s="1" customFormat="1">
      <c r="A910"/>
      <c r="B910"/>
      <c r="C910" s="1" t="s">
        <v>242</v>
      </c>
      <c r="D910" s="1">
        <v>16</v>
      </c>
      <c r="G910" s="1">
        <f t="shared" si="149"/>
        <v>16</v>
      </c>
      <c r="H910" s="1">
        <v>6</v>
      </c>
      <c r="I910" s="1">
        <f t="shared" si="150"/>
        <v>96</v>
      </c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</row>
    <row r="911" spans="1:73" s="1" customFormat="1">
      <c r="A911"/>
      <c r="B911"/>
      <c r="C911" s="1" t="s">
        <v>243</v>
      </c>
      <c r="D911" s="1">
        <v>3.5</v>
      </c>
      <c r="G911" s="1">
        <f t="shared" si="149"/>
        <v>3.5</v>
      </c>
      <c r="H911" s="1">
        <v>6</v>
      </c>
      <c r="I911" s="1">
        <f t="shared" si="150"/>
        <v>21</v>
      </c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</row>
    <row r="912" spans="1:73" s="1" customFormat="1">
      <c r="A912"/>
      <c r="B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</row>
    <row r="913" spans="1:73" s="1" customFormat="1">
      <c r="A913"/>
      <c r="B913"/>
      <c r="F913" s="1">
        <f>SUM(F905:F912)</f>
        <v>80.599999999999994</v>
      </c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</row>
    <row r="914" spans="1:73" s="1" customFormat="1">
      <c r="A914"/>
      <c r="B914"/>
      <c r="F914" s="1">
        <v>6</v>
      </c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</row>
    <row r="915" spans="1:73" s="1" customFormat="1">
      <c r="A915"/>
      <c r="B915"/>
      <c r="F915" s="1">
        <f>F913*F914</f>
        <v>483.59999999999997</v>
      </c>
      <c r="G915" s="1">
        <f>F915*4</f>
        <v>1934.3999999999999</v>
      </c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</row>
    <row r="916" spans="1:73" s="1" customFormat="1">
      <c r="A916"/>
      <c r="B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</row>
    <row r="917" spans="1:73" s="1" customFormat="1">
      <c r="A917"/>
      <c r="B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</row>
    <row r="918" spans="1:73" s="1" customForma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</row>
    <row r="919" spans="1:73" s="1" customForma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</row>
    <row r="920" spans="1:73" s="1" customForma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</row>
    <row r="921" spans="1:73" s="1" customForma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</row>
    <row r="922" spans="1:73" s="1" customForma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</row>
    <row r="923" spans="1:73" s="1" customForma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</row>
    <row r="924" spans="1:73" s="1" customForma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</row>
    <row r="925" spans="1:73" s="1" customForma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</row>
    <row r="926" spans="1:73" s="1" customForma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</row>
    <row r="927" spans="1:73" s="1" customForma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</row>
    <row r="928" spans="1:73" s="1" customForma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</row>
    <row r="929" spans="1:73" s="1" customForma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</row>
    <row r="930" spans="1:73" s="1" customForma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</row>
    <row r="931" spans="1:73" s="1" customForma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</row>
    <row r="932" spans="1:73" s="1" customForma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</row>
    <row r="933" spans="1:73" s="1" customForma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</row>
    <row r="934" spans="1:73" s="1" customForma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</row>
    <row r="935" spans="1:73" s="1" customForma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</row>
    <row r="936" spans="1:73" s="1" customForma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</row>
    <row r="937" spans="1:73" s="1" customForma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</row>
    <row r="938" spans="1:73" s="1" customForma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</row>
    <row r="939" spans="1:73" s="1" customForma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</row>
    <row r="940" spans="1:73" s="1" customForma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</row>
    <row r="941" spans="1:73" s="1" customForma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</row>
    <row r="942" spans="1:73" s="1" customForma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</row>
    <row r="943" spans="1:73" s="1" customForma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</row>
    <row r="944" spans="1:73" s="1" customForma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</row>
    <row r="945" spans="1:73" s="1" customForma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</row>
    <row r="946" spans="1:73" s="1" customForma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</row>
    <row r="947" spans="1:73" s="1" customForma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</row>
    <row r="948" spans="1:73" s="1" customForma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</row>
    <row r="949" spans="1:73" s="1" customForma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</row>
    <row r="950" spans="1:73" s="1" customForma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</row>
    <row r="951" spans="1:73" s="1" customForma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</row>
    <row r="952" spans="1:73" s="1" customForma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</row>
    <row r="953" spans="1:73" s="1" customForma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</row>
    <row r="954" spans="1:73" s="1" customForma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</row>
    <row r="955" spans="1:73" s="1" customForma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</row>
    <row r="956" spans="1:73" s="1" customForma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</row>
    <row r="957" spans="1:73" s="1" customFormat="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</row>
    <row r="958" spans="1:73" s="1" customForma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</row>
    <row r="959" spans="1:73" s="1" customForma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</row>
    <row r="960" spans="1:73" s="1" customForma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</row>
    <row r="961" spans="1:73" s="1" customForma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</row>
    <row r="962" spans="1:73" s="1" customForma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</row>
    <row r="963" spans="1:73" s="1" customForma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</row>
    <row r="964" spans="1:73" s="1" customForma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</row>
    <row r="965" spans="1:73" s="1" customForma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</row>
    <row r="966" spans="1:73" s="1" customForma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</row>
    <row r="967" spans="1:73" s="1" customForma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</row>
    <row r="968" spans="1:73" s="1" customForma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</row>
    <row r="969" spans="1:73" s="1" customForma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</row>
    <row r="970" spans="1:73" s="1" customForma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</row>
    <row r="971" spans="1:73" s="1" customForma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</row>
    <row r="972" spans="1:73" s="1" customForma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</row>
    <row r="973" spans="1:73" s="1" customForma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</row>
    <row r="974" spans="1:73" s="1" customForma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</row>
    <row r="975" spans="1:73" s="1" customForma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</row>
    <row r="976" spans="1:73" s="1" customForma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</row>
    <row r="977" spans="1:73" s="1" customForma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</row>
    <row r="978" spans="1:73" s="1" customForma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</row>
    <row r="979" spans="1:73" s="1" customForma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</row>
    <row r="980" spans="1:73" s="1" customForma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</row>
    <row r="981" spans="1:73" s="1" customForma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</row>
    <row r="982" spans="1:73" s="1" customForma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</row>
    <row r="983" spans="1:73" s="1" customForma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</row>
    <row r="984" spans="1:73" s="1" customForma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</row>
    <row r="985" spans="1:73" s="1" customForma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</row>
    <row r="986" spans="1:73" s="1" customForma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</row>
    <row r="987" spans="1:73" s="1" customForma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</row>
    <row r="988" spans="1:73" s="1" customForma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</row>
    <row r="989" spans="1:73" s="1" customForma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</row>
    <row r="990" spans="1:73" s="1" customForma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</row>
    <row r="991" spans="1:73" s="1" customForma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</row>
    <row r="992" spans="1:73" s="1" customForma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</row>
    <row r="993" spans="1:73" s="1" customForma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</row>
    <row r="994" spans="1:73" s="1" customForma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</row>
    <row r="995" spans="1:73" s="1" customForma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</row>
  </sheetData>
  <mergeCells count="83">
    <mergeCell ref="A24:C24"/>
    <mergeCell ref="F24:H24"/>
    <mergeCell ref="K24:M24"/>
    <mergeCell ref="D1:F1"/>
    <mergeCell ref="A3:D3"/>
    <mergeCell ref="G3:J3"/>
    <mergeCell ref="M3:P3"/>
    <mergeCell ref="F18:I18"/>
    <mergeCell ref="A34:C34"/>
    <mergeCell ref="F34:H34"/>
    <mergeCell ref="A40:C40"/>
    <mergeCell ref="F40:H40"/>
    <mergeCell ref="A45:C45"/>
    <mergeCell ref="F45:H45"/>
    <mergeCell ref="A52:C52"/>
    <mergeCell ref="F52:H52"/>
    <mergeCell ref="K52:M52"/>
    <mergeCell ref="A58:C58"/>
    <mergeCell ref="F58:H58"/>
    <mergeCell ref="K58:M58"/>
    <mergeCell ref="B132:E132"/>
    <mergeCell ref="A63:C63"/>
    <mergeCell ref="F63:H63"/>
    <mergeCell ref="K63:M63"/>
    <mergeCell ref="A68:C68"/>
    <mergeCell ref="F68:H68"/>
    <mergeCell ref="K68:M68"/>
    <mergeCell ref="A73:C73"/>
    <mergeCell ref="F73:I73"/>
    <mergeCell ref="K73:M73"/>
    <mergeCell ref="D78:G78"/>
    <mergeCell ref="G80:H80"/>
    <mergeCell ref="B224:E224"/>
    <mergeCell ref="B139:E139"/>
    <mergeCell ref="B146:E146"/>
    <mergeCell ref="B155:E155"/>
    <mergeCell ref="B162:E162"/>
    <mergeCell ref="B169:E169"/>
    <mergeCell ref="B178:E178"/>
    <mergeCell ref="B185:E185"/>
    <mergeCell ref="B192:E192"/>
    <mergeCell ref="B201:E201"/>
    <mergeCell ref="B208:E208"/>
    <mergeCell ref="B215:E215"/>
    <mergeCell ref="B336:E336"/>
    <mergeCell ref="B231:E231"/>
    <mergeCell ref="B238:E238"/>
    <mergeCell ref="B247:E247"/>
    <mergeCell ref="B254:E254"/>
    <mergeCell ref="B261:E261"/>
    <mergeCell ref="B296:E296"/>
    <mergeCell ref="B305:D305"/>
    <mergeCell ref="B311:D311"/>
    <mergeCell ref="B315:D315"/>
    <mergeCell ref="B318:D318"/>
    <mergeCell ref="B327:D327"/>
    <mergeCell ref="B590:E590"/>
    <mergeCell ref="B343:D343"/>
    <mergeCell ref="B348:E348"/>
    <mergeCell ref="B357:E357"/>
    <mergeCell ref="B372:E372"/>
    <mergeCell ref="B383:D383"/>
    <mergeCell ref="B393:D393"/>
    <mergeCell ref="A401:C401"/>
    <mergeCell ref="C466:E466"/>
    <mergeCell ref="B468:D468"/>
    <mergeCell ref="B495:E495"/>
    <mergeCell ref="B521:D521"/>
    <mergeCell ref="P785:Q785"/>
    <mergeCell ref="B597:E597"/>
    <mergeCell ref="B605:E605"/>
    <mergeCell ref="C623:H623"/>
    <mergeCell ref="C632:H632"/>
    <mergeCell ref="B633:E633"/>
    <mergeCell ref="B640:D640"/>
    <mergeCell ref="M786:O786"/>
    <mergeCell ref="B805:E805"/>
    <mergeCell ref="B827:E827"/>
    <mergeCell ref="B643:D643"/>
    <mergeCell ref="D682:G682"/>
    <mergeCell ref="G684:H684"/>
    <mergeCell ref="D738:G738"/>
    <mergeCell ref="B771:E7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COLORADO MAITAMA</vt:lpstr>
      <vt:lpstr>4BD TAKE OFF QUANTITIES</vt:lpstr>
      <vt:lpstr>4BD TAKE OFF QUANTITIES (2)</vt:lpstr>
      <vt:lpstr>'COLORADO MAITAMA'!Print_Area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ABDOULRAZERQ</cp:lastModifiedBy>
  <cp:lastPrinted>2022-06-02T06:59:02Z</cp:lastPrinted>
  <dcterms:created xsi:type="dcterms:W3CDTF">2022-06-02T06:05:47Z</dcterms:created>
  <dcterms:modified xsi:type="dcterms:W3CDTF">2023-07-16T19:44:50Z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