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es/Desktop/"/>
    </mc:Choice>
  </mc:AlternateContent>
  <xr:revisionPtr revIDLastSave="0" documentId="13_ncr:1_{95556319-E09F-AB46-89B2-29BD458788A3}" xr6:coauthVersionLast="45" xr6:coauthVersionMax="45" xr10:uidLastSave="{00000000-0000-0000-0000-000000000000}"/>
  <bookViews>
    <workbookView xWindow="0" yWindow="460" windowWidth="35840" windowHeight="20620" activeTab="6" xr2:uid="{3E0919A3-89A2-EB40-98B3-70387C228433}"/>
  </bookViews>
  <sheets>
    <sheet name="Competitors" sheetId="4" r:id="rId1"/>
    <sheet name="Restructuration cap" sheetId="6" r:id="rId2"/>
    <sheet name="CAPEX" sheetId="8" r:id="rId3"/>
    <sheet name="Coverage ratios" sheetId="5" r:id="rId4"/>
    <sheet name="Leverage and Restructuration" sheetId="10" r:id="rId5"/>
    <sheet name="NWC" sheetId="7" r:id="rId6"/>
    <sheet name="Rates" sheetId="9" r:id="rId7"/>
    <sheet name="Regressions" sheetId="11" r:id="rId8"/>
    <sheet name="APV CALCULATION " sheetId="13" r:id="rId9"/>
    <sheet name="Sensitivity Analysis" sheetId="15" r:id="rId10"/>
    <sheet name="WACC CALCULATION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9" l="1"/>
  <c r="I19" i="9" l="1"/>
  <c r="D29" i="6" l="1"/>
  <c r="E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F29" i="6"/>
  <c r="D10" i="13" l="1"/>
  <c r="C10" i="13"/>
  <c r="B75" i="15" l="1"/>
  <c r="B76" i="15" s="1"/>
  <c r="N3" i="15"/>
  <c r="N4" i="15" l="1"/>
  <c r="B77" i="15"/>
  <c r="N5" i="15" l="1"/>
  <c r="B78" i="15"/>
  <c r="N6" i="15"/>
  <c r="B79" i="15" l="1"/>
  <c r="N7" i="15"/>
  <c r="B80" i="15" l="1"/>
  <c r="N8" i="15"/>
  <c r="B81" i="15" l="1"/>
  <c r="N9" i="15"/>
  <c r="B82" i="15" l="1"/>
  <c r="N10" i="15"/>
  <c r="B83" i="15" l="1"/>
  <c r="N11" i="15"/>
  <c r="B84" i="15" l="1"/>
  <c r="N12" i="15"/>
  <c r="B85" i="15" l="1"/>
  <c r="N13" i="15"/>
  <c r="B86" i="15" l="1"/>
  <c r="N14" i="15"/>
  <c r="M10" i="13"/>
  <c r="D9" i="13"/>
  <c r="C9" i="13"/>
  <c r="D8" i="13"/>
  <c r="C8" i="13"/>
  <c r="D7" i="13"/>
  <c r="C7" i="13"/>
  <c r="D5" i="13"/>
  <c r="C5" i="13"/>
  <c r="D4" i="13"/>
  <c r="C4" i="13"/>
  <c r="B170" i="9"/>
  <c r="B171" i="9"/>
  <c r="B172" i="9"/>
  <c r="B173" i="9"/>
  <c r="B174" i="9"/>
  <c r="B175" i="9"/>
  <c r="B176" i="9"/>
  <c r="B177" i="9" s="1"/>
  <c r="B178" i="9"/>
  <c r="B179" i="9" s="1"/>
  <c r="B87" i="15" l="1"/>
  <c r="N15" i="15"/>
  <c r="D6" i="13"/>
  <c r="D11" i="13" s="1"/>
  <c r="C6" i="13"/>
  <c r="C11" i="13" s="1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D13" i="13" l="1"/>
  <c r="B88" i="15"/>
  <c r="N16" i="15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89" i="15" l="1"/>
  <c r="N17" i="15"/>
  <c r="T29" i="9"/>
  <c r="B220" i="9"/>
  <c r="B221" i="9"/>
  <c r="B90" i="15" l="1"/>
  <c r="N18" i="15"/>
  <c r="I9" i="14"/>
  <c r="J9" i="14" s="1"/>
  <c r="J8" i="14"/>
  <c r="B222" i="9"/>
  <c r="B223" i="9" s="1"/>
  <c r="B91" i="15" l="1"/>
  <c r="N19" i="15"/>
  <c r="D9" i="14"/>
  <c r="B224" i="9"/>
  <c r="B92" i="15" l="1"/>
  <c r="N20" i="15"/>
  <c r="N28" i="9"/>
  <c r="J28" i="9"/>
  <c r="N29" i="9"/>
  <c r="O29" i="9" s="1"/>
  <c r="N30" i="9"/>
  <c r="O30" i="9" s="1"/>
  <c r="N31" i="9"/>
  <c r="O31" i="9" s="1"/>
  <c r="N32" i="9"/>
  <c r="O32" i="9" s="1"/>
  <c r="N33" i="9"/>
  <c r="O33" i="9" s="1"/>
  <c r="N34" i="9"/>
  <c r="O34" i="9" s="1"/>
  <c r="N35" i="9"/>
  <c r="O35" i="9" s="1"/>
  <c r="N36" i="9"/>
  <c r="O36" i="9" s="1"/>
  <c r="N37" i="9"/>
  <c r="O37" i="9" s="1"/>
  <c r="N38" i="9"/>
  <c r="O38" i="9" s="1"/>
  <c r="N39" i="9"/>
  <c r="O39" i="9" s="1"/>
  <c r="N40" i="9"/>
  <c r="O40" i="9" s="1"/>
  <c r="N41" i="9"/>
  <c r="O41" i="9" s="1"/>
  <c r="N42" i="9"/>
  <c r="O42" i="9" s="1"/>
  <c r="N43" i="9"/>
  <c r="O43" i="9" s="1"/>
  <c r="N44" i="9"/>
  <c r="O44" i="9" s="1"/>
  <c r="N45" i="9"/>
  <c r="O45" i="9" s="1"/>
  <c r="N46" i="9"/>
  <c r="O46" i="9" s="1"/>
  <c r="N47" i="9"/>
  <c r="O47" i="9" s="1"/>
  <c r="N48" i="9"/>
  <c r="O48" i="9" s="1"/>
  <c r="N49" i="9"/>
  <c r="O49" i="9" s="1"/>
  <c r="N50" i="9"/>
  <c r="O50" i="9" s="1"/>
  <c r="N51" i="9"/>
  <c r="O51" i="9" s="1"/>
  <c r="N52" i="9"/>
  <c r="O52" i="9" s="1"/>
  <c r="N53" i="9"/>
  <c r="O53" i="9" s="1"/>
  <c r="N54" i="9"/>
  <c r="O54" i="9" s="1"/>
  <c r="N55" i="9"/>
  <c r="O55" i="9" s="1"/>
  <c r="N56" i="9"/>
  <c r="O56" i="9" s="1"/>
  <c r="N57" i="9"/>
  <c r="O57" i="9" s="1"/>
  <c r="N58" i="9"/>
  <c r="O58" i="9" s="1"/>
  <c r="N59" i="9"/>
  <c r="O59" i="9" s="1"/>
  <c r="N60" i="9"/>
  <c r="O60" i="9" s="1"/>
  <c r="N61" i="9"/>
  <c r="O61" i="9" s="1"/>
  <c r="N62" i="9"/>
  <c r="O62" i="9" s="1"/>
  <c r="N63" i="9"/>
  <c r="O63" i="9" s="1"/>
  <c r="N64" i="9"/>
  <c r="O64" i="9" s="1"/>
  <c r="N65" i="9"/>
  <c r="O65" i="9" s="1"/>
  <c r="N66" i="9"/>
  <c r="O66" i="9" s="1"/>
  <c r="N67" i="9"/>
  <c r="O67" i="9" s="1"/>
  <c r="N68" i="9"/>
  <c r="O68" i="9" s="1"/>
  <c r="N69" i="9"/>
  <c r="O69" i="9" s="1"/>
  <c r="N70" i="9"/>
  <c r="O70" i="9" s="1"/>
  <c r="N71" i="9"/>
  <c r="O71" i="9" s="1"/>
  <c r="N72" i="9"/>
  <c r="O72" i="9" s="1"/>
  <c r="N73" i="9"/>
  <c r="O73" i="9" s="1"/>
  <c r="N74" i="9"/>
  <c r="O74" i="9" s="1"/>
  <c r="N75" i="9"/>
  <c r="O75" i="9" s="1"/>
  <c r="N76" i="9"/>
  <c r="O76" i="9" s="1"/>
  <c r="N77" i="9"/>
  <c r="O77" i="9" s="1"/>
  <c r="N78" i="9"/>
  <c r="O78" i="9" s="1"/>
  <c r="N79" i="9"/>
  <c r="O79" i="9" s="1"/>
  <c r="N80" i="9"/>
  <c r="O80" i="9" s="1"/>
  <c r="N81" i="9"/>
  <c r="O81" i="9" s="1"/>
  <c r="N82" i="9"/>
  <c r="O82" i="9" s="1"/>
  <c r="N83" i="9"/>
  <c r="O83" i="9" s="1"/>
  <c r="N84" i="9"/>
  <c r="O84" i="9" s="1"/>
  <c r="N85" i="9"/>
  <c r="O85" i="9" s="1"/>
  <c r="N86" i="9"/>
  <c r="O86" i="9" s="1"/>
  <c r="N87" i="9"/>
  <c r="O87" i="9" s="1"/>
  <c r="N88" i="9"/>
  <c r="O88" i="9" s="1"/>
  <c r="N89" i="9"/>
  <c r="O89" i="9" s="1"/>
  <c r="N90" i="9"/>
  <c r="O90" i="9" s="1"/>
  <c r="N91" i="9"/>
  <c r="O91" i="9" s="1"/>
  <c r="N92" i="9"/>
  <c r="O92" i="9" s="1"/>
  <c r="N93" i="9"/>
  <c r="O93" i="9" s="1"/>
  <c r="N94" i="9"/>
  <c r="O94" i="9" s="1"/>
  <c r="N95" i="9"/>
  <c r="O95" i="9" s="1"/>
  <c r="N96" i="9"/>
  <c r="O96" i="9" s="1"/>
  <c r="N97" i="9"/>
  <c r="O97" i="9" s="1"/>
  <c r="N98" i="9"/>
  <c r="O98" i="9" s="1"/>
  <c r="N99" i="9"/>
  <c r="O99" i="9" s="1"/>
  <c r="N100" i="9"/>
  <c r="O100" i="9" s="1"/>
  <c r="N101" i="9"/>
  <c r="O101" i="9" s="1"/>
  <c r="N102" i="9"/>
  <c r="O102" i="9" s="1"/>
  <c r="N103" i="9"/>
  <c r="O103" i="9" s="1"/>
  <c r="N104" i="9"/>
  <c r="O104" i="9" s="1"/>
  <c r="N105" i="9"/>
  <c r="O105" i="9" s="1"/>
  <c r="N106" i="9"/>
  <c r="O106" i="9" s="1"/>
  <c r="N107" i="9"/>
  <c r="O107" i="9" s="1"/>
  <c r="N108" i="9"/>
  <c r="O108" i="9" s="1"/>
  <c r="N109" i="9"/>
  <c r="O109" i="9" s="1"/>
  <c r="N110" i="9"/>
  <c r="O110" i="9" s="1"/>
  <c r="N111" i="9"/>
  <c r="O111" i="9" s="1"/>
  <c r="N112" i="9"/>
  <c r="O112" i="9" s="1"/>
  <c r="N113" i="9"/>
  <c r="O113" i="9" s="1"/>
  <c r="N114" i="9"/>
  <c r="O114" i="9" s="1"/>
  <c r="N115" i="9"/>
  <c r="O115" i="9" s="1"/>
  <c r="N116" i="9"/>
  <c r="O116" i="9" s="1"/>
  <c r="N117" i="9"/>
  <c r="O117" i="9" s="1"/>
  <c r="N118" i="9"/>
  <c r="O118" i="9" s="1"/>
  <c r="N119" i="9"/>
  <c r="O119" i="9" s="1"/>
  <c r="N120" i="9"/>
  <c r="O120" i="9" s="1"/>
  <c r="N121" i="9"/>
  <c r="O121" i="9" s="1"/>
  <c r="N122" i="9"/>
  <c r="O122" i="9" s="1"/>
  <c r="N123" i="9"/>
  <c r="O123" i="9" s="1"/>
  <c r="N124" i="9"/>
  <c r="O124" i="9" s="1"/>
  <c r="N125" i="9"/>
  <c r="O125" i="9" s="1"/>
  <c r="N126" i="9"/>
  <c r="O126" i="9" s="1"/>
  <c r="N127" i="9"/>
  <c r="O127" i="9" s="1"/>
  <c r="N128" i="9"/>
  <c r="O128" i="9" s="1"/>
  <c r="N129" i="9"/>
  <c r="O129" i="9" s="1"/>
  <c r="N130" i="9"/>
  <c r="O130" i="9" s="1"/>
  <c r="N131" i="9"/>
  <c r="O131" i="9" s="1"/>
  <c r="N132" i="9"/>
  <c r="O132" i="9" s="1"/>
  <c r="N133" i="9"/>
  <c r="O133" i="9" s="1"/>
  <c r="N134" i="9"/>
  <c r="O134" i="9" s="1"/>
  <c r="N135" i="9"/>
  <c r="O135" i="9" s="1"/>
  <c r="N136" i="9"/>
  <c r="O136" i="9" s="1"/>
  <c r="N137" i="9"/>
  <c r="O137" i="9" s="1"/>
  <c r="N138" i="9"/>
  <c r="O138" i="9" s="1"/>
  <c r="N139" i="9"/>
  <c r="O139" i="9" s="1"/>
  <c r="N140" i="9"/>
  <c r="O140" i="9" s="1"/>
  <c r="N141" i="9"/>
  <c r="O141" i="9" s="1"/>
  <c r="N142" i="9"/>
  <c r="O142" i="9" s="1"/>
  <c r="N143" i="9"/>
  <c r="O143" i="9" s="1"/>
  <c r="N144" i="9"/>
  <c r="O144" i="9" s="1"/>
  <c r="N145" i="9"/>
  <c r="O145" i="9" s="1"/>
  <c r="N146" i="9"/>
  <c r="O146" i="9" s="1"/>
  <c r="N147" i="9"/>
  <c r="O147" i="9" s="1"/>
  <c r="N148" i="9"/>
  <c r="O148" i="9" s="1"/>
  <c r="N149" i="9"/>
  <c r="O149" i="9" s="1"/>
  <c r="N150" i="9"/>
  <c r="O150" i="9" s="1"/>
  <c r="N151" i="9"/>
  <c r="O151" i="9" s="1"/>
  <c r="N152" i="9"/>
  <c r="O152" i="9" s="1"/>
  <c r="N153" i="9"/>
  <c r="O153" i="9" s="1"/>
  <c r="N154" i="9"/>
  <c r="O154" i="9" s="1"/>
  <c r="N155" i="9"/>
  <c r="O155" i="9" s="1"/>
  <c r="N156" i="9"/>
  <c r="O156" i="9" s="1"/>
  <c r="N157" i="9"/>
  <c r="O157" i="9" s="1"/>
  <c r="N158" i="9"/>
  <c r="O158" i="9" s="1"/>
  <c r="N159" i="9"/>
  <c r="O159" i="9" s="1"/>
  <c r="N160" i="9"/>
  <c r="O160" i="9" s="1"/>
  <c r="N161" i="9"/>
  <c r="O161" i="9" s="1"/>
  <c r="N162" i="9"/>
  <c r="O162" i="9" s="1"/>
  <c r="N163" i="9"/>
  <c r="O163" i="9" s="1"/>
  <c r="N164" i="9"/>
  <c r="O164" i="9" s="1"/>
  <c r="N165" i="9"/>
  <c r="O165" i="9" s="1"/>
  <c r="N166" i="9"/>
  <c r="O166" i="9" s="1"/>
  <c r="N167" i="9"/>
  <c r="O167" i="9" s="1"/>
  <c r="N168" i="9"/>
  <c r="O168" i="9" s="1"/>
  <c r="N169" i="9"/>
  <c r="O169" i="9" s="1"/>
  <c r="N170" i="9"/>
  <c r="O170" i="9" s="1"/>
  <c r="N171" i="9"/>
  <c r="O171" i="9" s="1"/>
  <c r="N172" i="9"/>
  <c r="O172" i="9" s="1"/>
  <c r="N173" i="9"/>
  <c r="O173" i="9" s="1"/>
  <c r="N174" i="9"/>
  <c r="O174" i="9" s="1"/>
  <c r="N175" i="9"/>
  <c r="O175" i="9" s="1"/>
  <c r="N176" i="9"/>
  <c r="O176" i="9" s="1"/>
  <c r="N177" i="9"/>
  <c r="O177" i="9" s="1"/>
  <c r="N178" i="9"/>
  <c r="O178" i="9" s="1"/>
  <c r="N179" i="9"/>
  <c r="O179" i="9" s="1"/>
  <c r="N180" i="9"/>
  <c r="O180" i="9" s="1"/>
  <c r="N181" i="9"/>
  <c r="O181" i="9" s="1"/>
  <c r="N182" i="9"/>
  <c r="O182" i="9" s="1"/>
  <c r="N183" i="9"/>
  <c r="O183" i="9" s="1"/>
  <c r="N184" i="9"/>
  <c r="O184" i="9" s="1"/>
  <c r="N185" i="9"/>
  <c r="O185" i="9" s="1"/>
  <c r="N186" i="9"/>
  <c r="O186" i="9" s="1"/>
  <c r="N187" i="9"/>
  <c r="O187" i="9" s="1"/>
  <c r="N188" i="9"/>
  <c r="O188" i="9" s="1"/>
  <c r="N189" i="9"/>
  <c r="O189" i="9" s="1"/>
  <c r="N190" i="9"/>
  <c r="O190" i="9" s="1"/>
  <c r="N191" i="9"/>
  <c r="O191" i="9" s="1"/>
  <c r="N192" i="9"/>
  <c r="O192" i="9" s="1"/>
  <c r="N193" i="9"/>
  <c r="O193" i="9" s="1"/>
  <c r="N194" i="9"/>
  <c r="O194" i="9" s="1"/>
  <c r="N195" i="9"/>
  <c r="O195" i="9" s="1"/>
  <c r="N196" i="9"/>
  <c r="O196" i="9" s="1"/>
  <c r="N197" i="9"/>
  <c r="O197" i="9" s="1"/>
  <c r="N198" i="9"/>
  <c r="O198" i="9" s="1"/>
  <c r="N199" i="9"/>
  <c r="O199" i="9" s="1"/>
  <c r="N200" i="9"/>
  <c r="O200" i="9" s="1"/>
  <c r="N201" i="9"/>
  <c r="O201" i="9" s="1"/>
  <c r="N202" i="9"/>
  <c r="O202" i="9" s="1"/>
  <c r="N203" i="9"/>
  <c r="O203" i="9" s="1"/>
  <c r="N204" i="9"/>
  <c r="O204" i="9" s="1"/>
  <c r="N205" i="9"/>
  <c r="O205" i="9" s="1"/>
  <c r="N206" i="9"/>
  <c r="O206" i="9" s="1"/>
  <c r="N207" i="9"/>
  <c r="O207" i="9" s="1"/>
  <c r="N208" i="9"/>
  <c r="O208" i="9" s="1"/>
  <c r="N209" i="9"/>
  <c r="O209" i="9" s="1"/>
  <c r="N210" i="9"/>
  <c r="O210" i="9" s="1"/>
  <c r="N211" i="9"/>
  <c r="O211" i="9" s="1"/>
  <c r="N212" i="9"/>
  <c r="O212" i="9" s="1"/>
  <c r="N213" i="9"/>
  <c r="O213" i="9" s="1"/>
  <c r="N214" i="9"/>
  <c r="O214" i="9" s="1"/>
  <c r="N215" i="9"/>
  <c r="O215" i="9" s="1"/>
  <c r="N216" i="9"/>
  <c r="O216" i="9" s="1"/>
  <c r="N217" i="9"/>
  <c r="O217" i="9" s="1"/>
  <c r="N218" i="9"/>
  <c r="O218" i="9" s="1"/>
  <c r="N219" i="9"/>
  <c r="O219" i="9" s="1"/>
  <c r="N220" i="9"/>
  <c r="O220" i="9" s="1"/>
  <c r="N221" i="9"/>
  <c r="O221" i="9" s="1"/>
  <c r="N222" i="9"/>
  <c r="O222" i="9" s="1"/>
  <c r="N223" i="9"/>
  <c r="O223" i="9" s="1"/>
  <c r="N224" i="9"/>
  <c r="O224" i="9" s="1"/>
  <c r="N225" i="9"/>
  <c r="O225" i="9" s="1"/>
  <c r="N226" i="9"/>
  <c r="O226" i="9" s="1"/>
  <c r="N227" i="9"/>
  <c r="O227" i="9" s="1"/>
  <c r="N228" i="9"/>
  <c r="O228" i="9" s="1"/>
  <c r="N229" i="9"/>
  <c r="O229" i="9" s="1"/>
  <c r="N230" i="9"/>
  <c r="O230" i="9" s="1"/>
  <c r="N231" i="9"/>
  <c r="O231" i="9" s="1"/>
  <c r="N232" i="9"/>
  <c r="O232" i="9" s="1"/>
  <c r="N233" i="9"/>
  <c r="O233" i="9" s="1"/>
  <c r="N234" i="9"/>
  <c r="O234" i="9" s="1"/>
  <c r="N235" i="9"/>
  <c r="O235" i="9" s="1"/>
  <c r="N236" i="9"/>
  <c r="O236" i="9" s="1"/>
  <c r="N237" i="9"/>
  <c r="O237" i="9" s="1"/>
  <c r="N238" i="9"/>
  <c r="O238" i="9" s="1"/>
  <c r="N239" i="9"/>
  <c r="O239" i="9" s="1"/>
  <c r="N240" i="9"/>
  <c r="O240" i="9" s="1"/>
  <c r="N241" i="9"/>
  <c r="O241" i="9" s="1"/>
  <c r="N242" i="9"/>
  <c r="O242" i="9" s="1"/>
  <c r="N243" i="9"/>
  <c r="O243" i="9" s="1"/>
  <c r="N244" i="9"/>
  <c r="O244" i="9" s="1"/>
  <c r="N245" i="9"/>
  <c r="O245" i="9" s="1"/>
  <c r="N246" i="9"/>
  <c r="O246" i="9" s="1"/>
  <c r="N247" i="9"/>
  <c r="O247" i="9" s="1"/>
  <c r="N248" i="9"/>
  <c r="O248" i="9" s="1"/>
  <c r="N249" i="9"/>
  <c r="O249" i="9" s="1"/>
  <c r="N250" i="9"/>
  <c r="O250" i="9" s="1"/>
  <c r="N251" i="9"/>
  <c r="O251" i="9" s="1"/>
  <c r="N252" i="9"/>
  <c r="O252" i="9" s="1"/>
  <c r="N253" i="9"/>
  <c r="O253" i="9" s="1"/>
  <c r="N254" i="9"/>
  <c r="O254" i="9" s="1"/>
  <c r="N255" i="9"/>
  <c r="O255" i="9" s="1"/>
  <c r="N256" i="9"/>
  <c r="O25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3" i="9"/>
  <c r="O263" i="9" s="1"/>
  <c r="N264" i="9"/>
  <c r="O264" i="9" s="1"/>
  <c r="N265" i="9"/>
  <c r="O265" i="9" s="1"/>
  <c r="N266" i="9"/>
  <c r="O266" i="9" s="1"/>
  <c r="N267" i="9"/>
  <c r="O267" i="9" s="1"/>
  <c r="N268" i="9"/>
  <c r="O268" i="9" s="1"/>
  <c r="N269" i="9"/>
  <c r="O269" i="9" s="1"/>
  <c r="N270" i="9"/>
  <c r="O270" i="9" s="1"/>
  <c r="N271" i="9"/>
  <c r="O271" i="9" s="1"/>
  <c r="N272" i="9"/>
  <c r="O272" i="9" s="1"/>
  <c r="N273" i="9"/>
  <c r="O273" i="9" s="1"/>
  <c r="N274" i="9"/>
  <c r="O274" i="9" s="1"/>
  <c r="N275" i="9"/>
  <c r="O275" i="9" s="1"/>
  <c r="N276" i="9"/>
  <c r="O276" i="9" s="1"/>
  <c r="N277" i="9"/>
  <c r="O277" i="9" s="1"/>
  <c r="N278" i="9"/>
  <c r="O278" i="9" s="1"/>
  <c r="N279" i="9"/>
  <c r="O279" i="9" s="1"/>
  <c r="N280" i="9"/>
  <c r="O280" i="9" s="1"/>
  <c r="N281" i="9"/>
  <c r="O281" i="9" s="1"/>
  <c r="N282" i="9"/>
  <c r="O282" i="9" s="1"/>
  <c r="N283" i="9"/>
  <c r="O283" i="9" s="1"/>
  <c r="N284" i="9"/>
  <c r="O284" i="9" s="1"/>
  <c r="N285" i="9"/>
  <c r="O285" i="9" s="1"/>
  <c r="N286" i="9"/>
  <c r="O286" i="9" s="1"/>
  <c r="N287" i="9"/>
  <c r="O287" i="9" s="1"/>
  <c r="N288" i="9"/>
  <c r="O288" i="9" s="1"/>
  <c r="N289" i="9"/>
  <c r="O289" i="9" s="1"/>
  <c r="N290" i="9"/>
  <c r="O290" i="9" s="1"/>
  <c r="N291" i="9"/>
  <c r="O291" i="9" s="1"/>
  <c r="N292" i="9"/>
  <c r="O292" i="9" s="1"/>
  <c r="N293" i="9"/>
  <c r="O293" i="9" s="1"/>
  <c r="N294" i="9"/>
  <c r="O294" i="9" s="1"/>
  <c r="N295" i="9"/>
  <c r="O295" i="9" s="1"/>
  <c r="N296" i="9"/>
  <c r="O296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303" i="9"/>
  <c r="O303" i="9" s="1"/>
  <c r="N304" i="9"/>
  <c r="O304" i="9" s="1"/>
  <c r="N305" i="9"/>
  <c r="O305" i="9" s="1"/>
  <c r="N306" i="9"/>
  <c r="O306" i="9" s="1"/>
  <c r="N307" i="9"/>
  <c r="O307" i="9" s="1"/>
  <c r="N308" i="9"/>
  <c r="O308" i="9" s="1"/>
  <c r="N309" i="9"/>
  <c r="O309" i="9" s="1"/>
  <c r="N310" i="9"/>
  <c r="O310" i="9" s="1"/>
  <c r="N311" i="9"/>
  <c r="O311" i="9" s="1"/>
  <c r="N312" i="9"/>
  <c r="O312" i="9" s="1"/>
  <c r="N313" i="9"/>
  <c r="O313" i="9" s="1"/>
  <c r="N314" i="9"/>
  <c r="O314" i="9" s="1"/>
  <c r="N315" i="9"/>
  <c r="O315" i="9" s="1"/>
  <c r="N316" i="9"/>
  <c r="O316" i="9" s="1"/>
  <c r="N317" i="9"/>
  <c r="O317" i="9" s="1"/>
  <c r="N318" i="9"/>
  <c r="O318" i="9" s="1"/>
  <c r="N319" i="9"/>
  <c r="O319" i="9" s="1"/>
  <c r="N320" i="9"/>
  <c r="O320" i="9" s="1"/>
  <c r="N321" i="9"/>
  <c r="O321" i="9" s="1"/>
  <c r="N322" i="9"/>
  <c r="O322" i="9" s="1"/>
  <c r="N323" i="9"/>
  <c r="O323" i="9" s="1"/>
  <c r="N324" i="9"/>
  <c r="O324" i="9" s="1"/>
  <c r="N325" i="9"/>
  <c r="O325" i="9" s="1"/>
  <c r="N326" i="9"/>
  <c r="O326" i="9" s="1"/>
  <c r="N327" i="9"/>
  <c r="O327" i="9" s="1"/>
  <c r="N328" i="9"/>
  <c r="O328" i="9" s="1"/>
  <c r="N329" i="9"/>
  <c r="O329" i="9" s="1"/>
  <c r="N330" i="9"/>
  <c r="O330" i="9" s="1"/>
  <c r="N331" i="9"/>
  <c r="O331" i="9" s="1"/>
  <c r="N332" i="9"/>
  <c r="O332" i="9" s="1"/>
  <c r="N333" i="9"/>
  <c r="O333" i="9" s="1"/>
  <c r="N334" i="9"/>
  <c r="O334" i="9" s="1"/>
  <c r="N335" i="9"/>
  <c r="O335" i="9" s="1"/>
  <c r="N336" i="9"/>
  <c r="O336" i="9" s="1"/>
  <c r="N337" i="9"/>
  <c r="O337" i="9" s="1"/>
  <c r="N338" i="9"/>
  <c r="O338" i="9" s="1"/>
  <c r="N339" i="9"/>
  <c r="O339" i="9" s="1"/>
  <c r="N340" i="9"/>
  <c r="O340" i="9" s="1"/>
  <c r="N341" i="9"/>
  <c r="O341" i="9" s="1"/>
  <c r="N342" i="9"/>
  <c r="O342" i="9" s="1"/>
  <c r="N343" i="9"/>
  <c r="O343" i="9" s="1"/>
  <c r="N344" i="9"/>
  <c r="O344" i="9" s="1"/>
  <c r="N345" i="9"/>
  <c r="O345" i="9" s="1"/>
  <c r="N346" i="9"/>
  <c r="O346" i="9" s="1"/>
  <c r="N347" i="9"/>
  <c r="O347" i="9" s="1"/>
  <c r="N348" i="9"/>
  <c r="O348" i="9" s="1"/>
  <c r="N349" i="9"/>
  <c r="O349" i="9" s="1"/>
  <c r="N350" i="9"/>
  <c r="O350" i="9" s="1"/>
  <c r="N351" i="9"/>
  <c r="O351" i="9" s="1"/>
  <c r="N352" i="9"/>
  <c r="O352" i="9" s="1"/>
  <c r="N353" i="9"/>
  <c r="O353" i="9" s="1"/>
  <c r="N354" i="9"/>
  <c r="O354" i="9" s="1"/>
  <c r="N355" i="9"/>
  <c r="O355" i="9" s="1"/>
  <c r="N356" i="9"/>
  <c r="O356" i="9" s="1"/>
  <c r="N357" i="9"/>
  <c r="O357" i="9" s="1"/>
  <c r="N358" i="9"/>
  <c r="O358" i="9" s="1"/>
  <c r="N359" i="9"/>
  <c r="O359" i="9" s="1"/>
  <c r="N360" i="9"/>
  <c r="O360" i="9" s="1"/>
  <c r="N361" i="9"/>
  <c r="O361" i="9" s="1"/>
  <c r="N362" i="9"/>
  <c r="O362" i="9" s="1"/>
  <c r="N363" i="9"/>
  <c r="O363" i="9" s="1"/>
  <c r="N364" i="9"/>
  <c r="O364" i="9" s="1"/>
  <c r="N365" i="9"/>
  <c r="O365" i="9" s="1"/>
  <c r="N366" i="9"/>
  <c r="O366" i="9" s="1"/>
  <c r="N367" i="9"/>
  <c r="O367" i="9" s="1"/>
  <c r="N368" i="9"/>
  <c r="O368" i="9" s="1"/>
  <c r="N369" i="9"/>
  <c r="O369" i="9" s="1"/>
  <c r="N370" i="9"/>
  <c r="O370" i="9" s="1"/>
  <c r="N371" i="9"/>
  <c r="O371" i="9" s="1"/>
  <c r="N372" i="9"/>
  <c r="O372" i="9" s="1"/>
  <c r="N373" i="9"/>
  <c r="O373" i="9" s="1"/>
  <c r="N374" i="9"/>
  <c r="O374" i="9" s="1"/>
  <c r="N375" i="9"/>
  <c r="O375" i="9" s="1"/>
  <c r="N376" i="9"/>
  <c r="O376" i="9" s="1"/>
  <c r="N377" i="9"/>
  <c r="O377" i="9" s="1"/>
  <c r="N378" i="9"/>
  <c r="O378" i="9" s="1"/>
  <c r="N379" i="9"/>
  <c r="O379" i="9" s="1"/>
  <c r="N380" i="9"/>
  <c r="O380" i="9" s="1"/>
  <c r="N381" i="9"/>
  <c r="O381" i="9" s="1"/>
  <c r="N382" i="9"/>
  <c r="O382" i="9" s="1"/>
  <c r="N383" i="9"/>
  <c r="O383" i="9" s="1"/>
  <c r="N384" i="9"/>
  <c r="O384" i="9" s="1"/>
  <c r="N385" i="9"/>
  <c r="O385" i="9" s="1"/>
  <c r="N386" i="9"/>
  <c r="O386" i="9" s="1"/>
  <c r="N387" i="9"/>
  <c r="O387" i="9" s="1"/>
  <c r="N388" i="9"/>
  <c r="O388" i="9" s="1"/>
  <c r="N389" i="9"/>
  <c r="O389" i="9" s="1"/>
  <c r="N390" i="9"/>
  <c r="O390" i="9" s="1"/>
  <c r="N391" i="9"/>
  <c r="O391" i="9" s="1"/>
  <c r="N392" i="9"/>
  <c r="O392" i="9" s="1"/>
  <c r="N393" i="9"/>
  <c r="O393" i="9" s="1"/>
  <c r="N394" i="9"/>
  <c r="O394" i="9" s="1"/>
  <c r="N395" i="9"/>
  <c r="O395" i="9" s="1"/>
  <c r="N396" i="9"/>
  <c r="O396" i="9" s="1"/>
  <c r="N397" i="9"/>
  <c r="O397" i="9" s="1"/>
  <c r="N398" i="9"/>
  <c r="O398" i="9" s="1"/>
  <c r="N399" i="9"/>
  <c r="O399" i="9" s="1"/>
  <c r="N400" i="9"/>
  <c r="O400" i="9" s="1"/>
  <c r="N401" i="9"/>
  <c r="O401" i="9" s="1"/>
  <c r="N402" i="9"/>
  <c r="O402" i="9" s="1"/>
  <c r="N403" i="9"/>
  <c r="O403" i="9" s="1"/>
  <c r="N404" i="9"/>
  <c r="O404" i="9" s="1"/>
  <c r="N405" i="9"/>
  <c r="O405" i="9" s="1"/>
  <c r="N406" i="9"/>
  <c r="O406" i="9" s="1"/>
  <c r="N407" i="9"/>
  <c r="O407" i="9" s="1"/>
  <c r="N408" i="9"/>
  <c r="O408" i="9" s="1"/>
  <c r="N409" i="9"/>
  <c r="O409" i="9" s="1"/>
  <c r="N410" i="9"/>
  <c r="O410" i="9" s="1"/>
  <c r="N411" i="9"/>
  <c r="O411" i="9" s="1"/>
  <c r="N412" i="9"/>
  <c r="O412" i="9" s="1"/>
  <c r="N413" i="9"/>
  <c r="O413" i="9" s="1"/>
  <c r="N414" i="9"/>
  <c r="O414" i="9" s="1"/>
  <c r="N415" i="9"/>
  <c r="O415" i="9" s="1"/>
  <c r="N416" i="9"/>
  <c r="O416" i="9" s="1"/>
  <c r="N417" i="9"/>
  <c r="O417" i="9" s="1"/>
  <c r="N418" i="9"/>
  <c r="O418" i="9" s="1"/>
  <c r="N419" i="9"/>
  <c r="O419" i="9" s="1"/>
  <c r="N420" i="9"/>
  <c r="O420" i="9" s="1"/>
  <c r="N421" i="9"/>
  <c r="O421" i="9" s="1"/>
  <c r="N422" i="9"/>
  <c r="O422" i="9" s="1"/>
  <c r="N423" i="9"/>
  <c r="O423" i="9" s="1"/>
  <c r="N424" i="9"/>
  <c r="O424" i="9" s="1"/>
  <c r="N425" i="9"/>
  <c r="O425" i="9" s="1"/>
  <c r="N426" i="9"/>
  <c r="O426" i="9" s="1"/>
  <c r="N427" i="9"/>
  <c r="O427" i="9" s="1"/>
  <c r="N428" i="9"/>
  <c r="O428" i="9" s="1"/>
  <c r="N429" i="9"/>
  <c r="O429" i="9" s="1"/>
  <c r="N430" i="9"/>
  <c r="O430" i="9" s="1"/>
  <c r="N431" i="9"/>
  <c r="O431" i="9" s="1"/>
  <c r="N432" i="9"/>
  <c r="O432" i="9" s="1"/>
  <c r="N433" i="9"/>
  <c r="O433" i="9" s="1"/>
  <c r="N434" i="9"/>
  <c r="O434" i="9" s="1"/>
  <c r="N435" i="9"/>
  <c r="O435" i="9" s="1"/>
  <c r="N436" i="9"/>
  <c r="O436" i="9" s="1"/>
  <c r="N437" i="9"/>
  <c r="O437" i="9" s="1"/>
  <c r="N438" i="9"/>
  <c r="O438" i="9" s="1"/>
  <c r="N439" i="9"/>
  <c r="O439" i="9" s="1"/>
  <c r="N440" i="9"/>
  <c r="O440" i="9" s="1"/>
  <c r="N441" i="9"/>
  <c r="O441" i="9" s="1"/>
  <c r="N442" i="9"/>
  <c r="O442" i="9" s="1"/>
  <c r="N443" i="9"/>
  <c r="O443" i="9" s="1"/>
  <c r="N444" i="9"/>
  <c r="O444" i="9" s="1"/>
  <c r="N445" i="9"/>
  <c r="O445" i="9" s="1"/>
  <c r="N446" i="9"/>
  <c r="O446" i="9" s="1"/>
  <c r="N447" i="9"/>
  <c r="O447" i="9" s="1"/>
  <c r="N448" i="9"/>
  <c r="O448" i="9" s="1"/>
  <c r="N449" i="9"/>
  <c r="O449" i="9" s="1"/>
  <c r="N450" i="9"/>
  <c r="O450" i="9" s="1"/>
  <c r="N451" i="9"/>
  <c r="O451" i="9" s="1"/>
  <c r="N452" i="9"/>
  <c r="O452" i="9" s="1"/>
  <c r="N453" i="9"/>
  <c r="O453" i="9" s="1"/>
  <c r="N454" i="9"/>
  <c r="O454" i="9" s="1"/>
  <c r="N455" i="9"/>
  <c r="O455" i="9" s="1"/>
  <c r="N456" i="9"/>
  <c r="O456" i="9" s="1"/>
  <c r="N457" i="9"/>
  <c r="O457" i="9" s="1"/>
  <c r="N458" i="9"/>
  <c r="O458" i="9" s="1"/>
  <c r="N459" i="9"/>
  <c r="O459" i="9" s="1"/>
  <c r="N460" i="9"/>
  <c r="O460" i="9" s="1"/>
  <c r="N461" i="9"/>
  <c r="O461" i="9" s="1"/>
  <c r="N462" i="9"/>
  <c r="O462" i="9" s="1"/>
  <c r="N463" i="9"/>
  <c r="O463" i="9" s="1"/>
  <c r="N464" i="9"/>
  <c r="O464" i="9" s="1"/>
  <c r="N465" i="9"/>
  <c r="O465" i="9" s="1"/>
  <c r="N466" i="9"/>
  <c r="O466" i="9" s="1"/>
  <c r="N467" i="9"/>
  <c r="O467" i="9" s="1"/>
  <c r="N468" i="9"/>
  <c r="O468" i="9" s="1"/>
  <c r="N469" i="9"/>
  <c r="O469" i="9" s="1"/>
  <c r="N470" i="9"/>
  <c r="O470" i="9" s="1"/>
  <c r="N471" i="9"/>
  <c r="O471" i="9" s="1"/>
  <c r="N472" i="9"/>
  <c r="O472" i="9" s="1"/>
  <c r="N473" i="9"/>
  <c r="O473" i="9" s="1"/>
  <c r="N474" i="9"/>
  <c r="O474" i="9" s="1"/>
  <c r="N475" i="9"/>
  <c r="O475" i="9" s="1"/>
  <c r="N476" i="9"/>
  <c r="O476" i="9" s="1"/>
  <c r="N477" i="9"/>
  <c r="O477" i="9" s="1"/>
  <c r="N478" i="9"/>
  <c r="O478" i="9" s="1"/>
  <c r="N479" i="9"/>
  <c r="O479" i="9" s="1"/>
  <c r="N480" i="9"/>
  <c r="O480" i="9" s="1"/>
  <c r="N481" i="9"/>
  <c r="O481" i="9" s="1"/>
  <c r="N482" i="9"/>
  <c r="O482" i="9" s="1"/>
  <c r="N483" i="9"/>
  <c r="O483" i="9" s="1"/>
  <c r="N484" i="9"/>
  <c r="O484" i="9" s="1"/>
  <c r="N485" i="9"/>
  <c r="O485" i="9" s="1"/>
  <c r="N486" i="9"/>
  <c r="O486" i="9" s="1"/>
  <c r="N487" i="9"/>
  <c r="O487" i="9" s="1"/>
  <c r="N488" i="9"/>
  <c r="O488" i="9" s="1"/>
  <c r="N489" i="9"/>
  <c r="O489" i="9" s="1"/>
  <c r="N490" i="9"/>
  <c r="O490" i="9" s="1"/>
  <c r="N491" i="9"/>
  <c r="O491" i="9" s="1"/>
  <c r="N492" i="9"/>
  <c r="O492" i="9" s="1"/>
  <c r="N493" i="9"/>
  <c r="O493" i="9" s="1"/>
  <c r="N494" i="9"/>
  <c r="O494" i="9" s="1"/>
  <c r="N495" i="9"/>
  <c r="O495" i="9" s="1"/>
  <c r="N496" i="9"/>
  <c r="O496" i="9" s="1"/>
  <c r="N497" i="9"/>
  <c r="O497" i="9" s="1"/>
  <c r="N498" i="9"/>
  <c r="O498" i="9" s="1"/>
  <c r="N499" i="9"/>
  <c r="O499" i="9" s="1"/>
  <c r="N500" i="9"/>
  <c r="O500" i="9" s="1"/>
  <c r="N501" i="9"/>
  <c r="O501" i="9" s="1"/>
  <c r="N502" i="9"/>
  <c r="O502" i="9" s="1"/>
  <c r="N503" i="9"/>
  <c r="O503" i="9" s="1"/>
  <c r="N504" i="9"/>
  <c r="O504" i="9" s="1"/>
  <c r="N505" i="9"/>
  <c r="O505" i="9" s="1"/>
  <c r="N506" i="9"/>
  <c r="O506" i="9" s="1"/>
  <c r="N507" i="9"/>
  <c r="O507" i="9" s="1"/>
  <c r="N508" i="9"/>
  <c r="O508" i="9" s="1"/>
  <c r="N509" i="9"/>
  <c r="O509" i="9" s="1"/>
  <c r="N510" i="9"/>
  <c r="O510" i="9" s="1"/>
  <c r="N511" i="9"/>
  <c r="O511" i="9" s="1"/>
  <c r="N512" i="9"/>
  <c r="O512" i="9" s="1"/>
  <c r="N513" i="9"/>
  <c r="O513" i="9" s="1"/>
  <c r="N514" i="9"/>
  <c r="O514" i="9" s="1"/>
  <c r="N515" i="9"/>
  <c r="O515" i="9" s="1"/>
  <c r="N516" i="9"/>
  <c r="O516" i="9" s="1"/>
  <c r="N517" i="9"/>
  <c r="O517" i="9" s="1"/>
  <c r="N518" i="9"/>
  <c r="O518" i="9" s="1"/>
  <c r="N519" i="9"/>
  <c r="O519" i="9" s="1"/>
  <c r="N520" i="9"/>
  <c r="O520" i="9" s="1"/>
  <c r="N521" i="9"/>
  <c r="O521" i="9" s="1"/>
  <c r="N522" i="9"/>
  <c r="O522" i="9" s="1"/>
  <c r="N523" i="9"/>
  <c r="O523" i="9" s="1"/>
  <c r="N524" i="9"/>
  <c r="O524" i="9" s="1"/>
  <c r="N525" i="9"/>
  <c r="O525" i="9" s="1"/>
  <c r="N526" i="9"/>
  <c r="O526" i="9" s="1"/>
  <c r="N527" i="9"/>
  <c r="O527" i="9" s="1"/>
  <c r="N528" i="9"/>
  <c r="O528" i="9" s="1"/>
  <c r="N529" i="9"/>
  <c r="O529" i="9" s="1"/>
  <c r="N530" i="9"/>
  <c r="O530" i="9" s="1"/>
  <c r="N531" i="9"/>
  <c r="O531" i="9" s="1"/>
  <c r="N532" i="9"/>
  <c r="O532" i="9" s="1"/>
  <c r="N533" i="9"/>
  <c r="O533" i="9" s="1"/>
  <c r="N534" i="9"/>
  <c r="O534" i="9" s="1"/>
  <c r="N535" i="9"/>
  <c r="O535" i="9" s="1"/>
  <c r="N536" i="9"/>
  <c r="O536" i="9" s="1"/>
  <c r="N537" i="9"/>
  <c r="O537" i="9" s="1"/>
  <c r="N538" i="9"/>
  <c r="O538" i="9" s="1"/>
  <c r="N539" i="9"/>
  <c r="O539" i="9" s="1"/>
  <c r="N540" i="9"/>
  <c r="O540" i="9" s="1"/>
  <c r="N541" i="9"/>
  <c r="O541" i="9" s="1"/>
  <c r="N542" i="9"/>
  <c r="O542" i="9" s="1"/>
  <c r="N543" i="9"/>
  <c r="O543" i="9" s="1"/>
  <c r="N544" i="9"/>
  <c r="O544" i="9" s="1"/>
  <c r="N545" i="9"/>
  <c r="O545" i="9" s="1"/>
  <c r="N546" i="9"/>
  <c r="O546" i="9" s="1"/>
  <c r="N547" i="9"/>
  <c r="O547" i="9" s="1"/>
  <c r="N548" i="9"/>
  <c r="O548" i="9" s="1"/>
  <c r="N549" i="9"/>
  <c r="O549" i="9" s="1"/>
  <c r="N550" i="9"/>
  <c r="O550" i="9" s="1"/>
  <c r="N551" i="9"/>
  <c r="O551" i="9" s="1"/>
  <c r="N552" i="9"/>
  <c r="O552" i="9" s="1"/>
  <c r="N553" i="9"/>
  <c r="O553" i="9" s="1"/>
  <c r="N554" i="9"/>
  <c r="O554" i="9" s="1"/>
  <c r="N555" i="9"/>
  <c r="O555" i="9" s="1"/>
  <c r="N556" i="9"/>
  <c r="O556" i="9" s="1"/>
  <c r="N557" i="9"/>
  <c r="O557" i="9" s="1"/>
  <c r="N558" i="9"/>
  <c r="O558" i="9" s="1"/>
  <c r="N559" i="9"/>
  <c r="O559" i="9" s="1"/>
  <c r="N560" i="9"/>
  <c r="O560" i="9" s="1"/>
  <c r="N561" i="9"/>
  <c r="O561" i="9" s="1"/>
  <c r="N562" i="9"/>
  <c r="O562" i="9" s="1"/>
  <c r="N563" i="9"/>
  <c r="O563" i="9" s="1"/>
  <c r="N564" i="9"/>
  <c r="O564" i="9" s="1"/>
  <c r="N565" i="9"/>
  <c r="O565" i="9" s="1"/>
  <c r="N566" i="9"/>
  <c r="O566" i="9" s="1"/>
  <c r="N567" i="9"/>
  <c r="O567" i="9" s="1"/>
  <c r="N568" i="9"/>
  <c r="O568" i="9" s="1"/>
  <c r="N569" i="9"/>
  <c r="O569" i="9" s="1"/>
  <c r="N570" i="9"/>
  <c r="O570" i="9" s="1"/>
  <c r="N571" i="9"/>
  <c r="O571" i="9" s="1"/>
  <c r="N572" i="9"/>
  <c r="O572" i="9" s="1"/>
  <c r="N573" i="9"/>
  <c r="O573" i="9" s="1"/>
  <c r="N574" i="9"/>
  <c r="O574" i="9" s="1"/>
  <c r="N575" i="9"/>
  <c r="O575" i="9" s="1"/>
  <c r="N576" i="9"/>
  <c r="O576" i="9" s="1"/>
  <c r="N577" i="9"/>
  <c r="O577" i="9" s="1"/>
  <c r="N578" i="9"/>
  <c r="O578" i="9" s="1"/>
  <c r="N579" i="9"/>
  <c r="O579" i="9" s="1"/>
  <c r="N580" i="9"/>
  <c r="O580" i="9" s="1"/>
  <c r="N581" i="9"/>
  <c r="O581" i="9" s="1"/>
  <c r="N582" i="9"/>
  <c r="O582" i="9" s="1"/>
  <c r="N583" i="9"/>
  <c r="O583" i="9" s="1"/>
  <c r="N584" i="9"/>
  <c r="O584" i="9" s="1"/>
  <c r="N585" i="9"/>
  <c r="O585" i="9" s="1"/>
  <c r="N586" i="9"/>
  <c r="O586" i="9" s="1"/>
  <c r="N587" i="9"/>
  <c r="O587" i="9" s="1"/>
  <c r="N588" i="9"/>
  <c r="O588" i="9" s="1"/>
  <c r="N589" i="9"/>
  <c r="O589" i="9" s="1"/>
  <c r="N590" i="9"/>
  <c r="O590" i="9" s="1"/>
  <c r="N591" i="9"/>
  <c r="O591" i="9" s="1"/>
  <c r="N592" i="9"/>
  <c r="O592" i="9" s="1"/>
  <c r="N593" i="9"/>
  <c r="O593" i="9" s="1"/>
  <c r="N594" i="9"/>
  <c r="O594" i="9" s="1"/>
  <c r="N595" i="9"/>
  <c r="O595" i="9" s="1"/>
  <c r="N596" i="9"/>
  <c r="O596" i="9" s="1"/>
  <c r="N597" i="9"/>
  <c r="O597" i="9" s="1"/>
  <c r="N598" i="9"/>
  <c r="O598" i="9" s="1"/>
  <c r="N599" i="9"/>
  <c r="O599" i="9" s="1"/>
  <c r="N600" i="9"/>
  <c r="O600" i="9" s="1"/>
  <c r="N601" i="9"/>
  <c r="O601" i="9" s="1"/>
  <c r="N602" i="9"/>
  <c r="O602" i="9" s="1"/>
  <c r="N603" i="9"/>
  <c r="O603" i="9" s="1"/>
  <c r="N604" i="9"/>
  <c r="O604" i="9" s="1"/>
  <c r="N605" i="9"/>
  <c r="O605" i="9" s="1"/>
  <c r="N606" i="9"/>
  <c r="O606" i="9" s="1"/>
  <c r="N607" i="9"/>
  <c r="O607" i="9" s="1"/>
  <c r="N608" i="9"/>
  <c r="O608" i="9" s="1"/>
  <c r="N609" i="9"/>
  <c r="O609" i="9" s="1"/>
  <c r="N610" i="9"/>
  <c r="O610" i="9" s="1"/>
  <c r="N611" i="9"/>
  <c r="O611" i="9" s="1"/>
  <c r="N612" i="9"/>
  <c r="O612" i="9" s="1"/>
  <c r="N613" i="9"/>
  <c r="O613" i="9" s="1"/>
  <c r="N614" i="9"/>
  <c r="O614" i="9" s="1"/>
  <c r="N615" i="9"/>
  <c r="O615" i="9" s="1"/>
  <c r="N616" i="9"/>
  <c r="O616" i="9" s="1"/>
  <c r="N617" i="9"/>
  <c r="O617" i="9" s="1"/>
  <c r="N618" i="9"/>
  <c r="O618" i="9" s="1"/>
  <c r="N619" i="9"/>
  <c r="O619" i="9" s="1"/>
  <c r="N620" i="9"/>
  <c r="O620" i="9" s="1"/>
  <c r="N621" i="9"/>
  <c r="O621" i="9" s="1"/>
  <c r="N622" i="9"/>
  <c r="O622" i="9" s="1"/>
  <c r="N623" i="9"/>
  <c r="O623" i="9" s="1"/>
  <c r="N624" i="9"/>
  <c r="O624" i="9" s="1"/>
  <c r="N625" i="9"/>
  <c r="O625" i="9" s="1"/>
  <c r="N626" i="9"/>
  <c r="O626" i="9" s="1"/>
  <c r="N627" i="9"/>
  <c r="O627" i="9" s="1"/>
  <c r="N628" i="9"/>
  <c r="O628" i="9" s="1"/>
  <c r="N629" i="9"/>
  <c r="O629" i="9" s="1"/>
  <c r="N630" i="9"/>
  <c r="O630" i="9" s="1"/>
  <c r="N631" i="9"/>
  <c r="O631" i="9" s="1"/>
  <c r="N632" i="9"/>
  <c r="O632" i="9" s="1"/>
  <c r="N633" i="9"/>
  <c r="O633" i="9" s="1"/>
  <c r="N634" i="9"/>
  <c r="O634" i="9" s="1"/>
  <c r="N635" i="9"/>
  <c r="O635" i="9" s="1"/>
  <c r="N636" i="9"/>
  <c r="O636" i="9" s="1"/>
  <c r="N637" i="9"/>
  <c r="O637" i="9" s="1"/>
  <c r="N638" i="9"/>
  <c r="O638" i="9" s="1"/>
  <c r="N639" i="9"/>
  <c r="O639" i="9" s="1"/>
  <c r="N640" i="9"/>
  <c r="O640" i="9" s="1"/>
  <c r="N641" i="9"/>
  <c r="O641" i="9" s="1"/>
  <c r="N642" i="9"/>
  <c r="O642" i="9" s="1"/>
  <c r="N643" i="9"/>
  <c r="O643" i="9" s="1"/>
  <c r="N644" i="9"/>
  <c r="O644" i="9" s="1"/>
  <c r="N645" i="9"/>
  <c r="O645" i="9" s="1"/>
  <c r="N646" i="9"/>
  <c r="O646" i="9" s="1"/>
  <c r="N647" i="9"/>
  <c r="O647" i="9" s="1"/>
  <c r="N648" i="9"/>
  <c r="O648" i="9" s="1"/>
  <c r="N649" i="9"/>
  <c r="O649" i="9" s="1"/>
  <c r="N650" i="9"/>
  <c r="O650" i="9" s="1"/>
  <c r="N651" i="9"/>
  <c r="O651" i="9" s="1"/>
  <c r="N652" i="9"/>
  <c r="O652" i="9" s="1"/>
  <c r="N653" i="9"/>
  <c r="O653" i="9" s="1"/>
  <c r="N654" i="9"/>
  <c r="O654" i="9" s="1"/>
  <c r="N655" i="9"/>
  <c r="O655" i="9" s="1"/>
  <c r="N656" i="9"/>
  <c r="O656" i="9" s="1"/>
  <c r="N657" i="9"/>
  <c r="O657" i="9" s="1"/>
  <c r="N658" i="9"/>
  <c r="O658" i="9" s="1"/>
  <c r="N659" i="9"/>
  <c r="O659" i="9" s="1"/>
  <c r="N660" i="9"/>
  <c r="O660" i="9" s="1"/>
  <c r="N661" i="9"/>
  <c r="O661" i="9" s="1"/>
  <c r="N662" i="9"/>
  <c r="O662" i="9" s="1"/>
  <c r="N663" i="9"/>
  <c r="O663" i="9" s="1"/>
  <c r="N664" i="9"/>
  <c r="O664" i="9" s="1"/>
  <c r="N665" i="9"/>
  <c r="O665" i="9" s="1"/>
  <c r="N666" i="9"/>
  <c r="O666" i="9" s="1"/>
  <c r="N667" i="9"/>
  <c r="O667" i="9" s="1"/>
  <c r="N668" i="9"/>
  <c r="O668" i="9" s="1"/>
  <c r="N669" i="9"/>
  <c r="O669" i="9" s="1"/>
  <c r="N670" i="9"/>
  <c r="O670" i="9" s="1"/>
  <c r="N671" i="9"/>
  <c r="O671" i="9" s="1"/>
  <c r="N672" i="9"/>
  <c r="O672" i="9" s="1"/>
  <c r="N673" i="9"/>
  <c r="O673" i="9" s="1"/>
  <c r="N674" i="9"/>
  <c r="O674" i="9" s="1"/>
  <c r="N675" i="9"/>
  <c r="O675" i="9" s="1"/>
  <c r="N676" i="9"/>
  <c r="O676" i="9" s="1"/>
  <c r="N677" i="9"/>
  <c r="O677" i="9" s="1"/>
  <c r="N678" i="9"/>
  <c r="O678" i="9" s="1"/>
  <c r="N679" i="9"/>
  <c r="O679" i="9" s="1"/>
  <c r="N680" i="9"/>
  <c r="O680" i="9" s="1"/>
  <c r="N681" i="9"/>
  <c r="O681" i="9" s="1"/>
  <c r="N682" i="9"/>
  <c r="O682" i="9" s="1"/>
  <c r="N683" i="9"/>
  <c r="O683" i="9" s="1"/>
  <c r="N684" i="9"/>
  <c r="O684" i="9" s="1"/>
  <c r="N685" i="9"/>
  <c r="O685" i="9" s="1"/>
  <c r="N686" i="9"/>
  <c r="O686" i="9" s="1"/>
  <c r="N687" i="9"/>
  <c r="O687" i="9" s="1"/>
  <c r="N688" i="9"/>
  <c r="O688" i="9" s="1"/>
  <c r="N689" i="9"/>
  <c r="O689" i="9" s="1"/>
  <c r="N690" i="9"/>
  <c r="O690" i="9" s="1"/>
  <c r="N691" i="9"/>
  <c r="O691" i="9" s="1"/>
  <c r="N692" i="9"/>
  <c r="O692" i="9" s="1"/>
  <c r="N693" i="9"/>
  <c r="O693" i="9" s="1"/>
  <c r="N694" i="9"/>
  <c r="O694" i="9" s="1"/>
  <c r="N695" i="9"/>
  <c r="O695" i="9" s="1"/>
  <c r="N696" i="9"/>
  <c r="O696" i="9" s="1"/>
  <c r="N697" i="9"/>
  <c r="O697" i="9" s="1"/>
  <c r="N698" i="9"/>
  <c r="O698" i="9" s="1"/>
  <c r="N699" i="9"/>
  <c r="O699" i="9" s="1"/>
  <c r="N700" i="9"/>
  <c r="O700" i="9" s="1"/>
  <c r="N701" i="9"/>
  <c r="O701" i="9" s="1"/>
  <c r="N702" i="9"/>
  <c r="O702" i="9" s="1"/>
  <c r="N703" i="9"/>
  <c r="O703" i="9" s="1"/>
  <c r="N704" i="9"/>
  <c r="O704" i="9" s="1"/>
  <c r="N705" i="9"/>
  <c r="O705" i="9" s="1"/>
  <c r="N706" i="9"/>
  <c r="O706" i="9" s="1"/>
  <c r="N707" i="9"/>
  <c r="O707" i="9" s="1"/>
  <c r="N708" i="9"/>
  <c r="O708" i="9" s="1"/>
  <c r="N709" i="9"/>
  <c r="O709" i="9" s="1"/>
  <c r="N710" i="9"/>
  <c r="O710" i="9" s="1"/>
  <c r="N711" i="9"/>
  <c r="O711" i="9" s="1"/>
  <c r="N712" i="9"/>
  <c r="O712" i="9" s="1"/>
  <c r="N713" i="9"/>
  <c r="O713" i="9" s="1"/>
  <c r="N714" i="9"/>
  <c r="O714" i="9" s="1"/>
  <c r="N715" i="9"/>
  <c r="O715" i="9" s="1"/>
  <c r="N716" i="9"/>
  <c r="O716" i="9" s="1"/>
  <c r="N717" i="9"/>
  <c r="O717" i="9" s="1"/>
  <c r="N718" i="9"/>
  <c r="O718" i="9" s="1"/>
  <c r="N719" i="9"/>
  <c r="O719" i="9" s="1"/>
  <c r="N720" i="9"/>
  <c r="O720" i="9" s="1"/>
  <c r="N721" i="9"/>
  <c r="O721" i="9" s="1"/>
  <c r="N722" i="9"/>
  <c r="O722" i="9" s="1"/>
  <c r="N723" i="9"/>
  <c r="O723" i="9" s="1"/>
  <c r="N724" i="9"/>
  <c r="O724" i="9" s="1"/>
  <c r="N725" i="9"/>
  <c r="O725" i="9" s="1"/>
  <c r="N726" i="9"/>
  <c r="O726" i="9" s="1"/>
  <c r="N727" i="9"/>
  <c r="O727" i="9" s="1"/>
  <c r="N728" i="9"/>
  <c r="O728" i="9" s="1"/>
  <c r="N729" i="9"/>
  <c r="O729" i="9" s="1"/>
  <c r="N730" i="9"/>
  <c r="O730" i="9" s="1"/>
  <c r="N731" i="9"/>
  <c r="O731" i="9" s="1"/>
  <c r="N732" i="9"/>
  <c r="O732" i="9" s="1"/>
  <c r="N733" i="9"/>
  <c r="O733" i="9" s="1"/>
  <c r="N734" i="9"/>
  <c r="O734" i="9" s="1"/>
  <c r="N735" i="9"/>
  <c r="O735" i="9" s="1"/>
  <c r="N736" i="9"/>
  <c r="O736" i="9" s="1"/>
  <c r="N737" i="9"/>
  <c r="O737" i="9" s="1"/>
  <c r="N738" i="9"/>
  <c r="O738" i="9" s="1"/>
  <c r="N739" i="9"/>
  <c r="O739" i="9" s="1"/>
  <c r="N740" i="9"/>
  <c r="O740" i="9" s="1"/>
  <c r="N741" i="9"/>
  <c r="O741" i="9" s="1"/>
  <c r="N742" i="9"/>
  <c r="O742" i="9" s="1"/>
  <c r="N743" i="9"/>
  <c r="O743" i="9" s="1"/>
  <c r="N744" i="9"/>
  <c r="O744" i="9" s="1"/>
  <c r="N745" i="9"/>
  <c r="O745" i="9" s="1"/>
  <c r="N746" i="9"/>
  <c r="O746" i="9" s="1"/>
  <c r="N747" i="9"/>
  <c r="O747" i="9" s="1"/>
  <c r="N748" i="9"/>
  <c r="O748" i="9" s="1"/>
  <c r="N749" i="9"/>
  <c r="O749" i="9" s="1"/>
  <c r="N750" i="9"/>
  <c r="O750" i="9" s="1"/>
  <c r="N751" i="9"/>
  <c r="O751" i="9" s="1"/>
  <c r="N752" i="9"/>
  <c r="O752" i="9" s="1"/>
  <c r="N753" i="9"/>
  <c r="O753" i="9" s="1"/>
  <c r="N754" i="9"/>
  <c r="O754" i="9" s="1"/>
  <c r="N755" i="9"/>
  <c r="O755" i="9" s="1"/>
  <c r="N756" i="9"/>
  <c r="O756" i="9" s="1"/>
  <c r="N757" i="9"/>
  <c r="O757" i="9" s="1"/>
  <c r="N758" i="9"/>
  <c r="O758" i="9" s="1"/>
  <c r="N759" i="9"/>
  <c r="O759" i="9" s="1"/>
  <c r="N760" i="9"/>
  <c r="O760" i="9" s="1"/>
  <c r="N761" i="9"/>
  <c r="O761" i="9" s="1"/>
  <c r="N762" i="9"/>
  <c r="O762" i="9" s="1"/>
  <c r="N763" i="9"/>
  <c r="O763" i="9" s="1"/>
  <c r="N764" i="9"/>
  <c r="O764" i="9" s="1"/>
  <c r="N765" i="9"/>
  <c r="O765" i="9" s="1"/>
  <c r="N766" i="9"/>
  <c r="O766" i="9" s="1"/>
  <c r="N767" i="9"/>
  <c r="O767" i="9" s="1"/>
  <c r="N768" i="9"/>
  <c r="O768" i="9" s="1"/>
  <c r="N769" i="9"/>
  <c r="O769" i="9" s="1"/>
  <c r="N770" i="9"/>
  <c r="O770" i="9" s="1"/>
  <c r="N771" i="9"/>
  <c r="O771" i="9" s="1"/>
  <c r="N772" i="9"/>
  <c r="O772" i="9" s="1"/>
  <c r="N773" i="9"/>
  <c r="O773" i="9" s="1"/>
  <c r="N774" i="9"/>
  <c r="O774" i="9" s="1"/>
  <c r="N775" i="9"/>
  <c r="O775" i="9" s="1"/>
  <c r="N776" i="9"/>
  <c r="O776" i="9" s="1"/>
  <c r="N777" i="9"/>
  <c r="O777" i="9" s="1"/>
  <c r="N778" i="9"/>
  <c r="O778" i="9" s="1"/>
  <c r="N779" i="9"/>
  <c r="O779" i="9" s="1"/>
  <c r="N780" i="9"/>
  <c r="O780" i="9" s="1"/>
  <c r="N781" i="9"/>
  <c r="O781" i="9" s="1"/>
  <c r="N782" i="9"/>
  <c r="O782" i="9" s="1"/>
  <c r="N783" i="9"/>
  <c r="O783" i="9" s="1"/>
  <c r="N784" i="9"/>
  <c r="O784" i="9" s="1"/>
  <c r="N785" i="9"/>
  <c r="O785" i="9" s="1"/>
  <c r="N786" i="9"/>
  <c r="O786" i="9" s="1"/>
  <c r="N787" i="9"/>
  <c r="O787" i="9" s="1"/>
  <c r="N788" i="9"/>
  <c r="O788" i="9" s="1"/>
  <c r="N789" i="9"/>
  <c r="O789" i="9" s="1"/>
  <c r="N790" i="9"/>
  <c r="O790" i="9" s="1"/>
  <c r="N791" i="9"/>
  <c r="O791" i="9" s="1"/>
  <c r="N792" i="9"/>
  <c r="O792" i="9" s="1"/>
  <c r="N793" i="9"/>
  <c r="O793" i="9" s="1"/>
  <c r="N794" i="9"/>
  <c r="O794" i="9" s="1"/>
  <c r="N795" i="9"/>
  <c r="O795" i="9" s="1"/>
  <c r="N796" i="9"/>
  <c r="O796" i="9" s="1"/>
  <c r="N797" i="9"/>
  <c r="O797" i="9" s="1"/>
  <c r="N798" i="9"/>
  <c r="O798" i="9" s="1"/>
  <c r="N799" i="9"/>
  <c r="O799" i="9" s="1"/>
  <c r="N800" i="9"/>
  <c r="O800" i="9" s="1"/>
  <c r="N801" i="9"/>
  <c r="O801" i="9" s="1"/>
  <c r="N802" i="9"/>
  <c r="O802" i="9" s="1"/>
  <c r="N803" i="9"/>
  <c r="O803" i="9" s="1"/>
  <c r="N804" i="9"/>
  <c r="O804" i="9" s="1"/>
  <c r="N805" i="9"/>
  <c r="O805" i="9" s="1"/>
  <c r="N806" i="9"/>
  <c r="O806" i="9" s="1"/>
  <c r="N807" i="9"/>
  <c r="O807" i="9" s="1"/>
  <c r="N808" i="9"/>
  <c r="O808" i="9" s="1"/>
  <c r="N809" i="9"/>
  <c r="O809" i="9" s="1"/>
  <c r="N810" i="9"/>
  <c r="O810" i="9" s="1"/>
  <c r="N811" i="9"/>
  <c r="O811" i="9" s="1"/>
  <c r="N812" i="9"/>
  <c r="O812" i="9" s="1"/>
  <c r="N813" i="9"/>
  <c r="O813" i="9" s="1"/>
  <c r="N814" i="9"/>
  <c r="O814" i="9" s="1"/>
  <c r="N815" i="9"/>
  <c r="O815" i="9" s="1"/>
  <c r="N816" i="9"/>
  <c r="O816" i="9" s="1"/>
  <c r="N817" i="9"/>
  <c r="O817" i="9" s="1"/>
  <c r="N818" i="9"/>
  <c r="O818" i="9" s="1"/>
  <c r="N819" i="9"/>
  <c r="O819" i="9" s="1"/>
  <c r="N820" i="9"/>
  <c r="O820" i="9" s="1"/>
  <c r="N821" i="9"/>
  <c r="O821" i="9" s="1"/>
  <c r="N822" i="9"/>
  <c r="O822" i="9" s="1"/>
  <c r="N823" i="9"/>
  <c r="O823" i="9" s="1"/>
  <c r="N824" i="9"/>
  <c r="O824" i="9" s="1"/>
  <c r="N825" i="9"/>
  <c r="O825" i="9" s="1"/>
  <c r="N826" i="9"/>
  <c r="O826" i="9" s="1"/>
  <c r="N827" i="9"/>
  <c r="O827" i="9" s="1"/>
  <c r="N828" i="9"/>
  <c r="O828" i="9" s="1"/>
  <c r="N829" i="9"/>
  <c r="O829" i="9" s="1"/>
  <c r="N830" i="9"/>
  <c r="O830" i="9" s="1"/>
  <c r="N831" i="9"/>
  <c r="O831" i="9" s="1"/>
  <c r="N832" i="9"/>
  <c r="O832" i="9" s="1"/>
  <c r="N833" i="9"/>
  <c r="O833" i="9" s="1"/>
  <c r="N834" i="9"/>
  <c r="O834" i="9" s="1"/>
  <c r="N835" i="9"/>
  <c r="O835" i="9" s="1"/>
  <c r="N836" i="9"/>
  <c r="O836" i="9" s="1"/>
  <c r="N837" i="9"/>
  <c r="O837" i="9" s="1"/>
  <c r="N838" i="9"/>
  <c r="O838" i="9" s="1"/>
  <c r="N839" i="9"/>
  <c r="O839" i="9" s="1"/>
  <c r="N840" i="9"/>
  <c r="O840" i="9" s="1"/>
  <c r="N841" i="9"/>
  <c r="O841" i="9" s="1"/>
  <c r="N842" i="9"/>
  <c r="O842" i="9" s="1"/>
  <c r="N843" i="9"/>
  <c r="O843" i="9" s="1"/>
  <c r="N844" i="9"/>
  <c r="O844" i="9" s="1"/>
  <c r="N845" i="9"/>
  <c r="O845" i="9" s="1"/>
  <c r="N846" i="9"/>
  <c r="O846" i="9" s="1"/>
  <c r="N847" i="9"/>
  <c r="O847" i="9" s="1"/>
  <c r="N848" i="9"/>
  <c r="O848" i="9" s="1"/>
  <c r="N849" i="9"/>
  <c r="O849" i="9" s="1"/>
  <c r="N850" i="9"/>
  <c r="O850" i="9" s="1"/>
  <c r="N851" i="9"/>
  <c r="O851" i="9" s="1"/>
  <c r="N852" i="9"/>
  <c r="O852" i="9" s="1"/>
  <c r="N853" i="9"/>
  <c r="O853" i="9" s="1"/>
  <c r="N854" i="9"/>
  <c r="O854" i="9" s="1"/>
  <c r="N855" i="9"/>
  <c r="O855" i="9" s="1"/>
  <c r="N856" i="9"/>
  <c r="O856" i="9" s="1"/>
  <c r="N857" i="9"/>
  <c r="O857" i="9" s="1"/>
  <c r="N858" i="9"/>
  <c r="O858" i="9" s="1"/>
  <c r="N859" i="9"/>
  <c r="O859" i="9" s="1"/>
  <c r="N860" i="9"/>
  <c r="O860" i="9" s="1"/>
  <c r="N861" i="9"/>
  <c r="O861" i="9" s="1"/>
  <c r="N862" i="9"/>
  <c r="O862" i="9" s="1"/>
  <c r="N863" i="9"/>
  <c r="O863" i="9" s="1"/>
  <c r="N864" i="9"/>
  <c r="O864" i="9" s="1"/>
  <c r="N865" i="9"/>
  <c r="O865" i="9" s="1"/>
  <c r="N866" i="9"/>
  <c r="O866" i="9" s="1"/>
  <c r="N867" i="9"/>
  <c r="O867" i="9" s="1"/>
  <c r="N868" i="9"/>
  <c r="O868" i="9" s="1"/>
  <c r="N869" i="9"/>
  <c r="O869" i="9" s="1"/>
  <c r="N870" i="9"/>
  <c r="O870" i="9" s="1"/>
  <c r="N871" i="9"/>
  <c r="O871" i="9" s="1"/>
  <c r="N872" i="9"/>
  <c r="O872" i="9" s="1"/>
  <c r="N873" i="9"/>
  <c r="O873" i="9" s="1"/>
  <c r="N874" i="9"/>
  <c r="O874" i="9" s="1"/>
  <c r="N875" i="9"/>
  <c r="O875" i="9" s="1"/>
  <c r="N876" i="9"/>
  <c r="O876" i="9" s="1"/>
  <c r="N877" i="9"/>
  <c r="O877" i="9" s="1"/>
  <c r="N878" i="9"/>
  <c r="O878" i="9" s="1"/>
  <c r="N879" i="9"/>
  <c r="O879" i="9" s="1"/>
  <c r="N880" i="9"/>
  <c r="O880" i="9" s="1"/>
  <c r="N881" i="9"/>
  <c r="O881" i="9" s="1"/>
  <c r="N882" i="9"/>
  <c r="O882" i="9" s="1"/>
  <c r="N883" i="9"/>
  <c r="O883" i="9" s="1"/>
  <c r="N884" i="9"/>
  <c r="O884" i="9" s="1"/>
  <c r="N885" i="9"/>
  <c r="O885" i="9" s="1"/>
  <c r="N886" i="9"/>
  <c r="O886" i="9" s="1"/>
  <c r="N887" i="9"/>
  <c r="O887" i="9" s="1"/>
  <c r="N888" i="9"/>
  <c r="O888" i="9" s="1"/>
  <c r="N889" i="9"/>
  <c r="O889" i="9" s="1"/>
  <c r="N890" i="9"/>
  <c r="O890" i="9" s="1"/>
  <c r="N891" i="9"/>
  <c r="O891" i="9" s="1"/>
  <c r="N892" i="9"/>
  <c r="O892" i="9" s="1"/>
  <c r="N893" i="9"/>
  <c r="O893" i="9" s="1"/>
  <c r="N894" i="9"/>
  <c r="O894" i="9" s="1"/>
  <c r="N895" i="9"/>
  <c r="O895" i="9" s="1"/>
  <c r="N896" i="9"/>
  <c r="O896" i="9" s="1"/>
  <c r="N897" i="9"/>
  <c r="O897" i="9" s="1"/>
  <c r="N898" i="9"/>
  <c r="O898" i="9" s="1"/>
  <c r="N899" i="9"/>
  <c r="O899" i="9" s="1"/>
  <c r="N900" i="9"/>
  <c r="O900" i="9" s="1"/>
  <c r="N901" i="9"/>
  <c r="O901" i="9" s="1"/>
  <c r="N902" i="9"/>
  <c r="O902" i="9" s="1"/>
  <c r="N903" i="9"/>
  <c r="O903" i="9" s="1"/>
  <c r="N904" i="9"/>
  <c r="O904" i="9" s="1"/>
  <c r="N905" i="9"/>
  <c r="O905" i="9" s="1"/>
  <c r="N906" i="9"/>
  <c r="O906" i="9" s="1"/>
  <c r="N907" i="9"/>
  <c r="O907" i="9" s="1"/>
  <c r="N908" i="9"/>
  <c r="O908" i="9" s="1"/>
  <c r="N909" i="9"/>
  <c r="O909" i="9" s="1"/>
  <c r="N910" i="9"/>
  <c r="O910" i="9" s="1"/>
  <c r="N911" i="9"/>
  <c r="O911" i="9" s="1"/>
  <c r="N912" i="9"/>
  <c r="O912" i="9" s="1"/>
  <c r="N913" i="9"/>
  <c r="O913" i="9" s="1"/>
  <c r="N914" i="9"/>
  <c r="O914" i="9" s="1"/>
  <c r="N915" i="9"/>
  <c r="O915" i="9" s="1"/>
  <c r="N916" i="9"/>
  <c r="O916" i="9" s="1"/>
  <c r="N917" i="9"/>
  <c r="O917" i="9" s="1"/>
  <c r="N918" i="9"/>
  <c r="O918" i="9" s="1"/>
  <c r="N919" i="9"/>
  <c r="O919" i="9" s="1"/>
  <c r="N920" i="9"/>
  <c r="O920" i="9" s="1"/>
  <c r="N921" i="9"/>
  <c r="O921" i="9" s="1"/>
  <c r="N922" i="9"/>
  <c r="O922" i="9" s="1"/>
  <c r="N923" i="9"/>
  <c r="O923" i="9" s="1"/>
  <c r="N924" i="9"/>
  <c r="O924" i="9" s="1"/>
  <c r="N925" i="9"/>
  <c r="O925" i="9" s="1"/>
  <c r="N926" i="9"/>
  <c r="O926" i="9" s="1"/>
  <c r="N927" i="9"/>
  <c r="O927" i="9" s="1"/>
  <c r="N928" i="9"/>
  <c r="O928" i="9" s="1"/>
  <c r="N929" i="9"/>
  <c r="O929" i="9" s="1"/>
  <c r="N930" i="9"/>
  <c r="O930" i="9" s="1"/>
  <c r="N931" i="9"/>
  <c r="O931" i="9" s="1"/>
  <c r="N932" i="9"/>
  <c r="O932" i="9" s="1"/>
  <c r="N933" i="9"/>
  <c r="O933" i="9" s="1"/>
  <c r="N934" i="9"/>
  <c r="O934" i="9" s="1"/>
  <c r="N935" i="9"/>
  <c r="O935" i="9" s="1"/>
  <c r="N936" i="9"/>
  <c r="O936" i="9" s="1"/>
  <c r="N937" i="9"/>
  <c r="O937" i="9" s="1"/>
  <c r="N938" i="9"/>
  <c r="O938" i="9" s="1"/>
  <c r="N939" i="9"/>
  <c r="O939" i="9" s="1"/>
  <c r="N940" i="9"/>
  <c r="O940" i="9" s="1"/>
  <c r="N941" i="9"/>
  <c r="O941" i="9" s="1"/>
  <c r="N942" i="9"/>
  <c r="O942" i="9" s="1"/>
  <c r="N943" i="9"/>
  <c r="O943" i="9" s="1"/>
  <c r="N944" i="9"/>
  <c r="O944" i="9" s="1"/>
  <c r="N945" i="9"/>
  <c r="O945" i="9" s="1"/>
  <c r="N946" i="9"/>
  <c r="O946" i="9" s="1"/>
  <c r="N947" i="9"/>
  <c r="O947" i="9" s="1"/>
  <c r="N948" i="9"/>
  <c r="O948" i="9" s="1"/>
  <c r="N949" i="9"/>
  <c r="O949" i="9" s="1"/>
  <c r="N950" i="9"/>
  <c r="O950" i="9" s="1"/>
  <c r="N951" i="9"/>
  <c r="O951" i="9" s="1"/>
  <c r="N952" i="9"/>
  <c r="O952" i="9" s="1"/>
  <c r="N953" i="9"/>
  <c r="O953" i="9" s="1"/>
  <c r="N954" i="9"/>
  <c r="O954" i="9" s="1"/>
  <c r="N955" i="9"/>
  <c r="O955" i="9" s="1"/>
  <c r="N956" i="9"/>
  <c r="O956" i="9" s="1"/>
  <c r="N957" i="9"/>
  <c r="O957" i="9" s="1"/>
  <c r="N958" i="9"/>
  <c r="O958" i="9" s="1"/>
  <c r="N959" i="9"/>
  <c r="O959" i="9" s="1"/>
  <c r="N960" i="9"/>
  <c r="O960" i="9" s="1"/>
  <c r="N961" i="9"/>
  <c r="O961" i="9" s="1"/>
  <c r="N962" i="9"/>
  <c r="O962" i="9" s="1"/>
  <c r="N963" i="9"/>
  <c r="O963" i="9" s="1"/>
  <c r="N964" i="9"/>
  <c r="O964" i="9" s="1"/>
  <c r="N965" i="9"/>
  <c r="O965" i="9" s="1"/>
  <c r="N966" i="9"/>
  <c r="O966" i="9" s="1"/>
  <c r="N967" i="9"/>
  <c r="O967" i="9" s="1"/>
  <c r="N968" i="9"/>
  <c r="O968" i="9" s="1"/>
  <c r="N969" i="9"/>
  <c r="O969" i="9" s="1"/>
  <c r="N970" i="9"/>
  <c r="O970" i="9" s="1"/>
  <c r="N971" i="9"/>
  <c r="O971" i="9" s="1"/>
  <c r="N972" i="9"/>
  <c r="O972" i="9" s="1"/>
  <c r="N973" i="9"/>
  <c r="O973" i="9" s="1"/>
  <c r="N974" i="9"/>
  <c r="O974" i="9" s="1"/>
  <c r="N975" i="9"/>
  <c r="O975" i="9" s="1"/>
  <c r="N976" i="9"/>
  <c r="O976" i="9" s="1"/>
  <c r="N977" i="9"/>
  <c r="O977" i="9" s="1"/>
  <c r="N978" i="9"/>
  <c r="O978" i="9" s="1"/>
  <c r="N979" i="9"/>
  <c r="O979" i="9" s="1"/>
  <c r="N980" i="9"/>
  <c r="O980" i="9" s="1"/>
  <c r="N981" i="9"/>
  <c r="O981" i="9" s="1"/>
  <c r="N982" i="9"/>
  <c r="O982" i="9" s="1"/>
  <c r="N983" i="9"/>
  <c r="O983" i="9" s="1"/>
  <c r="N984" i="9"/>
  <c r="O984" i="9" s="1"/>
  <c r="N985" i="9"/>
  <c r="O985" i="9" s="1"/>
  <c r="N986" i="9"/>
  <c r="O986" i="9" s="1"/>
  <c r="N987" i="9"/>
  <c r="O987" i="9" s="1"/>
  <c r="N988" i="9"/>
  <c r="O988" i="9" s="1"/>
  <c r="N989" i="9"/>
  <c r="O989" i="9" s="1"/>
  <c r="N990" i="9"/>
  <c r="O990" i="9" s="1"/>
  <c r="N991" i="9"/>
  <c r="O991" i="9" s="1"/>
  <c r="N992" i="9"/>
  <c r="O992" i="9" s="1"/>
  <c r="N993" i="9"/>
  <c r="O993" i="9" s="1"/>
  <c r="N994" i="9"/>
  <c r="O994" i="9" s="1"/>
  <c r="N995" i="9"/>
  <c r="O995" i="9" s="1"/>
  <c r="N996" i="9"/>
  <c r="O996" i="9" s="1"/>
  <c r="N997" i="9"/>
  <c r="O997" i="9" s="1"/>
  <c r="N998" i="9"/>
  <c r="O998" i="9" s="1"/>
  <c r="N999" i="9"/>
  <c r="O999" i="9" s="1"/>
  <c r="N1000" i="9"/>
  <c r="O1000" i="9" s="1"/>
  <c r="N1001" i="9"/>
  <c r="O1001" i="9" s="1"/>
  <c r="N1002" i="9"/>
  <c r="O1002" i="9" s="1"/>
  <c r="N1003" i="9"/>
  <c r="O1003" i="9" s="1"/>
  <c r="N1004" i="9"/>
  <c r="O1004" i="9" s="1"/>
  <c r="N1005" i="9"/>
  <c r="O1005" i="9" s="1"/>
  <c r="N1006" i="9"/>
  <c r="O1006" i="9" s="1"/>
  <c r="N1007" i="9"/>
  <c r="O1007" i="9" s="1"/>
  <c r="N1008" i="9"/>
  <c r="O1008" i="9" s="1"/>
  <c r="N1009" i="9"/>
  <c r="O1009" i="9" s="1"/>
  <c r="N1010" i="9"/>
  <c r="O1010" i="9" s="1"/>
  <c r="N1011" i="9"/>
  <c r="O1011" i="9" s="1"/>
  <c r="N1012" i="9"/>
  <c r="O1012" i="9" s="1"/>
  <c r="N1013" i="9"/>
  <c r="O1013" i="9" s="1"/>
  <c r="N1014" i="9"/>
  <c r="O1014" i="9" s="1"/>
  <c r="N1015" i="9"/>
  <c r="O1015" i="9" s="1"/>
  <c r="N1016" i="9"/>
  <c r="O1016" i="9" s="1"/>
  <c r="N1017" i="9"/>
  <c r="O1017" i="9" s="1"/>
  <c r="N1018" i="9"/>
  <c r="O1018" i="9" s="1"/>
  <c r="N1019" i="9"/>
  <c r="O1019" i="9" s="1"/>
  <c r="N1020" i="9"/>
  <c r="O1020" i="9" s="1"/>
  <c r="N1021" i="9"/>
  <c r="O1021" i="9" s="1"/>
  <c r="N1022" i="9"/>
  <c r="O1022" i="9" s="1"/>
  <c r="N1023" i="9"/>
  <c r="O1023" i="9" s="1"/>
  <c r="N1024" i="9"/>
  <c r="O1024" i="9" s="1"/>
  <c r="N1025" i="9"/>
  <c r="O1025" i="9" s="1"/>
  <c r="N1026" i="9"/>
  <c r="O1026" i="9" s="1"/>
  <c r="N1027" i="9"/>
  <c r="O1027" i="9" s="1"/>
  <c r="N1028" i="9"/>
  <c r="O1028" i="9" s="1"/>
  <c r="N1029" i="9"/>
  <c r="O1029" i="9" s="1"/>
  <c r="N1030" i="9"/>
  <c r="O1030" i="9" s="1"/>
  <c r="N1031" i="9"/>
  <c r="O1031" i="9" s="1"/>
  <c r="N1032" i="9"/>
  <c r="O1032" i="9" s="1"/>
  <c r="N1033" i="9"/>
  <c r="O1033" i="9" s="1"/>
  <c r="N1034" i="9"/>
  <c r="O1034" i="9" s="1"/>
  <c r="N1035" i="9"/>
  <c r="O1035" i="9" s="1"/>
  <c r="N1036" i="9"/>
  <c r="O1036" i="9" s="1"/>
  <c r="N1037" i="9"/>
  <c r="O1037" i="9" s="1"/>
  <c r="N1038" i="9"/>
  <c r="O1038" i="9" s="1"/>
  <c r="N1039" i="9"/>
  <c r="O1039" i="9" s="1"/>
  <c r="N1040" i="9"/>
  <c r="O1040" i="9" s="1"/>
  <c r="N1041" i="9"/>
  <c r="O1041" i="9" s="1"/>
  <c r="N1042" i="9"/>
  <c r="O1042" i="9" s="1"/>
  <c r="N1043" i="9"/>
  <c r="O1043" i="9" s="1"/>
  <c r="N1044" i="9"/>
  <c r="O1044" i="9" s="1"/>
  <c r="N1045" i="9"/>
  <c r="O1045" i="9" s="1"/>
  <c r="N1046" i="9"/>
  <c r="O1046" i="9" s="1"/>
  <c r="N1047" i="9"/>
  <c r="O1047" i="9" s="1"/>
  <c r="N1048" i="9"/>
  <c r="O1048" i="9" s="1"/>
  <c r="N1049" i="9"/>
  <c r="O1049" i="9" s="1"/>
  <c r="N1050" i="9"/>
  <c r="O1050" i="9" s="1"/>
  <c r="N1051" i="9"/>
  <c r="O1051" i="9" s="1"/>
  <c r="N1052" i="9"/>
  <c r="O1052" i="9" s="1"/>
  <c r="N1053" i="9"/>
  <c r="O1053" i="9" s="1"/>
  <c r="N1054" i="9"/>
  <c r="O1054" i="9" s="1"/>
  <c r="N1055" i="9"/>
  <c r="O1055" i="9" s="1"/>
  <c r="N1056" i="9"/>
  <c r="O1056" i="9" s="1"/>
  <c r="N1057" i="9"/>
  <c r="O1057" i="9" s="1"/>
  <c r="N1058" i="9"/>
  <c r="O1058" i="9" s="1"/>
  <c r="N1059" i="9"/>
  <c r="O1059" i="9" s="1"/>
  <c r="N1060" i="9"/>
  <c r="O1060" i="9" s="1"/>
  <c r="N1061" i="9"/>
  <c r="O1061" i="9" s="1"/>
  <c r="N1062" i="9"/>
  <c r="O1062" i="9" s="1"/>
  <c r="N1063" i="9"/>
  <c r="O1063" i="9" s="1"/>
  <c r="N1064" i="9"/>
  <c r="O1064" i="9" s="1"/>
  <c r="N1065" i="9"/>
  <c r="O1065" i="9" s="1"/>
  <c r="N1066" i="9"/>
  <c r="O1066" i="9" s="1"/>
  <c r="N1067" i="9"/>
  <c r="O1067" i="9" s="1"/>
  <c r="N1068" i="9"/>
  <c r="O1068" i="9" s="1"/>
  <c r="N1069" i="9"/>
  <c r="O1069" i="9" s="1"/>
  <c r="N1070" i="9"/>
  <c r="O1070" i="9" s="1"/>
  <c r="N1071" i="9"/>
  <c r="O1071" i="9" s="1"/>
  <c r="N1072" i="9"/>
  <c r="O1072" i="9" s="1"/>
  <c r="N1073" i="9"/>
  <c r="O1073" i="9" s="1"/>
  <c r="N1074" i="9"/>
  <c r="O1074" i="9" s="1"/>
  <c r="N1075" i="9"/>
  <c r="O1075" i="9" s="1"/>
  <c r="N1076" i="9"/>
  <c r="O1076" i="9" s="1"/>
  <c r="N1077" i="9"/>
  <c r="O1077" i="9" s="1"/>
  <c r="N1078" i="9"/>
  <c r="O1078" i="9" s="1"/>
  <c r="N1079" i="9"/>
  <c r="O1079" i="9" s="1"/>
  <c r="N1080" i="9"/>
  <c r="O1080" i="9" s="1"/>
  <c r="N1081" i="9"/>
  <c r="O1081" i="9" s="1"/>
  <c r="N1082" i="9"/>
  <c r="O1082" i="9" s="1"/>
  <c r="N1083" i="9"/>
  <c r="O1083" i="9" s="1"/>
  <c r="N1084" i="9"/>
  <c r="O1084" i="9" s="1"/>
  <c r="N1085" i="9"/>
  <c r="O1085" i="9" s="1"/>
  <c r="N1086" i="9"/>
  <c r="O1086" i="9" s="1"/>
  <c r="N1087" i="9"/>
  <c r="O1087" i="9" s="1"/>
  <c r="N1088" i="9"/>
  <c r="O1088" i="9" s="1"/>
  <c r="N1089" i="9"/>
  <c r="O1089" i="9" s="1"/>
  <c r="N1090" i="9"/>
  <c r="O1090" i="9" s="1"/>
  <c r="N1091" i="9"/>
  <c r="O1091" i="9" s="1"/>
  <c r="N1092" i="9"/>
  <c r="O1092" i="9" s="1"/>
  <c r="N1093" i="9"/>
  <c r="O1093" i="9" s="1"/>
  <c r="N1094" i="9"/>
  <c r="O1094" i="9" s="1"/>
  <c r="N1095" i="9"/>
  <c r="O1095" i="9" s="1"/>
  <c r="N1096" i="9"/>
  <c r="O1096" i="9" s="1"/>
  <c r="N1097" i="9"/>
  <c r="O1097" i="9" s="1"/>
  <c r="N1098" i="9"/>
  <c r="O1098" i="9" s="1"/>
  <c r="N1099" i="9"/>
  <c r="O1099" i="9" s="1"/>
  <c r="N1100" i="9"/>
  <c r="O1100" i="9" s="1"/>
  <c r="N1101" i="9"/>
  <c r="O1101" i="9" s="1"/>
  <c r="N1102" i="9"/>
  <c r="O1102" i="9" s="1"/>
  <c r="N1103" i="9"/>
  <c r="O1103" i="9" s="1"/>
  <c r="N1104" i="9"/>
  <c r="O1104" i="9" s="1"/>
  <c r="N1105" i="9"/>
  <c r="O1105" i="9" s="1"/>
  <c r="N1106" i="9"/>
  <c r="O1106" i="9" s="1"/>
  <c r="N1107" i="9"/>
  <c r="O1107" i="9" s="1"/>
  <c r="N1108" i="9"/>
  <c r="O1108" i="9" s="1"/>
  <c r="N1109" i="9"/>
  <c r="O1109" i="9" s="1"/>
  <c r="N1110" i="9"/>
  <c r="O1110" i="9" s="1"/>
  <c r="N1111" i="9"/>
  <c r="O1111" i="9" s="1"/>
  <c r="N1112" i="9"/>
  <c r="O1112" i="9" s="1"/>
  <c r="N1113" i="9"/>
  <c r="O1113" i="9" s="1"/>
  <c r="N1114" i="9"/>
  <c r="O1114" i="9" s="1"/>
  <c r="N1115" i="9"/>
  <c r="O1115" i="9" s="1"/>
  <c r="N1116" i="9"/>
  <c r="O1116" i="9" s="1"/>
  <c r="N1117" i="9"/>
  <c r="O1117" i="9" s="1"/>
  <c r="N1118" i="9"/>
  <c r="O1118" i="9" s="1"/>
  <c r="N1119" i="9"/>
  <c r="O1119" i="9" s="1"/>
  <c r="N1120" i="9"/>
  <c r="O1120" i="9" s="1"/>
  <c r="N1121" i="9"/>
  <c r="O1121" i="9" s="1"/>
  <c r="N1122" i="9"/>
  <c r="O1122" i="9" s="1"/>
  <c r="N1123" i="9"/>
  <c r="O1123" i="9" s="1"/>
  <c r="N1124" i="9"/>
  <c r="O1124" i="9" s="1"/>
  <c r="N1125" i="9"/>
  <c r="O1125" i="9" s="1"/>
  <c r="N1126" i="9"/>
  <c r="O1126" i="9" s="1"/>
  <c r="N1127" i="9"/>
  <c r="O1127" i="9" s="1"/>
  <c r="N1128" i="9"/>
  <c r="O1128" i="9" s="1"/>
  <c r="N1129" i="9"/>
  <c r="O1129" i="9" s="1"/>
  <c r="N1130" i="9"/>
  <c r="O1130" i="9" s="1"/>
  <c r="N1131" i="9"/>
  <c r="O1131" i="9" s="1"/>
  <c r="N1132" i="9"/>
  <c r="O1132" i="9" s="1"/>
  <c r="N1133" i="9"/>
  <c r="O1133" i="9" s="1"/>
  <c r="N1134" i="9"/>
  <c r="O1134" i="9" s="1"/>
  <c r="N1135" i="9"/>
  <c r="O1135" i="9" s="1"/>
  <c r="N1136" i="9"/>
  <c r="O1136" i="9" s="1"/>
  <c r="N1137" i="9"/>
  <c r="O1137" i="9" s="1"/>
  <c r="N1138" i="9"/>
  <c r="O1138" i="9" s="1"/>
  <c r="N1139" i="9"/>
  <c r="O1139" i="9" s="1"/>
  <c r="N1140" i="9"/>
  <c r="O1140" i="9" s="1"/>
  <c r="N1141" i="9"/>
  <c r="O1141" i="9" s="1"/>
  <c r="N1142" i="9"/>
  <c r="O1142" i="9" s="1"/>
  <c r="N1143" i="9"/>
  <c r="O1143" i="9" s="1"/>
  <c r="N1144" i="9"/>
  <c r="O1144" i="9" s="1"/>
  <c r="N1145" i="9"/>
  <c r="O1145" i="9" s="1"/>
  <c r="N1146" i="9"/>
  <c r="O1146" i="9" s="1"/>
  <c r="N1147" i="9"/>
  <c r="O1147" i="9" s="1"/>
  <c r="N1148" i="9"/>
  <c r="O1148" i="9" s="1"/>
  <c r="N1149" i="9"/>
  <c r="O1149" i="9" s="1"/>
  <c r="N1150" i="9"/>
  <c r="O1150" i="9" s="1"/>
  <c r="N1151" i="9"/>
  <c r="O1151" i="9" s="1"/>
  <c r="N1152" i="9"/>
  <c r="O1152" i="9" s="1"/>
  <c r="N1153" i="9"/>
  <c r="O1153" i="9" s="1"/>
  <c r="N1154" i="9"/>
  <c r="O1154" i="9" s="1"/>
  <c r="N1155" i="9"/>
  <c r="O1155" i="9" s="1"/>
  <c r="N1156" i="9"/>
  <c r="O1156" i="9" s="1"/>
  <c r="N1157" i="9"/>
  <c r="O1157" i="9" s="1"/>
  <c r="N1158" i="9"/>
  <c r="O1158" i="9" s="1"/>
  <c r="N1159" i="9"/>
  <c r="O1159" i="9" s="1"/>
  <c r="N1160" i="9"/>
  <c r="O1160" i="9" s="1"/>
  <c r="N1161" i="9"/>
  <c r="O1161" i="9" s="1"/>
  <c r="N1162" i="9"/>
  <c r="O1162" i="9" s="1"/>
  <c r="N1163" i="9"/>
  <c r="O1163" i="9" s="1"/>
  <c r="N1164" i="9"/>
  <c r="O1164" i="9" s="1"/>
  <c r="N1165" i="9"/>
  <c r="O1165" i="9" s="1"/>
  <c r="N1166" i="9"/>
  <c r="O1166" i="9" s="1"/>
  <c r="N1167" i="9"/>
  <c r="O1167" i="9" s="1"/>
  <c r="N1168" i="9"/>
  <c r="O1168" i="9" s="1"/>
  <c r="N1169" i="9"/>
  <c r="O1169" i="9" s="1"/>
  <c r="N1170" i="9"/>
  <c r="O1170" i="9" s="1"/>
  <c r="N1171" i="9"/>
  <c r="O1171" i="9" s="1"/>
  <c r="N1172" i="9"/>
  <c r="O1172" i="9" s="1"/>
  <c r="N1173" i="9"/>
  <c r="O1173" i="9" s="1"/>
  <c r="N1174" i="9"/>
  <c r="O1174" i="9" s="1"/>
  <c r="N1175" i="9"/>
  <c r="O1175" i="9" s="1"/>
  <c r="N1176" i="9"/>
  <c r="O1176" i="9" s="1"/>
  <c r="N1177" i="9"/>
  <c r="O1177" i="9" s="1"/>
  <c r="N1178" i="9"/>
  <c r="O1178" i="9" s="1"/>
  <c r="N1179" i="9"/>
  <c r="O1179" i="9" s="1"/>
  <c r="N1180" i="9"/>
  <c r="O1180" i="9" s="1"/>
  <c r="N1181" i="9"/>
  <c r="O1181" i="9" s="1"/>
  <c r="N1182" i="9"/>
  <c r="O1182" i="9" s="1"/>
  <c r="N1183" i="9"/>
  <c r="O1183" i="9" s="1"/>
  <c r="N1184" i="9"/>
  <c r="O1184" i="9" s="1"/>
  <c r="N1185" i="9"/>
  <c r="O1185" i="9" s="1"/>
  <c r="N1186" i="9"/>
  <c r="O1186" i="9" s="1"/>
  <c r="N1187" i="9"/>
  <c r="O1187" i="9" s="1"/>
  <c r="N1188" i="9"/>
  <c r="O1188" i="9" s="1"/>
  <c r="N1189" i="9"/>
  <c r="O1189" i="9" s="1"/>
  <c r="N1190" i="9"/>
  <c r="O1190" i="9" s="1"/>
  <c r="N1191" i="9"/>
  <c r="O1191" i="9" s="1"/>
  <c r="N1192" i="9"/>
  <c r="O1192" i="9" s="1"/>
  <c r="N1193" i="9"/>
  <c r="O1193" i="9" s="1"/>
  <c r="N1194" i="9"/>
  <c r="O1194" i="9" s="1"/>
  <c r="N1195" i="9"/>
  <c r="O1195" i="9" s="1"/>
  <c r="N1196" i="9"/>
  <c r="O1196" i="9" s="1"/>
  <c r="N1197" i="9"/>
  <c r="O1197" i="9" s="1"/>
  <c r="N1198" i="9"/>
  <c r="O1198" i="9" s="1"/>
  <c r="N1199" i="9"/>
  <c r="O1199" i="9" s="1"/>
  <c r="N1200" i="9"/>
  <c r="O1200" i="9" s="1"/>
  <c r="N1201" i="9"/>
  <c r="O1201" i="9" s="1"/>
  <c r="N1202" i="9"/>
  <c r="O1202" i="9" s="1"/>
  <c r="N1203" i="9"/>
  <c r="O1203" i="9" s="1"/>
  <c r="N1204" i="9"/>
  <c r="O1204" i="9" s="1"/>
  <c r="N1205" i="9"/>
  <c r="O1205" i="9" s="1"/>
  <c r="N1206" i="9"/>
  <c r="O1206" i="9" s="1"/>
  <c r="N1207" i="9"/>
  <c r="O1207" i="9" s="1"/>
  <c r="N1208" i="9"/>
  <c r="O1208" i="9" s="1"/>
  <c r="N1209" i="9"/>
  <c r="O1209" i="9" s="1"/>
  <c r="N1210" i="9"/>
  <c r="O1210" i="9" s="1"/>
  <c r="N1211" i="9"/>
  <c r="O1211" i="9" s="1"/>
  <c r="N1212" i="9"/>
  <c r="O1212" i="9" s="1"/>
  <c r="N1213" i="9"/>
  <c r="O1213" i="9" s="1"/>
  <c r="N1214" i="9"/>
  <c r="O1214" i="9" s="1"/>
  <c r="N1215" i="9"/>
  <c r="O1215" i="9" s="1"/>
  <c r="N1216" i="9"/>
  <c r="O1216" i="9" s="1"/>
  <c r="N1217" i="9"/>
  <c r="O1217" i="9" s="1"/>
  <c r="N1218" i="9"/>
  <c r="O1218" i="9" s="1"/>
  <c r="N1219" i="9"/>
  <c r="O1219" i="9" s="1"/>
  <c r="N1220" i="9"/>
  <c r="O1220" i="9" s="1"/>
  <c r="N1221" i="9"/>
  <c r="O1221" i="9" s="1"/>
  <c r="N1222" i="9"/>
  <c r="O1222" i="9" s="1"/>
  <c r="N1223" i="9"/>
  <c r="O1223" i="9" s="1"/>
  <c r="N1224" i="9"/>
  <c r="O1224" i="9" s="1"/>
  <c r="N1225" i="9"/>
  <c r="O1225" i="9" s="1"/>
  <c r="N1226" i="9"/>
  <c r="O1226" i="9" s="1"/>
  <c r="N1227" i="9"/>
  <c r="O1227" i="9" s="1"/>
  <c r="N1228" i="9"/>
  <c r="O1228" i="9" s="1"/>
  <c r="N1229" i="9"/>
  <c r="O1229" i="9" s="1"/>
  <c r="N1230" i="9"/>
  <c r="O1230" i="9" s="1"/>
  <c r="N1231" i="9"/>
  <c r="O1231" i="9" s="1"/>
  <c r="N1232" i="9"/>
  <c r="O1232" i="9" s="1"/>
  <c r="N1233" i="9"/>
  <c r="O1233" i="9" s="1"/>
  <c r="N1234" i="9"/>
  <c r="O1234" i="9" s="1"/>
  <c r="N1235" i="9"/>
  <c r="O1235" i="9" s="1"/>
  <c r="N1236" i="9"/>
  <c r="O1236" i="9" s="1"/>
  <c r="N1237" i="9"/>
  <c r="O1237" i="9" s="1"/>
  <c r="N1238" i="9"/>
  <c r="O1238" i="9" s="1"/>
  <c r="N1239" i="9"/>
  <c r="O1239" i="9" s="1"/>
  <c r="N1240" i="9"/>
  <c r="O1240" i="9" s="1"/>
  <c r="N1241" i="9"/>
  <c r="O1241" i="9" s="1"/>
  <c r="N1242" i="9"/>
  <c r="O1242" i="9" s="1"/>
  <c r="N1243" i="9"/>
  <c r="O1243" i="9" s="1"/>
  <c r="N1244" i="9"/>
  <c r="O1244" i="9" s="1"/>
  <c r="N1245" i="9"/>
  <c r="O1245" i="9" s="1"/>
  <c r="N1246" i="9"/>
  <c r="O1246" i="9" s="1"/>
  <c r="N1247" i="9"/>
  <c r="O1247" i="9" s="1"/>
  <c r="N1248" i="9"/>
  <c r="O1248" i="9" s="1"/>
  <c r="N1249" i="9"/>
  <c r="O1249" i="9" s="1"/>
  <c r="N1250" i="9"/>
  <c r="O1250" i="9" s="1"/>
  <c r="N1251" i="9"/>
  <c r="O1251" i="9" s="1"/>
  <c r="N1252" i="9"/>
  <c r="O1252" i="9" s="1"/>
  <c r="N1253" i="9"/>
  <c r="O1253" i="9" s="1"/>
  <c r="N1254" i="9"/>
  <c r="O1254" i="9" s="1"/>
  <c r="N1255" i="9"/>
  <c r="O1255" i="9" s="1"/>
  <c r="N1256" i="9"/>
  <c r="O1256" i="9" s="1"/>
  <c r="N1257" i="9"/>
  <c r="O1257" i="9" s="1"/>
  <c r="N1258" i="9"/>
  <c r="O1258" i="9" s="1"/>
  <c r="N1259" i="9"/>
  <c r="O1259" i="9" s="1"/>
  <c r="N1260" i="9"/>
  <c r="O1260" i="9" s="1"/>
  <c r="N1261" i="9"/>
  <c r="O1261" i="9" s="1"/>
  <c r="N1262" i="9"/>
  <c r="O1262" i="9" s="1"/>
  <c r="N1263" i="9"/>
  <c r="O1263" i="9" s="1"/>
  <c r="N1264" i="9"/>
  <c r="O1264" i="9" s="1"/>
  <c r="N1265" i="9"/>
  <c r="O1265" i="9" s="1"/>
  <c r="N1266" i="9"/>
  <c r="O1266" i="9" s="1"/>
  <c r="N1267" i="9"/>
  <c r="O1267" i="9" s="1"/>
  <c r="N1268" i="9"/>
  <c r="O1268" i="9" s="1"/>
  <c r="N1269" i="9"/>
  <c r="O1269" i="9" s="1"/>
  <c r="N1270" i="9"/>
  <c r="O1270" i="9" s="1"/>
  <c r="N1271" i="9"/>
  <c r="O1271" i="9" s="1"/>
  <c r="N1272" i="9"/>
  <c r="O1272" i="9" s="1"/>
  <c r="N1273" i="9"/>
  <c r="O1273" i="9" s="1"/>
  <c r="N1274" i="9"/>
  <c r="O1274" i="9" s="1"/>
  <c r="N1275" i="9"/>
  <c r="O1275" i="9" s="1"/>
  <c r="N1276" i="9"/>
  <c r="O1276" i="9" s="1"/>
  <c r="N1277" i="9"/>
  <c r="O1277" i="9" s="1"/>
  <c r="N1278" i="9"/>
  <c r="O1278" i="9" s="1"/>
  <c r="N1279" i="9"/>
  <c r="O1279" i="9" s="1"/>
  <c r="N1280" i="9"/>
  <c r="O1280" i="9" s="1"/>
  <c r="N1281" i="9"/>
  <c r="O1281" i="9" s="1"/>
  <c r="N1282" i="9"/>
  <c r="O1282" i="9" s="1"/>
  <c r="N1283" i="9"/>
  <c r="O1283" i="9" s="1"/>
  <c r="N1284" i="9"/>
  <c r="O1284" i="9" s="1"/>
  <c r="N1285" i="9"/>
  <c r="O1285" i="9" s="1"/>
  <c r="N1286" i="9"/>
  <c r="O1286" i="9" s="1"/>
  <c r="N1287" i="9"/>
  <c r="O1287" i="9" s="1"/>
  <c r="N1288" i="9"/>
  <c r="O1288" i="9" s="1"/>
  <c r="N1289" i="9"/>
  <c r="O1289" i="9" s="1"/>
  <c r="N1290" i="9"/>
  <c r="O1290" i="9" s="1"/>
  <c r="N1291" i="9"/>
  <c r="O1291" i="9" s="1"/>
  <c r="N1292" i="9"/>
  <c r="O1292" i="9" s="1"/>
  <c r="N1293" i="9"/>
  <c r="O1293" i="9" s="1"/>
  <c r="N1294" i="9"/>
  <c r="O1294" i="9" s="1"/>
  <c r="N1295" i="9"/>
  <c r="O1295" i="9" s="1"/>
  <c r="N1296" i="9"/>
  <c r="O1296" i="9" s="1"/>
  <c r="N1297" i="9"/>
  <c r="O1297" i="9" s="1"/>
  <c r="N1298" i="9"/>
  <c r="O1298" i="9" s="1"/>
  <c r="N1299" i="9"/>
  <c r="O1299" i="9" s="1"/>
  <c r="N1300" i="9"/>
  <c r="O1300" i="9" s="1"/>
  <c r="N1301" i="9"/>
  <c r="O1301" i="9" s="1"/>
  <c r="N1302" i="9"/>
  <c r="O1302" i="9" s="1"/>
  <c r="N1303" i="9"/>
  <c r="O1303" i="9" s="1"/>
  <c r="N1304" i="9"/>
  <c r="O1304" i="9" s="1"/>
  <c r="N1305" i="9"/>
  <c r="O1305" i="9" s="1"/>
  <c r="N1306" i="9"/>
  <c r="O1306" i="9" s="1"/>
  <c r="N1307" i="9"/>
  <c r="O1307" i="9" s="1"/>
  <c r="N1308" i="9"/>
  <c r="O1308" i="9" s="1"/>
  <c r="N1309" i="9"/>
  <c r="O1309" i="9" s="1"/>
  <c r="N1310" i="9"/>
  <c r="O1310" i="9" s="1"/>
  <c r="N1311" i="9"/>
  <c r="O1311" i="9" s="1"/>
  <c r="N1312" i="9"/>
  <c r="O1312" i="9" s="1"/>
  <c r="N1313" i="9"/>
  <c r="O1313" i="9" s="1"/>
  <c r="N1314" i="9"/>
  <c r="O1314" i="9" s="1"/>
  <c r="N1315" i="9"/>
  <c r="O1315" i="9" s="1"/>
  <c r="N1316" i="9"/>
  <c r="O1316" i="9" s="1"/>
  <c r="N1317" i="9"/>
  <c r="O1317" i="9" s="1"/>
  <c r="N1318" i="9"/>
  <c r="O1318" i="9" s="1"/>
  <c r="N1319" i="9"/>
  <c r="O1319" i="9" s="1"/>
  <c r="N1320" i="9"/>
  <c r="O1320" i="9" s="1"/>
  <c r="N1321" i="9"/>
  <c r="O1321" i="9" s="1"/>
  <c r="N1322" i="9"/>
  <c r="O1322" i="9" s="1"/>
  <c r="N1323" i="9"/>
  <c r="O1323" i="9" s="1"/>
  <c r="N1324" i="9"/>
  <c r="O1324" i="9" s="1"/>
  <c r="N1325" i="9"/>
  <c r="O1325" i="9" s="1"/>
  <c r="N1326" i="9"/>
  <c r="O1326" i="9" s="1"/>
  <c r="N1327" i="9"/>
  <c r="O1327" i="9" s="1"/>
  <c r="N1328" i="9"/>
  <c r="O1328" i="9" s="1"/>
  <c r="N1329" i="9"/>
  <c r="O1329" i="9" s="1"/>
  <c r="N1330" i="9"/>
  <c r="O1330" i="9" s="1"/>
  <c r="N1331" i="9"/>
  <c r="O1331" i="9" s="1"/>
  <c r="N1332" i="9"/>
  <c r="O1332" i="9" s="1"/>
  <c r="N1333" i="9"/>
  <c r="O1333" i="9" s="1"/>
  <c r="N1334" i="9"/>
  <c r="O1334" i="9" s="1"/>
  <c r="N1335" i="9"/>
  <c r="O1335" i="9" s="1"/>
  <c r="N1336" i="9"/>
  <c r="O1336" i="9" s="1"/>
  <c r="N1337" i="9"/>
  <c r="O1337" i="9" s="1"/>
  <c r="N1338" i="9"/>
  <c r="O1338" i="9" s="1"/>
  <c r="N1339" i="9"/>
  <c r="O1339" i="9" s="1"/>
  <c r="N1340" i="9"/>
  <c r="O1340" i="9" s="1"/>
  <c r="N1341" i="9"/>
  <c r="O1341" i="9" s="1"/>
  <c r="N1342" i="9"/>
  <c r="O1342" i="9" s="1"/>
  <c r="N1343" i="9"/>
  <c r="O1343" i="9" s="1"/>
  <c r="N1344" i="9"/>
  <c r="O1344" i="9" s="1"/>
  <c r="N1345" i="9"/>
  <c r="O1345" i="9" s="1"/>
  <c r="N1346" i="9"/>
  <c r="O1346" i="9" s="1"/>
  <c r="N1347" i="9"/>
  <c r="O1347" i="9" s="1"/>
  <c r="N1348" i="9"/>
  <c r="O1348" i="9" s="1"/>
  <c r="N1349" i="9"/>
  <c r="O1349" i="9" s="1"/>
  <c r="N1350" i="9"/>
  <c r="O1350" i="9" s="1"/>
  <c r="N1351" i="9"/>
  <c r="O1351" i="9" s="1"/>
  <c r="N1352" i="9"/>
  <c r="O1352" i="9" s="1"/>
  <c r="N1353" i="9"/>
  <c r="O1353" i="9" s="1"/>
  <c r="N1354" i="9"/>
  <c r="O1354" i="9" s="1"/>
  <c r="N1355" i="9"/>
  <c r="O1355" i="9" s="1"/>
  <c r="N1356" i="9"/>
  <c r="O1356" i="9" s="1"/>
  <c r="N1357" i="9"/>
  <c r="O1357" i="9" s="1"/>
  <c r="N1358" i="9"/>
  <c r="O1358" i="9" s="1"/>
  <c r="N1359" i="9"/>
  <c r="O1359" i="9" s="1"/>
  <c r="N1360" i="9"/>
  <c r="O1360" i="9" s="1"/>
  <c r="N1361" i="9"/>
  <c r="O1361" i="9" s="1"/>
  <c r="N1362" i="9"/>
  <c r="O1362" i="9" s="1"/>
  <c r="N1363" i="9"/>
  <c r="O1363" i="9" s="1"/>
  <c r="N1364" i="9"/>
  <c r="O1364" i="9" s="1"/>
  <c r="N1365" i="9"/>
  <c r="O1365" i="9" s="1"/>
  <c r="N1366" i="9"/>
  <c r="O1366" i="9" s="1"/>
  <c r="N1367" i="9"/>
  <c r="O1367" i="9" s="1"/>
  <c r="N1368" i="9"/>
  <c r="O1368" i="9" s="1"/>
  <c r="N1369" i="9"/>
  <c r="O1369" i="9" s="1"/>
  <c r="N1370" i="9"/>
  <c r="O1370" i="9" s="1"/>
  <c r="N1371" i="9"/>
  <c r="O1371" i="9" s="1"/>
  <c r="N1372" i="9"/>
  <c r="O1372" i="9" s="1"/>
  <c r="N1373" i="9"/>
  <c r="O1373" i="9" s="1"/>
  <c r="N1374" i="9"/>
  <c r="O1374" i="9" s="1"/>
  <c r="N1375" i="9"/>
  <c r="O1375" i="9" s="1"/>
  <c r="N1376" i="9"/>
  <c r="O1376" i="9" s="1"/>
  <c r="N1377" i="9"/>
  <c r="O1377" i="9" s="1"/>
  <c r="N1378" i="9"/>
  <c r="O1378" i="9" s="1"/>
  <c r="N1379" i="9"/>
  <c r="O1379" i="9" s="1"/>
  <c r="N1380" i="9"/>
  <c r="O1380" i="9" s="1"/>
  <c r="N1381" i="9"/>
  <c r="O1381" i="9" s="1"/>
  <c r="N1382" i="9"/>
  <c r="O1382" i="9" s="1"/>
  <c r="N1383" i="9"/>
  <c r="O1383" i="9" s="1"/>
  <c r="N1384" i="9"/>
  <c r="O1384" i="9" s="1"/>
  <c r="N1385" i="9"/>
  <c r="O1385" i="9" s="1"/>
  <c r="N1386" i="9"/>
  <c r="O1386" i="9" s="1"/>
  <c r="N1387" i="9"/>
  <c r="O1387" i="9" s="1"/>
  <c r="N1388" i="9"/>
  <c r="O1388" i="9" s="1"/>
  <c r="N1389" i="9"/>
  <c r="O1389" i="9" s="1"/>
  <c r="N1390" i="9"/>
  <c r="O1390" i="9" s="1"/>
  <c r="N1391" i="9"/>
  <c r="O1391" i="9" s="1"/>
  <c r="N1392" i="9"/>
  <c r="O1392" i="9" s="1"/>
  <c r="N1393" i="9"/>
  <c r="O1393" i="9" s="1"/>
  <c r="N1394" i="9"/>
  <c r="O1394" i="9" s="1"/>
  <c r="N1395" i="9"/>
  <c r="O1395" i="9" s="1"/>
  <c r="N1396" i="9"/>
  <c r="O1396" i="9" s="1"/>
  <c r="N1397" i="9"/>
  <c r="O1397" i="9" s="1"/>
  <c r="N1398" i="9"/>
  <c r="O1398" i="9" s="1"/>
  <c r="N1399" i="9"/>
  <c r="O1399" i="9" s="1"/>
  <c r="N1400" i="9"/>
  <c r="O1400" i="9" s="1"/>
  <c r="N1401" i="9"/>
  <c r="O1401" i="9" s="1"/>
  <c r="N1402" i="9"/>
  <c r="O1402" i="9" s="1"/>
  <c r="N1403" i="9"/>
  <c r="O1403" i="9" s="1"/>
  <c r="N1404" i="9"/>
  <c r="O1404" i="9" s="1"/>
  <c r="N1405" i="9"/>
  <c r="O1405" i="9" s="1"/>
  <c r="N1406" i="9"/>
  <c r="O1406" i="9" s="1"/>
  <c r="N1407" i="9"/>
  <c r="O1407" i="9" s="1"/>
  <c r="N1408" i="9"/>
  <c r="O1408" i="9" s="1"/>
  <c r="N1409" i="9"/>
  <c r="O1409" i="9" s="1"/>
  <c r="N1410" i="9"/>
  <c r="O1410" i="9" s="1"/>
  <c r="N1411" i="9"/>
  <c r="O1411" i="9" s="1"/>
  <c r="N1412" i="9"/>
  <c r="O1412" i="9" s="1"/>
  <c r="N1413" i="9"/>
  <c r="O1413" i="9" s="1"/>
  <c r="N1414" i="9"/>
  <c r="O1414" i="9" s="1"/>
  <c r="N1415" i="9"/>
  <c r="O1415" i="9" s="1"/>
  <c r="N1416" i="9"/>
  <c r="O1416" i="9" s="1"/>
  <c r="N1417" i="9"/>
  <c r="O1417" i="9" s="1"/>
  <c r="N1418" i="9"/>
  <c r="O1418" i="9" s="1"/>
  <c r="N1419" i="9"/>
  <c r="O1419" i="9" s="1"/>
  <c r="N1420" i="9"/>
  <c r="O1420" i="9" s="1"/>
  <c r="N1421" i="9"/>
  <c r="O1421" i="9" s="1"/>
  <c r="N1422" i="9"/>
  <c r="O1422" i="9" s="1"/>
  <c r="N1423" i="9"/>
  <c r="O1423" i="9" s="1"/>
  <c r="N1424" i="9"/>
  <c r="O1424" i="9" s="1"/>
  <c r="N1425" i="9"/>
  <c r="O1425" i="9" s="1"/>
  <c r="N1426" i="9"/>
  <c r="O1426" i="9" s="1"/>
  <c r="N1427" i="9"/>
  <c r="O1427" i="9" s="1"/>
  <c r="N1428" i="9"/>
  <c r="O1428" i="9" s="1"/>
  <c r="N1429" i="9"/>
  <c r="O1429" i="9" s="1"/>
  <c r="N1430" i="9"/>
  <c r="O1430" i="9" s="1"/>
  <c r="N1431" i="9"/>
  <c r="O1431" i="9" s="1"/>
  <c r="N1432" i="9"/>
  <c r="O1432" i="9" s="1"/>
  <c r="N1433" i="9"/>
  <c r="O1433" i="9" s="1"/>
  <c r="N1434" i="9"/>
  <c r="O1434" i="9" s="1"/>
  <c r="N1435" i="9"/>
  <c r="O1435" i="9" s="1"/>
  <c r="N1436" i="9"/>
  <c r="O1436" i="9" s="1"/>
  <c r="N1437" i="9"/>
  <c r="O1437" i="9" s="1"/>
  <c r="N1438" i="9"/>
  <c r="O1438" i="9" s="1"/>
  <c r="N1439" i="9"/>
  <c r="O1439" i="9" s="1"/>
  <c r="N1440" i="9"/>
  <c r="O1440" i="9" s="1"/>
  <c r="N1441" i="9"/>
  <c r="O1441" i="9" s="1"/>
  <c r="N1442" i="9"/>
  <c r="O1442" i="9" s="1"/>
  <c r="N1443" i="9"/>
  <c r="O1443" i="9" s="1"/>
  <c r="N1444" i="9"/>
  <c r="O1444" i="9" s="1"/>
  <c r="N1445" i="9"/>
  <c r="O1445" i="9" s="1"/>
  <c r="N1446" i="9"/>
  <c r="O1446" i="9" s="1"/>
  <c r="N1447" i="9"/>
  <c r="O1447" i="9" s="1"/>
  <c r="N1448" i="9"/>
  <c r="O1448" i="9" s="1"/>
  <c r="N1449" i="9"/>
  <c r="O1449" i="9" s="1"/>
  <c r="N1450" i="9"/>
  <c r="O1450" i="9" s="1"/>
  <c r="N1451" i="9"/>
  <c r="O1451" i="9" s="1"/>
  <c r="N1452" i="9"/>
  <c r="O1452" i="9" s="1"/>
  <c r="N1453" i="9"/>
  <c r="O1453" i="9" s="1"/>
  <c r="N1454" i="9"/>
  <c r="O1454" i="9" s="1"/>
  <c r="N1455" i="9"/>
  <c r="O1455" i="9" s="1"/>
  <c r="N1456" i="9"/>
  <c r="O1456" i="9" s="1"/>
  <c r="N1457" i="9"/>
  <c r="O1457" i="9" s="1"/>
  <c r="N1458" i="9"/>
  <c r="O1458" i="9" s="1"/>
  <c r="N1459" i="9"/>
  <c r="O1459" i="9" s="1"/>
  <c r="N1460" i="9"/>
  <c r="O1460" i="9" s="1"/>
  <c r="N1461" i="9"/>
  <c r="O1461" i="9" s="1"/>
  <c r="N1462" i="9"/>
  <c r="O1462" i="9" s="1"/>
  <c r="N1463" i="9"/>
  <c r="O1463" i="9" s="1"/>
  <c r="N1464" i="9"/>
  <c r="O1464" i="9" s="1"/>
  <c r="N1465" i="9"/>
  <c r="O1465" i="9" s="1"/>
  <c r="N1466" i="9"/>
  <c r="O1466" i="9" s="1"/>
  <c r="N1467" i="9"/>
  <c r="O1467" i="9" s="1"/>
  <c r="N1468" i="9"/>
  <c r="O1468" i="9" s="1"/>
  <c r="N1469" i="9"/>
  <c r="O1469" i="9" s="1"/>
  <c r="N1470" i="9"/>
  <c r="O1470" i="9" s="1"/>
  <c r="N1471" i="9"/>
  <c r="O1471" i="9" s="1"/>
  <c r="N1472" i="9"/>
  <c r="O1472" i="9" s="1"/>
  <c r="N1473" i="9"/>
  <c r="O1473" i="9" s="1"/>
  <c r="N1474" i="9"/>
  <c r="O1474" i="9" s="1"/>
  <c r="N1475" i="9"/>
  <c r="O1475" i="9" s="1"/>
  <c r="N1476" i="9"/>
  <c r="O1476" i="9" s="1"/>
  <c r="N1477" i="9"/>
  <c r="O1477" i="9" s="1"/>
  <c r="N1478" i="9"/>
  <c r="O1478" i="9" s="1"/>
  <c r="N1479" i="9"/>
  <c r="O1479" i="9" s="1"/>
  <c r="N1480" i="9"/>
  <c r="O1480" i="9" s="1"/>
  <c r="N1481" i="9"/>
  <c r="O1481" i="9" s="1"/>
  <c r="N1482" i="9"/>
  <c r="O1482" i="9" s="1"/>
  <c r="N1483" i="9"/>
  <c r="O1483" i="9" s="1"/>
  <c r="N1484" i="9"/>
  <c r="O1484" i="9" s="1"/>
  <c r="N1485" i="9"/>
  <c r="O1485" i="9" s="1"/>
  <c r="N1486" i="9"/>
  <c r="O1486" i="9" s="1"/>
  <c r="N1487" i="9"/>
  <c r="O1487" i="9" s="1"/>
  <c r="N1488" i="9"/>
  <c r="O1488" i="9" s="1"/>
  <c r="N1489" i="9"/>
  <c r="O1489" i="9" s="1"/>
  <c r="N1490" i="9"/>
  <c r="O1490" i="9" s="1"/>
  <c r="N1491" i="9"/>
  <c r="O1491" i="9" s="1"/>
  <c r="N1492" i="9"/>
  <c r="O1492" i="9" s="1"/>
  <c r="N1493" i="9"/>
  <c r="O1493" i="9" s="1"/>
  <c r="N1494" i="9"/>
  <c r="O1494" i="9" s="1"/>
  <c r="N1495" i="9"/>
  <c r="O1495" i="9" s="1"/>
  <c r="N1496" i="9"/>
  <c r="O1496" i="9" s="1"/>
  <c r="N1497" i="9"/>
  <c r="O1497" i="9" s="1"/>
  <c r="N1498" i="9"/>
  <c r="O1498" i="9" s="1"/>
  <c r="N1499" i="9"/>
  <c r="O1499" i="9" s="1"/>
  <c r="N1500" i="9"/>
  <c r="O1500" i="9" s="1"/>
  <c r="N1501" i="9"/>
  <c r="O1501" i="9" s="1"/>
  <c r="N1502" i="9"/>
  <c r="O1502" i="9" s="1"/>
  <c r="N1503" i="9"/>
  <c r="O1503" i="9" s="1"/>
  <c r="N1504" i="9"/>
  <c r="O1504" i="9" s="1"/>
  <c r="N1505" i="9"/>
  <c r="O1505" i="9" s="1"/>
  <c r="N1506" i="9"/>
  <c r="O1506" i="9" s="1"/>
  <c r="N1507" i="9"/>
  <c r="O1507" i="9" s="1"/>
  <c r="N1508" i="9"/>
  <c r="O1508" i="9" s="1"/>
  <c r="N1509" i="9"/>
  <c r="O1509" i="9" s="1"/>
  <c r="N1510" i="9"/>
  <c r="O1510" i="9" s="1"/>
  <c r="N1511" i="9"/>
  <c r="O1511" i="9" s="1"/>
  <c r="N1512" i="9"/>
  <c r="O1512" i="9" s="1"/>
  <c r="N1513" i="9"/>
  <c r="O1513" i="9" s="1"/>
  <c r="N1514" i="9"/>
  <c r="O1514" i="9" s="1"/>
  <c r="N1515" i="9"/>
  <c r="O1515" i="9" s="1"/>
  <c r="N1516" i="9"/>
  <c r="O1516" i="9" s="1"/>
  <c r="N1517" i="9"/>
  <c r="O1517" i="9" s="1"/>
  <c r="N1518" i="9"/>
  <c r="O1518" i="9" s="1"/>
  <c r="N1519" i="9"/>
  <c r="O1519" i="9" s="1"/>
  <c r="N1520" i="9"/>
  <c r="O1520" i="9" s="1"/>
  <c r="N1521" i="9"/>
  <c r="O1521" i="9" s="1"/>
  <c r="N1522" i="9"/>
  <c r="O1522" i="9" s="1"/>
  <c r="N1523" i="9"/>
  <c r="O1523" i="9" s="1"/>
  <c r="N1524" i="9"/>
  <c r="O1524" i="9" s="1"/>
  <c r="N1525" i="9"/>
  <c r="O1525" i="9" s="1"/>
  <c r="N1526" i="9"/>
  <c r="O1526" i="9" s="1"/>
  <c r="N1527" i="9"/>
  <c r="O1527" i="9" s="1"/>
  <c r="N1528" i="9"/>
  <c r="O1528" i="9" s="1"/>
  <c r="N1529" i="9"/>
  <c r="O1529" i="9" s="1"/>
  <c r="N1530" i="9"/>
  <c r="O1530" i="9" s="1"/>
  <c r="N1531" i="9"/>
  <c r="O1531" i="9" s="1"/>
  <c r="N1532" i="9"/>
  <c r="O1532" i="9" s="1"/>
  <c r="N1533" i="9"/>
  <c r="O1533" i="9" s="1"/>
  <c r="N1534" i="9"/>
  <c r="O1534" i="9" s="1"/>
  <c r="N1535" i="9"/>
  <c r="O1535" i="9" s="1"/>
  <c r="N1536" i="9"/>
  <c r="O1536" i="9" s="1"/>
  <c r="N1537" i="9"/>
  <c r="O1537" i="9" s="1"/>
  <c r="N1538" i="9"/>
  <c r="O1538" i="9" s="1"/>
  <c r="N1539" i="9"/>
  <c r="O1539" i="9" s="1"/>
  <c r="N1540" i="9"/>
  <c r="O1540" i="9" s="1"/>
  <c r="N1541" i="9"/>
  <c r="O1541" i="9" s="1"/>
  <c r="N1542" i="9"/>
  <c r="O1542" i="9" s="1"/>
  <c r="N1543" i="9"/>
  <c r="O1543" i="9" s="1"/>
  <c r="N1544" i="9"/>
  <c r="O1544" i="9" s="1"/>
  <c r="N1545" i="9"/>
  <c r="O1545" i="9" s="1"/>
  <c r="N1546" i="9"/>
  <c r="O1546" i="9" s="1"/>
  <c r="N1547" i="9"/>
  <c r="O1547" i="9" s="1"/>
  <c r="N1548" i="9"/>
  <c r="O1548" i="9" s="1"/>
  <c r="N1549" i="9"/>
  <c r="O1549" i="9" s="1"/>
  <c r="N1550" i="9"/>
  <c r="O1550" i="9" s="1"/>
  <c r="N1551" i="9"/>
  <c r="O1551" i="9" s="1"/>
  <c r="N1552" i="9"/>
  <c r="O1552" i="9" s="1"/>
  <c r="N1553" i="9"/>
  <c r="O1553" i="9" s="1"/>
  <c r="N1554" i="9"/>
  <c r="O1554" i="9" s="1"/>
  <c r="N1555" i="9"/>
  <c r="O1555" i="9" s="1"/>
  <c r="N1556" i="9"/>
  <c r="O1556" i="9" s="1"/>
  <c r="N1557" i="9"/>
  <c r="O1557" i="9" s="1"/>
  <c r="N1558" i="9"/>
  <c r="O1558" i="9" s="1"/>
  <c r="N1559" i="9"/>
  <c r="O1559" i="9" s="1"/>
  <c r="N1560" i="9"/>
  <c r="O1560" i="9" s="1"/>
  <c r="N1561" i="9"/>
  <c r="O1561" i="9" s="1"/>
  <c r="N1562" i="9"/>
  <c r="O1562" i="9" s="1"/>
  <c r="N1563" i="9"/>
  <c r="O1563" i="9" s="1"/>
  <c r="N1564" i="9"/>
  <c r="O1564" i="9" s="1"/>
  <c r="N1565" i="9"/>
  <c r="O1565" i="9" s="1"/>
  <c r="N1566" i="9"/>
  <c r="O1566" i="9" s="1"/>
  <c r="N1567" i="9"/>
  <c r="O1567" i="9" s="1"/>
  <c r="N1568" i="9"/>
  <c r="O1568" i="9" s="1"/>
  <c r="N1569" i="9"/>
  <c r="O1569" i="9" s="1"/>
  <c r="N1570" i="9"/>
  <c r="O1570" i="9" s="1"/>
  <c r="N1571" i="9"/>
  <c r="O1571" i="9" s="1"/>
  <c r="N1572" i="9"/>
  <c r="O1572" i="9" s="1"/>
  <c r="N1573" i="9"/>
  <c r="O1573" i="9" s="1"/>
  <c r="N1574" i="9"/>
  <c r="O1574" i="9" s="1"/>
  <c r="N1575" i="9"/>
  <c r="O1575" i="9" s="1"/>
  <c r="N1576" i="9"/>
  <c r="O1576" i="9" s="1"/>
  <c r="N1577" i="9"/>
  <c r="O1577" i="9" s="1"/>
  <c r="N1578" i="9"/>
  <c r="O1578" i="9" s="1"/>
  <c r="N1579" i="9"/>
  <c r="O1579" i="9" s="1"/>
  <c r="N1580" i="9"/>
  <c r="O1580" i="9" s="1"/>
  <c r="N1581" i="9"/>
  <c r="O1581" i="9" s="1"/>
  <c r="N1582" i="9"/>
  <c r="O1582" i="9" s="1"/>
  <c r="N1583" i="9"/>
  <c r="O1583" i="9" s="1"/>
  <c r="N1584" i="9"/>
  <c r="O1584" i="9" s="1"/>
  <c r="N1585" i="9"/>
  <c r="O1585" i="9" s="1"/>
  <c r="N1586" i="9"/>
  <c r="O1586" i="9" s="1"/>
  <c r="N1587" i="9"/>
  <c r="O1587" i="9" s="1"/>
  <c r="N1588" i="9"/>
  <c r="O1588" i="9" s="1"/>
  <c r="N1589" i="9"/>
  <c r="O1589" i="9" s="1"/>
  <c r="N1590" i="9"/>
  <c r="O1590" i="9" s="1"/>
  <c r="N1591" i="9"/>
  <c r="O1591" i="9" s="1"/>
  <c r="N1592" i="9"/>
  <c r="O1592" i="9" s="1"/>
  <c r="N1593" i="9"/>
  <c r="O1593" i="9" s="1"/>
  <c r="N1594" i="9"/>
  <c r="O1594" i="9" s="1"/>
  <c r="N1595" i="9"/>
  <c r="O1595" i="9" s="1"/>
  <c r="N1596" i="9"/>
  <c r="O1596" i="9" s="1"/>
  <c r="N1597" i="9"/>
  <c r="O1597" i="9" s="1"/>
  <c r="N1598" i="9"/>
  <c r="O1598" i="9" s="1"/>
  <c r="N1599" i="9"/>
  <c r="O1599" i="9" s="1"/>
  <c r="N1600" i="9"/>
  <c r="O1600" i="9" s="1"/>
  <c r="N1601" i="9"/>
  <c r="O1601" i="9" s="1"/>
  <c r="N1602" i="9"/>
  <c r="O1602" i="9" s="1"/>
  <c r="N1603" i="9"/>
  <c r="O1603" i="9" s="1"/>
  <c r="N1604" i="9"/>
  <c r="O1604" i="9" s="1"/>
  <c r="N1605" i="9"/>
  <c r="O1605" i="9" s="1"/>
  <c r="N1606" i="9"/>
  <c r="O1606" i="9" s="1"/>
  <c r="N1607" i="9"/>
  <c r="O1607" i="9" s="1"/>
  <c r="N1608" i="9"/>
  <c r="O1608" i="9" s="1"/>
  <c r="N1609" i="9"/>
  <c r="O1609" i="9" s="1"/>
  <c r="N1610" i="9"/>
  <c r="O1610" i="9" s="1"/>
  <c r="N1611" i="9"/>
  <c r="O1611" i="9" s="1"/>
  <c r="N1612" i="9"/>
  <c r="O1612" i="9" s="1"/>
  <c r="N1613" i="9"/>
  <c r="O1613" i="9" s="1"/>
  <c r="N1614" i="9"/>
  <c r="O1614" i="9" s="1"/>
  <c r="N1615" i="9"/>
  <c r="O1615" i="9" s="1"/>
  <c r="N1616" i="9"/>
  <c r="O1616" i="9" s="1"/>
  <c r="N1617" i="9"/>
  <c r="O1617" i="9" s="1"/>
  <c r="N1618" i="9"/>
  <c r="O1618" i="9" s="1"/>
  <c r="N1619" i="9"/>
  <c r="O1619" i="9" s="1"/>
  <c r="N1620" i="9"/>
  <c r="O1620" i="9" s="1"/>
  <c r="N1621" i="9"/>
  <c r="O1621" i="9" s="1"/>
  <c r="N1622" i="9"/>
  <c r="O1622" i="9" s="1"/>
  <c r="N1623" i="9"/>
  <c r="O1623" i="9" s="1"/>
  <c r="N1624" i="9"/>
  <c r="O1624" i="9" s="1"/>
  <c r="N1625" i="9"/>
  <c r="O1625" i="9" s="1"/>
  <c r="N1626" i="9"/>
  <c r="O1626" i="9" s="1"/>
  <c r="N1627" i="9"/>
  <c r="O1627" i="9" s="1"/>
  <c r="N1628" i="9"/>
  <c r="O1628" i="9" s="1"/>
  <c r="N1629" i="9"/>
  <c r="O1629" i="9" s="1"/>
  <c r="N1630" i="9"/>
  <c r="O1630" i="9" s="1"/>
  <c r="N1631" i="9"/>
  <c r="O1631" i="9" s="1"/>
  <c r="N1632" i="9"/>
  <c r="O1632" i="9" s="1"/>
  <c r="N1633" i="9"/>
  <c r="O1633" i="9" s="1"/>
  <c r="N1634" i="9"/>
  <c r="O1634" i="9" s="1"/>
  <c r="N1635" i="9"/>
  <c r="O1635" i="9" s="1"/>
  <c r="N1636" i="9"/>
  <c r="O1636" i="9" s="1"/>
  <c r="N1637" i="9"/>
  <c r="O1637" i="9" s="1"/>
  <c r="N1638" i="9"/>
  <c r="O1638" i="9" s="1"/>
  <c r="N1639" i="9"/>
  <c r="O1639" i="9" s="1"/>
  <c r="N1640" i="9"/>
  <c r="O1640" i="9" s="1"/>
  <c r="N1641" i="9"/>
  <c r="O1641" i="9" s="1"/>
  <c r="N1642" i="9"/>
  <c r="O1642" i="9" s="1"/>
  <c r="N1643" i="9"/>
  <c r="O1643" i="9" s="1"/>
  <c r="N1644" i="9"/>
  <c r="O1644" i="9" s="1"/>
  <c r="N1645" i="9"/>
  <c r="O1645" i="9" s="1"/>
  <c r="N1646" i="9"/>
  <c r="O1646" i="9" s="1"/>
  <c r="N1647" i="9"/>
  <c r="O1647" i="9" s="1"/>
  <c r="N1648" i="9"/>
  <c r="O1648" i="9" s="1"/>
  <c r="N1649" i="9"/>
  <c r="O1649" i="9" s="1"/>
  <c r="N1650" i="9"/>
  <c r="O1650" i="9" s="1"/>
  <c r="N1651" i="9"/>
  <c r="O1651" i="9" s="1"/>
  <c r="N1652" i="9"/>
  <c r="O1652" i="9" s="1"/>
  <c r="N1653" i="9"/>
  <c r="O1653" i="9" s="1"/>
  <c r="N1654" i="9"/>
  <c r="O1654" i="9" s="1"/>
  <c r="N1655" i="9"/>
  <c r="O1655" i="9" s="1"/>
  <c r="N1656" i="9"/>
  <c r="O1656" i="9" s="1"/>
  <c r="N1657" i="9"/>
  <c r="O1657" i="9" s="1"/>
  <c r="N1658" i="9"/>
  <c r="O1658" i="9" s="1"/>
  <c r="N1659" i="9"/>
  <c r="O1659" i="9" s="1"/>
  <c r="N1660" i="9"/>
  <c r="O1660" i="9" s="1"/>
  <c r="N1661" i="9"/>
  <c r="O1661" i="9" s="1"/>
  <c r="N1662" i="9"/>
  <c r="O1662" i="9" s="1"/>
  <c r="N1663" i="9"/>
  <c r="O1663" i="9" s="1"/>
  <c r="N1664" i="9"/>
  <c r="O1664" i="9" s="1"/>
  <c r="N1665" i="9"/>
  <c r="O1665" i="9" s="1"/>
  <c r="N1666" i="9"/>
  <c r="O1666" i="9" s="1"/>
  <c r="N1667" i="9"/>
  <c r="O1667" i="9" s="1"/>
  <c r="N1668" i="9"/>
  <c r="O1668" i="9" s="1"/>
  <c r="N1669" i="9"/>
  <c r="O1669" i="9" s="1"/>
  <c r="N1670" i="9"/>
  <c r="O1670" i="9" s="1"/>
  <c r="N1671" i="9"/>
  <c r="O1671" i="9" s="1"/>
  <c r="N1672" i="9"/>
  <c r="O1672" i="9" s="1"/>
  <c r="N1673" i="9"/>
  <c r="O1673" i="9" s="1"/>
  <c r="N1674" i="9"/>
  <c r="O1674" i="9" s="1"/>
  <c r="N1675" i="9"/>
  <c r="O1675" i="9" s="1"/>
  <c r="N1676" i="9"/>
  <c r="O1676" i="9" s="1"/>
  <c r="N1677" i="9"/>
  <c r="O1677" i="9" s="1"/>
  <c r="N1678" i="9"/>
  <c r="O1678" i="9" s="1"/>
  <c r="N1679" i="9"/>
  <c r="O1679" i="9" s="1"/>
  <c r="N1680" i="9"/>
  <c r="O1680" i="9" s="1"/>
  <c r="N1681" i="9"/>
  <c r="O1681" i="9" s="1"/>
  <c r="N1682" i="9"/>
  <c r="O1682" i="9" s="1"/>
  <c r="N1683" i="9"/>
  <c r="O1683" i="9" s="1"/>
  <c r="N1684" i="9"/>
  <c r="O1684" i="9" s="1"/>
  <c r="N1685" i="9"/>
  <c r="O1685" i="9" s="1"/>
  <c r="N1686" i="9"/>
  <c r="O1686" i="9" s="1"/>
  <c r="N1687" i="9"/>
  <c r="O1687" i="9" s="1"/>
  <c r="N1688" i="9"/>
  <c r="O1688" i="9" s="1"/>
  <c r="N1689" i="9"/>
  <c r="O1689" i="9" s="1"/>
  <c r="N1690" i="9"/>
  <c r="O1690" i="9" s="1"/>
  <c r="N1691" i="9"/>
  <c r="O1691" i="9" s="1"/>
  <c r="N1692" i="9"/>
  <c r="O1692" i="9" s="1"/>
  <c r="N1693" i="9"/>
  <c r="O1693" i="9" s="1"/>
  <c r="N1694" i="9"/>
  <c r="O1694" i="9" s="1"/>
  <c r="N1695" i="9"/>
  <c r="O1695" i="9" s="1"/>
  <c r="N1696" i="9"/>
  <c r="O1696" i="9" s="1"/>
  <c r="N1697" i="9"/>
  <c r="O1697" i="9" s="1"/>
  <c r="N1698" i="9"/>
  <c r="O1698" i="9" s="1"/>
  <c r="N1699" i="9"/>
  <c r="O1699" i="9" s="1"/>
  <c r="N1700" i="9"/>
  <c r="O1700" i="9" s="1"/>
  <c r="N1701" i="9"/>
  <c r="O1701" i="9" s="1"/>
  <c r="N1702" i="9"/>
  <c r="O1702" i="9" s="1"/>
  <c r="N1703" i="9"/>
  <c r="O1703" i="9" s="1"/>
  <c r="N1704" i="9"/>
  <c r="O1704" i="9" s="1"/>
  <c r="N1705" i="9"/>
  <c r="O1705" i="9" s="1"/>
  <c r="N1706" i="9"/>
  <c r="O1706" i="9" s="1"/>
  <c r="N1707" i="9"/>
  <c r="O1707" i="9" s="1"/>
  <c r="N1708" i="9"/>
  <c r="O1708" i="9" s="1"/>
  <c r="N1709" i="9"/>
  <c r="O1709" i="9" s="1"/>
  <c r="N1710" i="9"/>
  <c r="O1710" i="9" s="1"/>
  <c r="N1711" i="9"/>
  <c r="O1711" i="9" s="1"/>
  <c r="N1712" i="9"/>
  <c r="O1712" i="9" s="1"/>
  <c r="N1713" i="9"/>
  <c r="O1713" i="9" s="1"/>
  <c r="N1714" i="9"/>
  <c r="O1714" i="9" s="1"/>
  <c r="N1715" i="9"/>
  <c r="O1715" i="9" s="1"/>
  <c r="N1716" i="9"/>
  <c r="O1716" i="9" s="1"/>
  <c r="N1717" i="9"/>
  <c r="O1717" i="9" s="1"/>
  <c r="N1718" i="9"/>
  <c r="O1718" i="9" s="1"/>
  <c r="N1719" i="9"/>
  <c r="O1719" i="9" s="1"/>
  <c r="N1720" i="9"/>
  <c r="O1720" i="9" s="1"/>
  <c r="N1721" i="9"/>
  <c r="O1721" i="9" s="1"/>
  <c r="N1722" i="9"/>
  <c r="O1722" i="9" s="1"/>
  <c r="N1723" i="9"/>
  <c r="O1723" i="9" s="1"/>
  <c r="N1724" i="9"/>
  <c r="O1724" i="9" s="1"/>
  <c r="N1725" i="9"/>
  <c r="O1725" i="9" s="1"/>
  <c r="N1726" i="9"/>
  <c r="O1726" i="9" s="1"/>
  <c r="N1727" i="9"/>
  <c r="O1727" i="9" s="1"/>
  <c r="N1728" i="9"/>
  <c r="O1728" i="9" s="1"/>
  <c r="N1729" i="9"/>
  <c r="O1729" i="9" s="1"/>
  <c r="N1730" i="9"/>
  <c r="O1730" i="9" s="1"/>
  <c r="N1731" i="9"/>
  <c r="O1731" i="9" s="1"/>
  <c r="N1732" i="9"/>
  <c r="O1732" i="9" s="1"/>
  <c r="N1733" i="9"/>
  <c r="O1733" i="9" s="1"/>
  <c r="N1734" i="9"/>
  <c r="O1734" i="9" s="1"/>
  <c r="N1735" i="9"/>
  <c r="O1735" i="9" s="1"/>
  <c r="N1736" i="9"/>
  <c r="O1736" i="9" s="1"/>
  <c r="N1737" i="9"/>
  <c r="O1737" i="9" s="1"/>
  <c r="N1738" i="9"/>
  <c r="O1738" i="9" s="1"/>
  <c r="N1739" i="9"/>
  <c r="O1739" i="9" s="1"/>
  <c r="N1740" i="9"/>
  <c r="O1740" i="9" s="1"/>
  <c r="N1741" i="9"/>
  <c r="O1741" i="9" s="1"/>
  <c r="N1742" i="9"/>
  <c r="O1742" i="9" s="1"/>
  <c r="N1743" i="9"/>
  <c r="O1743" i="9" s="1"/>
  <c r="N1744" i="9"/>
  <c r="O1744" i="9" s="1"/>
  <c r="N1745" i="9"/>
  <c r="O1745" i="9" s="1"/>
  <c r="N1746" i="9"/>
  <c r="O1746" i="9" s="1"/>
  <c r="N1747" i="9"/>
  <c r="O1747" i="9" s="1"/>
  <c r="N1748" i="9"/>
  <c r="O1748" i="9" s="1"/>
  <c r="N1749" i="9"/>
  <c r="O1749" i="9" s="1"/>
  <c r="N1750" i="9"/>
  <c r="O1750" i="9" s="1"/>
  <c r="N1751" i="9"/>
  <c r="O1751" i="9" s="1"/>
  <c r="N1752" i="9"/>
  <c r="O1752" i="9" s="1"/>
  <c r="N1753" i="9"/>
  <c r="O1753" i="9" s="1"/>
  <c r="N1754" i="9"/>
  <c r="O1754" i="9" s="1"/>
  <c r="N1755" i="9"/>
  <c r="O1755" i="9" s="1"/>
  <c r="N1756" i="9"/>
  <c r="O1756" i="9" s="1"/>
  <c r="N1757" i="9"/>
  <c r="O1757" i="9" s="1"/>
  <c r="N1758" i="9"/>
  <c r="O1758" i="9" s="1"/>
  <c r="N1759" i="9"/>
  <c r="O1759" i="9" s="1"/>
  <c r="N1760" i="9"/>
  <c r="O1760" i="9" s="1"/>
  <c r="N1761" i="9"/>
  <c r="O1761" i="9" s="1"/>
  <c r="N1762" i="9"/>
  <c r="O1762" i="9" s="1"/>
  <c r="N1763" i="9"/>
  <c r="O1763" i="9" s="1"/>
  <c r="N1764" i="9"/>
  <c r="O1764" i="9" s="1"/>
  <c r="N1765" i="9"/>
  <c r="O1765" i="9" s="1"/>
  <c r="N1766" i="9"/>
  <c r="O1766" i="9" s="1"/>
  <c r="N1767" i="9"/>
  <c r="O1767" i="9" s="1"/>
  <c r="N1768" i="9"/>
  <c r="O1768" i="9" s="1"/>
  <c r="N1769" i="9"/>
  <c r="O1769" i="9" s="1"/>
  <c r="N1770" i="9"/>
  <c r="O1770" i="9" s="1"/>
  <c r="N1771" i="9"/>
  <c r="O1771" i="9" s="1"/>
  <c r="N1772" i="9"/>
  <c r="O1772" i="9" s="1"/>
  <c r="N1773" i="9"/>
  <c r="O1773" i="9" s="1"/>
  <c r="N1774" i="9"/>
  <c r="O1774" i="9" s="1"/>
  <c r="N1775" i="9"/>
  <c r="O1775" i="9" s="1"/>
  <c r="N1776" i="9"/>
  <c r="O1776" i="9" s="1"/>
  <c r="N1777" i="9"/>
  <c r="O1777" i="9" s="1"/>
  <c r="N1778" i="9"/>
  <c r="O1778" i="9" s="1"/>
  <c r="N1779" i="9"/>
  <c r="O1779" i="9" s="1"/>
  <c r="N1780" i="9"/>
  <c r="O1780" i="9" s="1"/>
  <c r="N1781" i="9"/>
  <c r="O1781" i="9" s="1"/>
  <c r="N1782" i="9"/>
  <c r="O1782" i="9" s="1"/>
  <c r="N1783" i="9"/>
  <c r="O1783" i="9" s="1"/>
  <c r="N1784" i="9"/>
  <c r="O1784" i="9" s="1"/>
  <c r="N1785" i="9"/>
  <c r="O1785" i="9" s="1"/>
  <c r="N1786" i="9"/>
  <c r="O1786" i="9" s="1"/>
  <c r="N1787" i="9"/>
  <c r="O1787" i="9" s="1"/>
  <c r="N1788" i="9"/>
  <c r="O1788" i="9" s="1"/>
  <c r="N1789" i="9"/>
  <c r="O1789" i="9" s="1"/>
  <c r="N1790" i="9"/>
  <c r="O1790" i="9" s="1"/>
  <c r="N1791" i="9"/>
  <c r="O1791" i="9" s="1"/>
  <c r="N1792" i="9"/>
  <c r="O1792" i="9" s="1"/>
  <c r="N1793" i="9"/>
  <c r="O1793" i="9" s="1"/>
  <c r="N1794" i="9"/>
  <c r="O1794" i="9" s="1"/>
  <c r="N1795" i="9"/>
  <c r="O1795" i="9" s="1"/>
  <c r="N1796" i="9"/>
  <c r="O1796" i="9" s="1"/>
  <c r="N1797" i="9"/>
  <c r="O1797" i="9" s="1"/>
  <c r="N1798" i="9"/>
  <c r="O1798" i="9" s="1"/>
  <c r="N1799" i="9"/>
  <c r="O1799" i="9" s="1"/>
  <c r="N1800" i="9"/>
  <c r="O1800" i="9" s="1"/>
  <c r="N1801" i="9"/>
  <c r="O1801" i="9" s="1"/>
  <c r="N1802" i="9"/>
  <c r="O1802" i="9" s="1"/>
  <c r="N1803" i="9"/>
  <c r="O1803" i="9" s="1"/>
  <c r="N1804" i="9"/>
  <c r="O1804" i="9" s="1"/>
  <c r="N1805" i="9"/>
  <c r="O1805" i="9" s="1"/>
  <c r="N1806" i="9"/>
  <c r="O1806" i="9" s="1"/>
  <c r="N1807" i="9"/>
  <c r="O1807" i="9" s="1"/>
  <c r="N1808" i="9"/>
  <c r="O1808" i="9" s="1"/>
  <c r="N1809" i="9"/>
  <c r="O1809" i="9" s="1"/>
  <c r="N1810" i="9"/>
  <c r="O1810" i="9" s="1"/>
  <c r="N1811" i="9"/>
  <c r="O1811" i="9" s="1"/>
  <c r="N1812" i="9"/>
  <c r="O1812" i="9" s="1"/>
  <c r="N1813" i="9"/>
  <c r="O1813" i="9" s="1"/>
  <c r="N1814" i="9"/>
  <c r="O1814" i="9" s="1"/>
  <c r="N1815" i="9"/>
  <c r="O1815" i="9" s="1"/>
  <c r="N1816" i="9"/>
  <c r="O1816" i="9" s="1"/>
  <c r="N1817" i="9"/>
  <c r="O1817" i="9" s="1"/>
  <c r="N1818" i="9"/>
  <c r="O1818" i="9" s="1"/>
  <c r="N1819" i="9"/>
  <c r="O1819" i="9" s="1"/>
  <c r="N1820" i="9"/>
  <c r="O1820" i="9" s="1"/>
  <c r="N1821" i="9"/>
  <c r="O1821" i="9" s="1"/>
  <c r="N1822" i="9"/>
  <c r="O1822" i="9" s="1"/>
  <c r="N1823" i="9"/>
  <c r="O1823" i="9" s="1"/>
  <c r="N1824" i="9"/>
  <c r="O1824" i="9" s="1"/>
  <c r="N1825" i="9"/>
  <c r="O1825" i="9" s="1"/>
  <c r="N1826" i="9"/>
  <c r="O1826" i="9" s="1"/>
  <c r="N1827" i="9"/>
  <c r="O1827" i="9" s="1"/>
  <c r="N1828" i="9"/>
  <c r="O1828" i="9" s="1"/>
  <c r="N1829" i="9"/>
  <c r="O1829" i="9" s="1"/>
  <c r="N1830" i="9"/>
  <c r="O1830" i="9" s="1"/>
  <c r="N1831" i="9"/>
  <c r="O1831" i="9" s="1"/>
  <c r="N1832" i="9"/>
  <c r="O1832" i="9" s="1"/>
  <c r="N1833" i="9"/>
  <c r="O1833" i="9" s="1"/>
  <c r="N1834" i="9"/>
  <c r="O1834" i="9" s="1"/>
  <c r="N1835" i="9"/>
  <c r="O1835" i="9" s="1"/>
  <c r="N1836" i="9"/>
  <c r="O1836" i="9" s="1"/>
  <c r="N1837" i="9"/>
  <c r="O1837" i="9" s="1"/>
  <c r="N1838" i="9"/>
  <c r="O1838" i="9" s="1"/>
  <c r="N1839" i="9"/>
  <c r="O1839" i="9" s="1"/>
  <c r="N1840" i="9"/>
  <c r="O1840" i="9" s="1"/>
  <c r="N1841" i="9"/>
  <c r="O1841" i="9" s="1"/>
  <c r="N1842" i="9"/>
  <c r="O1842" i="9" s="1"/>
  <c r="N1843" i="9"/>
  <c r="O1843" i="9" s="1"/>
  <c r="N1844" i="9"/>
  <c r="O1844" i="9" s="1"/>
  <c r="N1845" i="9"/>
  <c r="O1845" i="9" s="1"/>
  <c r="N1846" i="9"/>
  <c r="O1846" i="9" s="1"/>
  <c r="N1847" i="9"/>
  <c r="O1847" i="9" s="1"/>
  <c r="N1848" i="9"/>
  <c r="O1848" i="9" s="1"/>
  <c r="N1849" i="9"/>
  <c r="O1849" i="9" s="1"/>
  <c r="N1850" i="9"/>
  <c r="O1850" i="9" s="1"/>
  <c r="N1851" i="9"/>
  <c r="O1851" i="9" s="1"/>
  <c r="N1852" i="9"/>
  <c r="O1852" i="9" s="1"/>
  <c r="N1853" i="9"/>
  <c r="O1853" i="9" s="1"/>
  <c r="N1854" i="9"/>
  <c r="O1854" i="9" s="1"/>
  <c r="N1855" i="9"/>
  <c r="O1855" i="9" s="1"/>
  <c r="N1856" i="9"/>
  <c r="O1856" i="9" s="1"/>
  <c r="N1857" i="9"/>
  <c r="O1857" i="9" s="1"/>
  <c r="N1858" i="9"/>
  <c r="O1858" i="9" s="1"/>
  <c r="N1859" i="9"/>
  <c r="O1859" i="9" s="1"/>
  <c r="N1860" i="9"/>
  <c r="O1860" i="9" s="1"/>
  <c r="N1861" i="9"/>
  <c r="O1861" i="9" s="1"/>
  <c r="N1862" i="9"/>
  <c r="O1862" i="9" s="1"/>
  <c r="N1863" i="9"/>
  <c r="O1863" i="9" s="1"/>
  <c r="N1864" i="9"/>
  <c r="O1864" i="9" s="1"/>
  <c r="N1865" i="9"/>
  <c r="O1865" i="9" s="1"/>
  <c r="N1866" i="9"/>
  <c r="O1866" i="9" s="1"/>
  <c r="N1867" i="9"/>
  <c r="O1867" i="9" s="1"/>
  <c r="N1868" i="9"/>
  <c r="O1868" i="9" s="1"/>
  <c r="N1869" i="9"/>
  <c r="O1869" i="9" s="1"/>
  <c r="N1870" i="9"/>
  <c r="O1870" i="9" s="1"/>
  <c r="N1871" i="9"/>
  <c r="O1871" i="9" s="1"/>
  <c r="N1872" i="9"/>
  <c r="O1872" i="9" s="1"/>
  <c r="N1873" i="9"/>
  <c r="O1873" i="9" s="1"/>
  <c r="N1874" i="9"/>
  <c r="O1874" i="9" s="1"/>
  <c r="N1875" i="9"/>
  <c r="O1875" i="9" s="1"/>
  <c r="N1876" i="9"/>
  <c r="O1876" i="9" s="1"/>
  <c r="N1877" i="9"/>
  <c r="O1877" i="9" s="1"/>
  <c r="N1878" i="9"/>
  <c r="O1878" i="9" s="1"/>
  <c r="N1879" i="9"/>
  <c r="O1879" i="9" s="1"/>
  <c r="N1880" i="9"/>
  <c r="O1880" i="9" s="1"/>
  <c r="N1881" i="9"/>
  <c r="O1881" i="9" s="1"/>
  <c r="N1882" i="9"/>
  <c r="O1882" i="9" s="1"/>
  <c r="N1883" i="9"/>
  <c r="O1883" i="9" s="1"/>
  <c r="N1884" i="9"/>
  <c r="O1884" i="9" s="1"/>
  <c r="N1885" i="9"/>
  <c r="O1885" i="9" s="1"/>
  <c r="N1886" i="9"/>
  <c r="O1886" i="9" s="1"/>
  <c r="N1887" i="9"/>
  <c r="O1887" i="9" s="1"/>
  <c r="N1888" i="9"/>
  <c r="O1888" i="9" s="1"/>
  <c r="N1889" i="9"/>
  <c r="O1889" i="9" s="1"/>
  <c r="N1890" i="9"/>
  <c r="O1890" i="9" s="1"/>
  <c r="N1891" i="9"/>
  <c r="O1891" i="9" s="1"/>
  <c r="N1892" i="9"/>
  <c r="O1892" i="9" s="1"/>
  <c r="N1893" i="9"/>
  <c r="O1893" i="9" s="1"/>
  <c r="N1894" i="9"/>
  <c r="O1894" i="9" s="1"/>
  <c r="N1895" i="9"/>
  <c r="O1895" i="9" s="1"/>
  <c r="N1896" i="9"/>
  <c r="O1896" i="9" s="1"/>
  <c r="N1897" i="9"/>
  <c r="O1897" i="9" s="1"/>
  <c r="N1898" i="9"/>
  <c r="O1898" i="9" s="1"/>
  <c r="N1899" i="9"/>
  <c r="O1899" i="9" s="1"/>
  <c r="N1900" i="9"/>
  <c r="O1900" i="9" s="1"/>
  <c r="N1901" i="9"/>
  <c r="O1901" i="9" s="1"/>
  <c r="N1902" i="9"/>
  <c r="O1902" i="9" s="1"/>
  <c r="N1903" i="9"/>
  <c r="O1903" i="9" s="1"/>
  <c r="N1904" i="9"/>
  <c r="O1904" i="9" s="1"/>
  <c r="N1905" i="9"/>
  <c r="O1905" i="9" s="1"/>
  <c r="N1906" i="9"/>
  <c r="O1906" i="9" s="1"/>
  <c r="N1907" i="9"/>
  <c r="O1907" i="9" s="1"/>
  <c r="N1908" i="9"/>
  <c r="O1908" i="9" s="1"/>
  <c r="N1909" i="9"/>
  <c r="O1909" i="9" s="1"/>
  <c r="N1910" i="9"/>
  <c r="O1910" i="9" s="1"/>
  <c r="N1911" i="9"/>
  <c r="O1911" i="9" s="1"/>
  <c r="N1912" i="9"/>
  <c r="O1912" i="9" s="1"/>
  <c r="N1913" i="9"/>
  <c r="O1913" i="9" s="1"/>
  <c r="N1914" i="9"/>
  <c r="O1914" i="9" s="1"/>
  <c r="N1915" i="9"/>
  <c r="O1915" i="9" s="1"/>
  <c r="N1916" i="9"/>
  <c r="O1916" i="9" s="1"/>
  <c r="N1917" i="9"/>
  <c r="O1917" i="9" s="1"/>
  <c r="N1918" i="9"/>
  <c r="O1918" i="9" s="1"/>
  <c r="N1919" i="9"/>
  <c r="O1919" i="9" s="1"/>
  <c r="N1920" i="9"/>
  <c r="O1920" i="9" s="1"/>
  <c r="N1921" i="9"/>
  <c r="O1921" i="9" s="1"/>
  <c r="N1922" i="9"/>
  <c r="O1922" i="9" s="1"/>
  <c r="N1923" i="9"/>
  <c r="O1923" i="9" s="1"/>
  <c r="N1924" i="9"/>
  <c r="O1924" i="9" s="1"/>
  <c r="N1925" i="9"/>
  <c r="O1925" i="9" s="1"/>
  <c r="N1926" i="9"/>
  <c r="O1926" i="9" s="1"/>
  <c r="N1927" i="9"/>
  <c r="O1927" i="9" s="1"/>
  <c r="N1928" i="9"/>
  <c r="O1928" i="9" s="1"/>
  <c r="N1929" i="9"/>
  <c r="O1929" i="9" s="1"/>
  <c r="N1930" i="9"/>
  <c r="O1930" i="9" s="1"/>
  <c r="N1931" i="9"/>
  <c r="O1931" i="9" s="1"/>
  <c r="N1932" i="9"/>
  <c r="O1932" i="9" s="1"/>
  <c r="N1933" i="9"/>
  <c r="O1933" i="9" s="1"/>
  <c r="N1934" i="9"/>
  <c r="O1934" i="9" s="1"/>
  <c r="N1935" i="9"/>
  <c r="O1935" i="9" s="1"/>
  <c r="N1936" i="9"/>
  <c r="O1936" i="9" s="1"/>
  <c r="N1937" i="9"/>
  <c r="O1937" i="9" s="1"/>
  <c r="N1938" i="9"/>
  <c r="O1938" i="9" s="1"/>
  <c r="N1939" i="9"/>
  <c r="O1939" i="9" s="1"/>
  <c r="N1940" i="9"/>
  <c r="O1940" i="9" s="1"/>
  <c r="N1941" i="9"/>
  <c r="O1941" i="9" s="1"/>
  <c r="N1942" i="9"/>
  <c r="O1942" i="9" s="1"/>
  <c r="N1943" i="9"/>
  <c r="O1943" i="9" s="1"/>
  <c r="N1944" i="9"/>
  <c r="O1944" i="9" s="1"/>
  <c r="N1945" i="9"/>
  <c r="O1945" i="9" s="1"/>
  <c r="N1946" i="9"/>
  <c r="O1946" i="9" s="1"/>
  <c r="N1947" i="9"/>
  <c r="O1947" i="9" s="1"/>
  <c r="N1948" i="9"/>
  <c r="O1948" i="9" s="1"/>
  <c r="N1949" i="9"/>
  <c r="O1949" i="9" s="1"/>
  <c r="N1950" i="9"/>
  <c r="O1950" i="9" s="1"/>
  <c r="N1951" i="9"/>
  <c r="O1951" i="9" s="1"/>
  <c r="N1952" i="9"/>
  <c r="O1952" i="9" s="1"/>
  <c r="N1953" i="9"/>
  <c r="O1953" i="9" s="1"/>
  <c r="N1954" i="9"/>
  <c r="O1954" i="9" s="1"/>
  <c r="N1955" i="9"/>
  <c r="O1955" i="9" s="1"/>
  <c r="N1956" i="9"/>
  <c r="O1956" i="9" s="1"/>
  <c r="N1957" i="9"/>
  <c r="O1957" i="9" s="1"/>
  <c r="N1958" i="9"/>
  <c r="O1958" i="9" s="1"/>
  <c r="N1959" i="9"/>
  <c r="O1959" i="9" s="1"/>
  <c r="N1960" i="9"/>
  <c r="O1960" i="9" s="1"/>
  <c r="N1961" i="9"/>
  <c r="O1961" i="9" s="1"/>
  <c r="N1962" i="9"/>
  <c r="O1962" i="9" s="1"/>
  <c r="N1963" i="9"/>
  <c r="O1963" i="9" s="1"/>
  <c r="N1964" i="9"/>
  <c r="O1964" i="9" s="1"/>
  <c r="N1965" i="9"/>
  <c r="O1965" i="9" s="1"/>
  <c r="N1966" i="9"/>
  <c r="O1966" i="9" s="1"/>
  <c r="N1967" i="9"/>
  <c r="O1967" i="9" s="1"/>
  <c r="N1968" i="9"/>
  <c r="O1968" i="9" s="1"/>
  <c r="N1969" i="9"/>
  <c r="O1969" i="9" s="1"/>
  <c r="N1970" i="9"/>
  <c r="O1970" i="9" s="1"/>
  <c r="N1971" i="9"/>
  <c r="O1971" i="9" s="1"/>
  <c r="N1972" i="9"/>
  <c r="O1972" i="9" s="1"/>
  <c r="N1973" i="9"/>
  <c r="O1973" i="9" s="1"/>
  <c r="N1974" i="9"/>
  <c r="O1974" i="9" s="1"/>
  <c r="N1975" i="9"/>
  <c r="O1975" i="9" s="1"/>
  <c r="N1976" i="9"/>
  <c r="O1976" i="9" s="1"/>
  <c r="N1977" i="9"/>
  <c r="O1977" i="9" s="1"/>
  <c r="N1978" i="9"/>
  <c r="O1978" i="9" s="1"/>
  <c r="N1979" i="9"/>
  <c r="O1979" i="9" s="1"/>
  <c r="N1980" i="9"/>
  <c r="O1980" i="9" s="1"/>
  <c r="N1981" i="9"/>
  <c r="O1981" i="9" s="1"/>
  <c r="N1982" i="9"/>
  <c r="O1982" i="9" s="1"/>
  <c r="N1983" i="9"/>
  <c r="O1983" i="9" s="1"/>
  <c r="N1984" i="9"/>
  <c r="O1984" i="9" s="1"/>
  <c r="N1985" i="9"/>
  <c r="O1985" i="9" s="1"/>
  <c r="N1986" i="9"/>
  <c r="O1986" i="9" s="1"/>
  <c r="N1987" i="9"/>
  <c r="O1987" i="9" s="1"/>
  <c r="N1988" i="9"/>
  <c r="O1988" i="9" s="1"/>
  <c r="N1989" i="9"/>
  <c r="O1989" i="9" s="1"/>
  <c r="N1990" i="9"/>
  <c r="O1990" i="9" s="1"/>
  <c r="N1991" i="9"/>
  <c r="O1991" i="9" s="1"/>
  <c r="N1992" i="9"/>
  <c r="O1992" i="9" s="1"/>
  <c r="N1993" i="9"/>
  <c r="O1993" i="9" s="1"/>
  <c r="N1994" i="9"/>
  <c r="O1994" i="9" s="1"/>
  <c r="N1995" i="9"/>
  <c r="O1995" i="9" s="1"/>
  <c r="N1996" i="9"/>
  <c r="O1996" i="9" s="1"/>
  <c r="N1997" i="9"/>
  <c r="O1997" i="9" s="1"/>
  <c r="N1998" i="9"/>
  <c r="O1998" i="9" s="1"/>
  <c r="N1999" i="9"/>
  <c r="O1999" i="9" s="1"/>
  <c r="N2000" i="9"/>
  <c r="O2000" i="9" s="1"/>
  <c r="N2001" i="9"/>
  <c r="O2001" i="9" s="1"/>
  <c r="N2002" i="9"/>
  <c r="O2002" i="9" s="1"/>
  <c r="N2003" i="9"/>
  <c r="O2003" i="9" s="1"/>
  <c r="N2004" i="9"/>
  <c r="O2004" i="9" s="1"/>
  <c r="N2005" i="9"/>
  <c r="O2005" i="9" s="1"/>
  <c r="N2006" i="9"/>
  <c r="O2006" i="9" s="1"/>
  <c r="N2007" i="9"/>
  <c r="O2007" i="9" s="1"/>
  <c r="N2008" i="9"/>
  <c r="O2008" i="9" s="1"/>
  <c r="N2009" i="9"/>
  <c r="O2009" i="9" s="1"/>
  <c r="N2010" i="9"/>
  <c r="O2010" i="9" s="1"/>
  <c r="N2011" i="9"/>
  <c r="O2011" i="9" s="1"/>
  <c r="N2012" i="9"/>
  <c r="O2012" i="9" s="1"/>
  <c r="N2013" i="9"/>
  <c r="O2013" i="9" s="1"/>
  <c r="N2014" i="9"/>
  <c r="O2014" i="9" s="1"/>
  <c r="N2015" i="9"/>
  <c r="O2015" i="9" s="1"/>
  <c r="N2016" i="9"/>
  <c r="O2016" i="9" s="1"/>
  <c r="N2017" i="9"/>
  <c r="O2017" i="9" s="1"/>
  <c r="N2018" i="9"/>
  <c r="O2018" i="9" s="1"/>
  <c r="N2019" i="9"/>
  <c r="O2019" i="9" s="1"/>
  <c r="N2020" i="9"/>
  <c r="O2020" i="9" s="1"/>
  <c r="N2021" i="9"/>
  <c r="O2021" i="9" s="1"/>
  <c r="N2022" i="9"/>
  <c r="O2022" i="9" s="1"/>
  <c r="N2023" i="9"/>
  <c r="O2023" i="9" s="1"/>
  <c r="N2024" i="9"/>
  <c r="O2024" i="9" s="1"/>
  <c r="N2025" i="9"/>
  <c r="O2025" i="9" s="1"/>
  <c r="N2026" i="9"/>
  <c r="O2026" i="9" s="1"/>
  <c r="N2027" i="9"/>
  <c r="O2027" i="9" s="1"/>
  <c r="N2028" i="9"/>
  <c r="O2028" i="9" s="1"/>
  <c r="N2029" i="9"/>
  <c r="O2029" i="9" s="1"/>
  <c r="N2030" i="9"/>
  <c r="O2030" i="9" s="1"/>
  <c r="N2031" i="9"/>
  <c r="O2031" i="9" s="1"/>
  <c r="N2032" i="9"/>
  <c r="O2032" i="9" s="1"/>
  <c r="N2033" i="9"/>
  <c r="O2033" i="9" s="1"/>
  <c r="N2034" i="9"/>
  <c r="O2034" i="9" s="1"/>
  <c r="N2035" i="9"/>
  <c r="O2035" i="9" s="1"/>
  <c r="N2036" i="9"/>
  <c r="O2036" i="9" s="1"/>
  <c r="N2037" i="9"/>
  <c r="O2037" i="9" s="1"/>
  <c r="N2038" i="9"/>
  <c r="O2038" i="9" s="1"/>
  <c r="N2039" i="9"/>
  <c r="O2039" i="9" s="1"/>
  <c r="N2040" i="9"/>
  <c r="O2040" i="9" s="1"/>
  <c r="N2041" i="9"/>
  <c r="O2041" i="9" s="1"/>
  <c r="N2042" i="9"/>
  <c r="O2042" i="9" s="1"/>
  <c r="N2043" i="9"/>
  <c r="O2043" i="9" s="1"/>
  <c r="N2044" i="9"/>
  <c r="O2044" i="9" s="1"/>
  <c r="N2045" i="9"/>
  <c r="O2045" i="9" s="1"/>
  <c r="N2046" i="9"/>
  <c r="O2046" i="9" s="1"/>
  <c r="N2047" i="9"/>
  <c r="O2047" i="9" s="1"/>
  <c r="N2048" i="9"/>
  <c r="O2048" i="9" s="1"/>
  <c r="N2049" i="9"/>
  <c r="O2049" i="9" s="1"/>
  <c r="N2050" i="9"/>
  <c r="O2050" i="9" s="1"/>
  <c r="N2051" i="9"/>
  <c r="O2051" i="9" s="1"/>
  <c r="N2052" i="9"/>
  <c r="O2052" i="9" s="1"/>
  <c r="N2053" i="9"/>
  <c r="O2053" i="9" s="1"/>
  <c r="N2054" i="9"/>
  <c r="O2054" i="9" s="1"/>
  <c r="N2055" i="9"/>
  <c r="O2055" i="9" s="1"/>
  <c r="N2056" i="9"/>
  <c r="O2056" i="9" s="1"/>
  <c r="N2057" i="9"/>
  <c r="O2057" i="9" s="1"/>
  <c r="N2058" i="9"/>
  <c r="O2058" i="9" s="1"/>
  <c r="N2059" i="9"/>
  <c r="O2059" i="9" s="1"/>
  <c r="N2060" i="9"/>
  <c r="O2060" i="9" s="1"/>
  <c r="N2061" i="9"/>
  <c r="O2061" i="9" s="1"/>
  <c r="N2062" i="9"/>
  <c r="O2062" i="9" s="1"/>
  <c r="N2063" i="9"/>
  <c r="O2063" i="9" s="1"/>
  <c r="N2064" i="9"/>
  <c r="O2064" i="9" s="1"/>
  <c r="N2065" i="9"/>
  <c r="O2065" i="9" s="1"/>
  <c r="N2066" i="9"/>
  <c r="O2066" i="9" s="1"/>
  <c r="N2067" i="9"/>
  <c r="O2067" i="9" s="1"/>
  <c r="N2068" i="9"/>
  <c r="O2068" i="9" s="1"/>
  <c r="N2069" i="9"/>
  <c r="O2069" i="9" s="1"/>
  <c r="N2070" i="9"/>
  <c r="O2070" i="9" s="1"/>
  <c r="N2071" i="9"/>
  <c r="O2071" i="9" s="1"/>
  <c r="N2072" i="9"/>
  <c r="O2072" i="9" s="1"/>
  <c r="N2073" i="9"/>
  <c r="O2073" i="9" s="1"/>
  <c r="N2074" i="9"/>
  <c r="O2074" i="9" s="1"/>
  <c r="N2075" i="9"/>
  <c r="O2075" i="9" s="1"/>
  <c r="N2076" i="9"/>
  <c r="O2076" i="9" s="1"/>
  <c r="N2077" i="9"/>
  <c r="O2077" i="9" s="1"/>
  <c r="N2078" i="9"/>
  <c r="O2078" i="9" s="1"/>
  <c r="N2079" i="9"/>
  <c r="O2079" i="9" s="1"/>
  <c r="N2080" i="9"/>
  <c r="O2080" i="9" s="1"/>
  <c r="N2081" i="9"/>
  <c r="O2081" i="9" s="1"/>
  <c r="N2082" i="9"/>
  <c r="O2082" i="9" s="1"/>
  <c r="N2083" i="9"/>
  <c r="O2083" i="9" s="1"/>
  <c r="N2084" i="9"/>
  <c r="O2084" i="9" s="1"/>
  <c r="N2085" i="9"/>
  <c r="O2085" i="9" s="1"/>
  <c r="N2086" i="9"/>
  <c r="O2086" i="9" s="1"/>
  <c r="N2087" i="9"/>
  <c r="O2087" i="9" s="1"/>
  <c r="N2088" i="9"/>
  <c r="O2088" i="9" s="1"/>
  <c r="N2089" i="9"/>
  <c r="O2089" i="9" s="1"/>
  <c r="N2090" i="9"/>
  <c r="O2090" i="9" s="1"/>
  <c r="N2091" i="9"/>
  <c r="O2091" i="9" s="1"/>
  <c r="N2092" i="9"/>
  <c r="O2092" i="9" s="1"/>
  <c r="N2093" i="9"/>
  <c r="O2093" i="9" s="1"/>
  <c r="N2094" i="9"/>
  <c r="O2094" i="9" s="1"/>
  <c r="N2095" i="9"/>
  <c r="O2095" i="9" s="1"/>
  <c r="N2096" i="9"/>
  <c r="O2096" i="9" s="1"/>
  <c r="N2097" i="9"/>
  <c r="O2097" i="9" s="1"/>
  <c r="N2098" i="9"/>
  <c r="O2098" i="9" s="1"/>
  <c r="N2099" i="9"/>
  <c r="O2099" i="9" s="1"/>
  <c r="N2100" i="9"/>
  <c r="O2100" i="9" s="1"/>
  <c r="N2101" i="9"/>
  <c r="O2101" i="9" s="1"/>
  <c r="N2102" i="9"/>
  <c r="O2102" i="9" s="1"/>
  <c r="N2103" i="9"/>
  <c r="O2103" i="9" s="1"/>
  <c r="N2104" i="9"/>
  <c r="O2104" i="9" s="1"/>
  <c r="N2105" i="9"/>
  <c r="O2105" i="9" s="1"/>
  <c r="N2106" i="9"/>
  <c r="O2106" i="9" s="1"/>
  <c r="N2107" i="9"/>
  <c r="O2107" i="9" s="1"/>
  <c r="N2108" i="9"/>
  <c r="O2108" i="9" s="1"/>
  <c r="N2109" i="9"/>
  <c r="O2109" i="9" s="1"/>
  <c r="N2110" i="9"/>
  <c r="O2110" i="9" s="1"/>
  <c r="N2111" i="9"/>
  <c r="O2111" i="9" s="1"/>
  <c r="N2112" i="9"/>
  <c r="O2112" i="9" s="1"/>
  <c r="N2113" i="9"/>
  <c r="O2113" i="9" s="1"/>
  <c r="N2114" i="9"/>
  <c r="O2114" i="9" s="1"/>
  <c r="N2115" i="9"/>
  <c r="O2115" i="9" s="1"/>
  <c r="N2116" i="9"/>
  <c r="O2116" i="9" s="1"/>
  <c r="N2117" i="9"/>
  <c r="O2117" i="9" s="1"/>
  <c r="N2118" i="9"/>
  <c r="O2118" i="9" s="1"/>
  <c r="N2119" i="9"/>
  <c r="O2119" i="9" s="1"/>
  <c r="N2120" i="9"/>
  <c r="O2120" i="9" s="1"/>
  <c r="N2121" i="9"/>
  <c r="O2121" i="9" s="1"/>
  <c r="N2122" i="9"/>
  <c r="O2122" i="9" s="1"/>
  <c r="N2123" i="9"/>
  <c r="O2123" i="9" s="1"/>
  <c r="N2124" i="9"/>
  <c r="O2124" i="9" s="1"/>
  <c r="N2125" i="9"/>
  <c r="O2125" i="9" s="1"/>
  <c r="N2126" i="9"/>
  <c r="O2126" i="9" s="1"/>
  <c r="N2127" i="9"/>
  <c r="O2127" i="9" s="1"/>
  <c r="N2128" i="9"/>
  <c r="O2128" i="9" s="1"/>
  <c r="N2129" i="9"/>
  <c r="O2129" i="9" s="1"/>
  <c r="N2130" i="9"/>
  <c r="O2130" i="9" s="1"/>
  <c r="N2131" i="9"/>
  <c r="O2131" i="9" s="1"/>
  <c r="N2132" i="9"/>
  <c r="O2132" i="9" s="1"/>
  <c r="N2133" i="9"/>
  <c r="O2133" i="9" s="1"/>
  <c r="N2134" i="9"/>
  <c r="O2134" i="9" s="1"/>
  <c r="N2135" i="9"/>
  <c r="O2135" i="9" s="1"/>
  <c r="N2136" i="9"/>
  <c r="O2136" i="9" s="1"/>
  <c r="N2137" i="9"/>
  <c r="O2137" i="9" s="1"/>
  <c r="V16" i="7"/>
  <c r="V24" i="7"/>
  <c r="V33" i="7"/>
  <c r="W33" i="7"/>
  <c r="V23" i="7"/>
  <c r="W24" i="7"/>
  <c r="X33" i="7"/>
  <c r="W23" i="7"/>
  <c r="X24" i="7"/>
  <c r="X23" i="7"/>
  <c r="Y23" i="7"/>
  <c r="Z23" i="7"/>
  <c r="B93" i="15" l="1"/>
  <c r="N21" i="15"/>
  <c r="J29" i="9"/>
  <c r="J30" i="9"/>
  <c r="F30" i="9" s="1"/>
  <c r="J31" i="9"/>
  <c r="F31" i="9" s="1"/>
  <c r="J32" i="9"/>
  <c r="F32" i="9" s="1"/>
  <c r="J33" i="9"/>
  <c r="F33" i="9" s="1"/>
  <c r="J34" i="9"/>
  <c r="F34" i="9" s="1"/>
  <c r="J35" i="9"/>
  <c r="F35" i="9" s="1"/>
  <c r="J36" i="9"/>
  <c r="F36" i="9" s="1"/>
  <c r="J37" i="9"/>
  <c r="F37" i="9" s="1"/>
  <c r="J38" i="9"/>
  <c r="F38" i="9" s="1"/>
  <c r="J39" i="9"/>
  <c r="F39" i="9" s="1"/>
  <c r="J40" i="9"/>
  <c r="F40" i="9" s="1"/>
  <c r="J41" i="9"/>
  <c r="F41" i="9" s="1"/>
  <c r="J42" i="9"/>
  <c r="F42" i="9" s="1"/>
  <c r="J43" i="9"/>
  <c r="F43" i="9" s="1"/>
  <c r="J44" i="9"/>
  <c r="F44" i="9" s="1"/>
  <c r="J45" i="9"/>
  <c r="F45" i="9" s="1"/>
  <c r="J46" i="9"/>
  <c r="F46" i="9" s="1"/>
  <c r="J47" i="9"/>
  <c r="F47" i="9" s="1"/>
  <c r="J48" i="9"/>
  <c r="F48" i="9" s="1"/>
  <c r="J49" i="9"/>
  <c r="F49" i="9" s="1"/>
  <c r="J50" i="9"/>
  <c r="F50" i="9" s="1"/>
  <c r="J51" i="9"/>
  <c r="F51" i="9" s="1"/>
  <c r="J52" i="9"/>
  <c r="F52" i="9" s="1"/>
  <c r="J53" i="9"/>
  <c r="F53" i="9" s="1"/>
  <c r="J54" i="9"/>
  <c r="F54" i="9" s="1"/>
  <c r="J55" i="9"/>
  <c r="F55" i="9" s="1"/>
  <c r="J56" i="9"/>
  <c r="F56" i="9" s="1"/>
  <c r="J57" i="9"/>
  <c r="F57" i="9" s="1"/>
  <c r="J58" i="9"/>
  <c r="F58" i="9" s="1"/>
  <c r="J59" i="9"/>
  <c r="F59" i="9" s="1"/>
  <c r="J60" i="9"/>
  <c r="F60" i="9" s="1"/>
  <c r="J61" i="9"/>
  <c r="F61" i="9" s="1"/>
  <c r="J62" i="9"/>
  <c r="F62" i="9" s="1"/>
  <c r="J63" i="9"/>
  <c r="F63" i="9" s="1"/>
  <c r="J64" i="9"/>
  <c r="F64" i="9" s="1"/>
  <c r="J65" i="9"/>
  <c r="F65" i="9" s="1"/>
  <c r="J66" i="9"/>
  <c r="F66" i="9" s="1"/>
  <c r="J67" i="9"/>
  <c r="F67" i="9" s="1"/>
  <c r="J68" i="9"/>
  <c r="F68" i="9" s="1"/>
  <c r="J69" i="9"/>
  <c r="F69" i="9" s="1"/>
  <c r="J70" i="9"/>
  <c r="F70" i="9" s="1"/>
  <c r="J71" i="9"/>
  <c r="F71" i="9" s="1"/>
  <c r="J72" i="9"/>
  <c r="F72" i="9" s="1"/>
  <c r="J73" i="9"/>
  <c r="F73" i="9" s="1"/>
  <c r="J74" i="9"/>
  <c r="F74" i="9" s="1"/>
  <c r="J75" i="9"/>
  <c r="F75" i="9" s="1"/>
  <c r="J76" i="9"/>
  <c r="F76" i="9" s="1"/>
  <c r="J77" i="9"/>
  <c r="F77" i="9" s="1"/>
  <c r="J78" i="9"/>
  <c r="F78" i="9" s="1"/>
  <c r="J79" i="9"/>
  <c r="F79" i="9" s="1"/>
  <c r="J80" i="9"/>
  <c r="F80" i="9" s="1"/>
  <c r="J81" i="9"/>
  <c r="F81" i="9" s="1"/>
  <c r="J82" i="9"/>
  <c r="F82" i="9" s="1"/>
  <c r="J83" i="9"/>
  <c r="F83" i="9" s="1"/>
  <c r="J84" i="9"/>
  <c r="F84" i="9" s="1"/>
  <c r="J85" i="9"/>
  <c r="F85" i="9" s="1"/>
  <c r="J86" i="9"/>
  <c r="F86" i="9" s="1"/>
  <c r="J87" i="9"/>
  <c r="F87" i="9" s="1"/>
  <c r="J88" i="9"/>
  <c r="F88" i="9" s="1"/>
  <c r="J89" i="9"/>
  <c r="F89" i="9" s="1"/>
  <c r="J90" i="9"/>
  <c r="F90" i="9" s="1"/>
  <c r="J91" i="9"/>
  <c r="F91" i="9" s="1"/>
  <c r="J92" i="9"/>
  <c r="F92" i="9" s="1"/>
  <c r="J93" i="9"/>
  <c r="F93" i="9" s="1"/>
  <c r="J94" i="9"/>
  <c r="F94" i="9" s="1"/>
  <c r="J95" i="9"/>
  <c r="F95" i="9" s="1"/>
  <c r="J96" i="9"/>
  <c r="F96" i="9" s="1"/>
  <c r="J97" i="9"/>
  <c r="F97" i="9" s="1"/>
  <c r="J98" i="9"/>
  <c r="F98" i="9" s="1"/>
  <c r="J99" i="9"/>
  <c r="F99" i="9" s="1"/>
  <c r="J100" i="9"/>
  <c r="F100" i="9" s="1"/>
  <c r="J101" i="9"/>
  <c r="F101" i="9" s="1"/>
  <c r="J102" i="9"/>
  <c r="F102" i="9" s="1"/>
  <c r="J103" i="9"/>
  <c r="F103" i="9" s="1"/>
  <c r="J104" i="9"/>
  <c r="F104" i="9" s="1"/>
  <c r="J105" i="9"/>
  <c r="F105" i="9" s="1"/>
  <c r="J106" i="9"/>
  <c r="F106" i="9" s="1"/>
  <c r="J107" i="9"/>
  <c r="F107" i="9" s="1"/>
  <c r="J108" i="9"/>
  <c r="F108" i="9" s="1"/>
  <c r="J109" i="9"/>
  <c r="F109" i="9" s="1"/>
  <c r="J110" i="9"/>
  <c r="F110" i="9" s="1"/>
  <c r="J111" i="9"/>
  <c r="F111" i="9" s="1"/>
  <c r="J112" i="9"/>
  <c r="F112" i="9" s="1"/>
  <c r="J113" i="9"/>
  <c r="F113" i="9" s="1"/>
  <c r="J114" i="9"/>
  <c r="F114" i="9" s="1"/>
  <c r="J115" i="9"/>
  <c r="F115" i="9" s="1"/>
  <c r="J116" i="9"/>
  <c r="F116" i="9" s="1"/>
  <c r="J117" i="9"/>
  <c r="F117" i="9" s="1"/>
  <c r="J118" i="9"/>
  <c r="F118" i="9" s="1"/>
  <c r="J119" i="9"/>
  <c r="F119" i="9" s="1"/>
  <c r="J120" i="9"/>
  <c r="F120" i="9" s="1"/>
  <c r="J121" i="9"/>
  <c r="F121" i="9" s="1"/>
  <c r="J122" i="9"/>
  <c r="F122" i="9" s="1"/>
  <c r="J123" i="9"/>
  <c r="F123" i="9" s="1"/>
  <c r="J124" i="9"/>
  <c r="F124" i="9" s="1"/>
  <c r="J125" i="9"/>
  <c r="F125" i="9" s="1"/>
  <c r="J126" i="9"/>
  <c r="F126" i="9" s="1"/>
  <c r="J127" i="9"/>
  <c r="F127" i="9" s="1"/>
  <c r="J128" i="9"/>
  <c r="F128" i="9" s="1"/>
  <c r="J129" i="9"/>
  <c r="F129" i="9" s="1"/>
  <c r="J130" i="9"/>
  <c r="F130" i="9" s="1"/>
  <c r="J131" i="9"/>
  <c r="F131" i="9" s="1"/>
  <c r="J132" i="9"/>
  <c r="F132" i="9" s="1"/>
  <c r="J133" i="9"/>
  <c r="F133" i="9" s="1"/>
  <c r="J134" i="9"/>
  <c r="F134" i="9" s="1"/>
  <c r="J135" i="9"/>
  <c r="F135" i="9" s="1"/>
  <c r="J136" i="9"/>
  <c r="F136" i="9" s="1"/>
  <c r="J137" i="9"/>
  <c r="F137" i="9" s="1"/>
  <c r="J138" i="9"/>
  <c r="F138" i="9" s="1"/>
  <c r="J139" i="9"/>
  <c r="F139" i="9" s="1"/>
  <c r="J140" i="9"/>
  <c r="F140" i="9" s="1"/>
  <c r="J141" i="9"/>
  <c r="F141" i="9" s="1"/>
  <c r="J142" i="9"/>
  <c r="F142" i="9" s="1"/>
  <c r="J143" i="9"/>
  <c r="F143" i="9" s="1"/>
  <c r="J144" i="9"/>
  <c r="F144" i="9" s="1"/>
  <c r="J145" i="9"/>
  <c r="F145" i="9" s="1"/>
  <c r="J146" i="9"/>
  <c r="F146" i="9" s="1"/>
  <c r="J147" i="9"/>
  <c r="F147" i="9" s="1"/>
  <c r="J148" i="9"/>
  <c r="F148" i="9" s="1"/>
  <c r="J149" i="9"/>
  <c r="F149" i="9" s="1"/>
  <c r="J150" i="9"/>
  <c r="F150" i="9" s="1"/>
  <c r="J151" i="9"/>
  <c r="F151" i="9" s="1"/>
  <c r="J152" i="9"/>
  <c r="F152" i="9" s="1"/>
  <c r="J153" i="9"/>
  <c r="F153" i="9" s="1"/>
  <c r="J154" i="9"/>
  <c r="F154" i="9" s="1"/>
  <c r="J155" i="9"/>
  <c r="F155" i="9" s="1"/>
  <c r="J156" i="9"/>
  <c r="F156" i="9" s="1"/>
  <c r="J157" i="9"/>
  <c r="F157" i="9" s="1"/>
  <c r="J158" i="9"/>
  <c r="F158" i="9" s="1"/>
  <c r="J159" i="9"/>
  <c r="F159" i="9" s="1"/>
  <c r="J160" i="9"/>
  <c r="F160" i="9" s="1"/>
  <c r="J161" i="9"/>
  <c r="F161" i="9" s="1"/>
  <c r="J162" i="9"/>
  <c r="F162" i="9" s="1"/>
  <c r="J163" i="9"/>
  <c r="F163" i="9" s="1"/>
  <c r="J164" i="9"/>
  <c r="F164" i="9" s="1"/>
  <c r="J165" i="9"/>
  <c r="F165" i="9" s="1"/>
  <c r="J166" i="9"/>
  <c r="F166" i="9" s="1"/>
  <c r="J167" i="9"/>
  <c r="F167" i="9" s="1"/>
  <c r="J168" i="9"/>
  <c r="F168" i="9" s="1"/>
  <c r="J169" i="9"/>
  <c r="F169" i="9" s="1"/>
  <c r="J170" i="9"/>
  <c r="F170" i="9" s="1"/>
  <c r="J171" i="9"/>
  <c r="F171" i="9" s="1"/>
  <c r="J172" i="9"/>
  <c r="F172" i="9" s="1"/>
  <c r="J173" i="9"/>
  <c r="F173" i="9" s="1"/>
  <c r="J174" i="9"/>
  <c r="F174" i="9" s="1"/>
  <c r="J175" i="9"/>
  <c r="F175" i="9" s="1"/>
  <c r="J176" i="9"/>
  <c r="F176" i="9" s="1"/>
  <c r="J177" i="9"/>
  <c r="F177" i="9" s="1"/>
  <c r="J178" i="9"/>
  <c r="F178" i="9" s="1"/>
  <c r="J179" i="9"/>
  <c r="F179" i="9" s="1"/>
  <c r="J180" i="9"/>
  <c r="F180" i="9" s="1"/>
  <c r="J181" i="9"/>
  <c r="F181" i="9" s="1"/>
  <c r="J182" i="9"/>
  <c r="F182" i="9" s="1"/>
  <c r="J183" i="9"/>
  <c r="F183" i="9" s="1"/>
  <c r="J184" i="9"/>
  <c r="F184" i="9" s="1"/>
  <c r="J185" i="9"/>
  <c r="F185" i="9" s="1"/>
  <c r="J186" i="9"/>
  <c r="F186" i="9" s="1"/>
  <c r="J187" i="9"/>
  <c r="F187" i="9" s="1"/>
  <c r="J188" i="9"/>
  <c r="F188" i="9" s="1"/>
  <c r="J189" i="9"/>
  <c r="F189" i="9" s="1"/>
  <c r="J190" i="9"/>
  <c r="F190" i="9" s="1"/>
  <c r="J191" i="9"/>
  <c r="F191" i="9" s="1"/>
  <c r="J192" i="9"/>
  <c r="F192" i="9" s="1"/>
  <c r="J193" i="9"/>
  <c r="F193" i="9" s="1"/>
  <c r="J194" i="9"/>
  <c r="F194" i="9" s="1"/>
  <c r="J195" i="9"/>
  <c r="F195" i="9" s="1"/>
  <c r="J196" i="9"/>
  <c r="F196" i="9" s="1"/>
  <c r="J197" i="9"/>
  <c r="F197" i="9" s="1"/>
  <c r="J198" i="9"/>
  <c r="F198" i="9" s="1"/>
  <c r="J199" i="9"/>
  <c r="F199" i="9" s="1"/>
  <c r="J200" i="9"/>
  <c r="F200" i="9" s="1"/>
  <c r="J201" i="9"/>
  <c r="F201" i="9" s="1"/>
  <c r="J202" i="9"/>
  <c r="F202" i="9" s="1"/>
  <c r="J203" i="9"/>
  <c r="F203" i="9" s="1"/>
  <c r="J204" i="9"/>
  <c r="F204" i="9" s="1"/>
  <c r="J205" i="9"/>
  <c r="F205" i="9" s="1"/>
  <c r="J206" i="9"/>
  <c r="F206" i="9" s="1"/>
  <c r="J207" i="9"/>
  <c r="F207" i="9" s="1"/>
  <c r="J208" i="9"/>
  <c r="F208" i="9" s="1"/>
  <c r="J209" i="9"/>
  <c r="F209" i="9" s="1"/>
  <c r="J210" i="9"/>
  <c r="F210" i="9" s="1"/>
  <c r="J211" i="9"/>
  <c r="F211" i="9" s="1"/>
  <c r="J212" i="9"/>
  <c r="F212" i="9" s="1"/>
  <c r="J213" i="9"/>
  <c r="F213" i="9" s="1"/>
  <c r="J214" i="9"/>
  <c r="F214" i="9" s="1"/>
  <c r="J215" i="9"/>
  <c r="F215" i="9" s="1"/>
  <c r="J216" i="9"/>
  <c r="F216" i="9" s="1"/>
  <c r="J217" i="9"/>
  <c r="F217" i="9" s="1"/>
  <c r="J218" i="9"/>
  <c r="F218" i="9" s="1"/>
  <c r="J219" i="9"/>
  <c r="F219" i="9" s="1"/>
  <c r="J220" i="9"/>
  <c r="F220" i="9" s="1"/>
  <c r="J221" i="9"/>
  <c r="F221" i="9" s="1"/>
  <c r="J222" i="9"/>
  <c r="F222" i="9" s="1"/>
  <c r="J223" i="9"/>
  <c r="F223" i="9" s="1"/>
  <c r="J224" i="9"/>
  <c r="F224" i="9" s="1"/>
  <c r="J225" i="9"/>
  <c r="F225" i="9" s="1"/>
  <c r="J226" i="9"/>
  <c r="F226" i="9" s="1"/>
  <c r="J227" i="9"/>
  <c r="F227" i="9" s="1"/>
  <c r="J228" i="9"/>
  <c r="F228" i="9" s="1"/>
  <c r="J229" i="9"/>
  <c r="F229" i="9" s="1"/>
  <c r="J230" i="9"/>
  <c r="F230" i="9" s="1"/>
  <c r="J231" i="9"/>
  <c r="F231" i="9" s="1"/>
  <c r="J232" i="9"/>
  <c r="F232" i="9" s="1"/>
  <c r="J233" i="9"/>
  <c r="F233" i="9" s="1"/>
  <c r="J234" i="9"/>
  <c r="F234" i="9" s="1"/>
  <c r="J235" i="9"/>
  <c r="F235" i="9" s="1"/>
  <c r="J236" i="9"/>
  <c r="F236" i="9" s="1"/>
  <c r="J237" i="9"/>
  <c r="F237" i="9" s="1"/>
  <c r="J238" i="9"/>
  <c r="F238" i="9" s="1"/>
  <c r="J239" i="9"/>
  <c r="F239" i="9" s="1"/>
  <c r="J240" i="9"/>
  <c r="F240" i="9" s="1"/>
  <c r="J241" i="9"/>
  <c r="F241" i="9" s="1"/>
  <c r="J242" i="9"/>
  <c r="F242" i="9" s="1"/>
  <c r="J243" i="9"/>
  <c r="F243" i="9" s="1"/>
  <c r="J244" i="9"/>
  <c r="F244" i="9" s="1"/>
  <c r="J245" i="9"/>
  <c r="F245" i="9" s="1"/>
  <c r="J246" i="9"/>
  <c r="F246" i="9" s="1"/>
  <c r="J247" i="9"/>
  <c r="F247" i="9" s="1"/>
  <c r="J248" i="9"/>
  <c r="F248" i="9" s="1"/>
  <c r="J249" i="9"/>
  <c r="F249" i="9" s="1"/>
  <c r="J250" i="9"/>
  <c r="F250" i="9" s="1"/>
  <c r="J251" i="9"/>
  <c r="F251" i="9" s="1"/>
  <c r="J252" i="9"/>
  <c r="F252" i="9" s="1"/>
  <c r="J253" i="9"/>
  <c r="F253" i="9" s="1"/>
  <c r="J254" i="9"/>
  <c r="F254" i="9" s="1"/>
  <c r="J255" i="9"/>
  <c r="F255" i="9" s="1"/>
  <c r="J256" i="9"/>
  <c r="F256" i="9" s="1"/>
  <c r="J257" i="9"/>
  <c r="F257" i="9" s="1"/>
  <c r="J258" i="9"/>
  <c r="F258" i="9" s="1"/>
  <c r="J259" i="9"/>
  <c r="F259" i="9" s="1"/>
  <c r="J260" i="9"/>
  <c r="F260" i="9" s="1"/>
  <c r="J261" i="9"/>
  <c r="F261" i="9" s="1"/>
  <c r="J262" i="9"/>
  <c r="F262" i="9" s="1"/>
  <c r="J263" i="9"/>
  <c r="F263" i="9" s="1"/>
  <c r="J264" i="9"/>
  <c r="F264" i="9" s="1"/>
  <c r="J265" i="9"/>
  <c r="F265" i="9" s="1"/>
  <c r="J266" i="9"/>
  <c r="F266" i="9" s="1"/>
  <c r="J267" i="9"/>
  <c r="F267" i="9" s="1"/>
  <c r="J268" i="9"/>
  <c r="F268" i="9" s="1"/>
  <c r="J269" i="9"/>
  <c r="F269" i="9" s="1"/>
  <c r="J270" i="9"/>
  <c r="F270" i="9" s="1"/>
  <c r="J271" i="9"/>
  <c r="F271" i="9" s="1"/>
  <c r="J272" i="9"/>
  <c r="F272" i="9" s="1"/>
  <c r="J273" i="9"/>
  <c r="F273" i="9" s="1"/>
  <c r="J274" i="9"/>
  <c r="F274" i="9" s="1"/>
  <c r="J275" i="9"/>
  <c r="F275" i="9" s="1"/>
  <c r="J276" i="9"/>
  <c r="F276" i="9" s="1"/>
  <c r="J277" i="9"/>
  <c r="F277" i="9" s="1"/>
  <c r="J278" i="9"/>
  <c r="F278" i="9" s="1"/>
  <c r="J279" i="9"/>
  <c r="F279" i="9" s="1"/>
  <c r="J280" i="9"/>
  <c r="F280" i="9" s="1"/>
  <c r="J281" i="9"/>
  <c r="F281" i="9" s="1"/>
  <c r="J282" i="9"/>
  <c r="F282" i="9" s="1"/>
  <c r="J283" i="9"/>
  <c r="F283" i="9" s="1"/>
  <c r="J284" i="9"/>
  <c r="F284" i="9" s="1"/>
  <c r="J285" i="9"/>
  <c r="F285" i="9" s="1"/>
  <c r="J286" i="9"/>
  <c r="F286" i="9" s="1"/>
  <c r="J287" i="9"/>
  <c r="F287" i="9" s="1"/>
  <c r="J288" i="9"/>
  <c r="F288" i="9" s="1"/>
  <c r="J289" i="9"/>
  <c r="F289" i="9" s="1"/>
  <c r="J290" i="9"/>
  <c r="F290" i="9" s="1"/>
  <c r="J291" i="9"/>
  <c r="F291" i="9" s="1"/>
  <c r="J292" i="9"/>
  <c r="F292" i="9" s="1"/>
  <c r="J293" i="9"/>
  <c r="F293" i="9" s="1"/>
  <c r="J294" i="9"/>
  <c r="F294" i="9" s="1"/>
  <c r="J295" i="9"/>
  <c r="F295" i="9" s="1"/>
  <c r="J296" i="9"/>
  <c r="F296" i="9" s="1"/>
  <c r="J297" i="9"/>
  <c r="F297" i="9" s="1"/>
  <c r="J298" i="9"/>
  <c r="F298" i="9" s="1"/>
  <c r="J299" i="9"/>
  <c r="F299" i="9" s="1"/>
  <c r="J300" i="9"/>
  <c r="F300" i="9" s="1"/>
  <c r="J301" i="9"/>
  <c r="F301" i="9" s="1"/>
  <c r="J302" i="9"/>
  <c r="F302" i="9" s="1"/>
  <c r="J303" i="9"/>
  <c r="F303" i="9" s="1"/>
  <c r="J304" i="9"/>
  <c r="F304" i="9" s="1"/>
  <c r="J305" i="9"/>
  <c r="F305" i="9" s="1"/>
  <c r="J306" i="9"/>
  <c r="F306" i="9" s="1"/>
  <c r="J307" i="9"/>
  <c r="F307" i="9" s="1"/>
  <c r="J308" i="9"/>
  <c r="F308" i="9" s="1"/>
  <c r="J309" i="9"/>
  <c r="F309" i="9" s="1"/>
  <c r="J310" i="9"/>
  <c r="F310" i="9" s="1"/>
  <c r="J311" i="9"/>
  <c r="F311" i="9" s="1"/>
  <c r="J312" i="9"/>
  <c r="F312" i="9" s="1"/>
  <c r="J313" i="9"/>
  <c r="F313" i="9" s="1"/>
  <c r="J314" i="9"/>
  <c r="F314" i="9" s="1"/>
  <c r="J315" i="9"/>
  <c r="F315" i="9" s="1"/>
  <c r="J316" i="9"/>
  <c r="F316" i="9" s="1"/>
  <c r="J317" i="9"/>
  <c r="F317" i="9" s="1"/>
  <c r="J318" i="9"/>
  <c r="F318" i="9" s="1"/>
  <c r="J319" i="9"/>
  <c r="F319" i="9" s="1"/>
  <c r="J320" i="9"/>
  <c r="F320" i="9" s="1"/>
  <c r="J321" i="9"/>
  <c r="F321" i="9" s="1"/>
  <c r="J322" i="9"/>
  <c r="F322" i="9" s="1"/>
  <c r="J323" i="9"/>
  <c r="F323" i="9" s="1"/>
  <c r="J324" i="9"/>
  <c r="F324" i="9" s="1"/>
  <c r="J325" i="9"/>
  <c r="F325" i="9" s="1"/>
  <c r="J326" i="9"/>
  <c r="F326" i="9" s="1"/>
  <c r="J327" i="9"/>
  <c r="F327" i="9" s="1"/>
  <c r="J328" i="9"/>
  <c r="F328" i="9" s="1"/>
  <c r="J329" i="9"/>
  <c r="F329" i="9" s="1"/>
  <c r="J330" i="9"/>
  <c r="F330" i="9" s="1"/>
  <c r="J331" i="9"/>
  <c r="F331" i="9" s="1"/>
  <c r="J332" i="9"/>
  <c r="F332" i="9" s="1"/>
  <c r="J333" i="9"/>
  <c r="F333" i="9" s="1"/>
  <c r="J334" i="9"/>
  <c r="F334" i="9" s="1"/>
  <c r="J335" i="9"/>
  <c r="F335" i="9" s="1"/>
  <c r="J336" i="9"/>
  <c r="F336" i="9" s="1"/>
  <c r="J337" i="9"/>
  <c r="F337" i="9" s="1"/>
  <c r="J338" i="9"/>
  <c r="F338" i="9" s="1"/>
  <c r="J339" i="9"/>
  <c r="F339" i="9" s="1"/>
  <c r="J340" i="9"/>
  <c r="F340" i="9" s="1"/>
  <c r="J341" i="9"/>
  <c r="F341" i="9" s="1"/>
  <c r="J342" i="9"/>
  <c r="F342" i="9" s="1"/>
  <c r="J343" i="9"/>
  <c r="F343" i="9" s="1"/>
  <c r="J344" i="9"/>
  <c r="F344" i="9" s="1"/>
  <c r="J345" i="9"/>
  <c r="F345" i="9" s="1"/>
  <c r="J346" i="9"/>
  <c r="F346" i="9" s="1"/>
  <c r="J347" i="9"/>
  <c r="F347" i="9" s="1"/>
  <c r="J348" i="9"/>
  <c r="F348" i="9" s="1"/>
  <c r="J349" i="9"/>
  <c r="F349" i="9" s="1"/>
  <c r="J350" i="9"/>
  <c r="F350" i="9" s="1"/>
  <c r="J351" i="9"/>
  <c r="F351" i="9" s="1"/>
  <c r="J352" i="9"/>
  <c r="F352" i="9" s="1"/>
  <c r="J353" i="9"/>
  <c r="F353" i="9" s="1"/>
  <c r="J354" i="9"/>
  <c r="F354" i="9" s="1"/>
  <c r="J355" i="9"/>
  <c r="F355" i="9" s="1"/>
  <c r="J356" i="9"/>
  <c r="F356" i="9" s="1"/>
  <c r="J357" i="9"/>
  <c r="F357" i="9" s="1"/>
  <c r="J358" i="9"/>
  <c r="F358" i="9" s="1"/>
  <c r="J359" i="9"/>
  <c r="F359" i="9" s="1"/>
  <c r="J360" i="9"/>
  <c r="F360" i="9" s="1"/>
  <c r="J361" i="9"/>
  <c r="F361" i="9" s="1"/>
  <c r="J362" i="9"/>
  <c r="F362" i="9" s="1"/>
  <c r="J363" i="9"/>
  <c r="F363" i="9" s="1"/>
  <c r="J364" i="9"/>
  <c r="F364" i="9" s="1"/>
  <c r="J365" i="9"/>
  <c r="F365" i="9" s="1"/>
  <c r="J366" i="9"/>
  <c r="F366" i="9" s="1"/>
  <c r="J367" i="9"/>
  <c r="F367" i="9" s="1"/>
  <c r="J368" i="9"/>
  <c r="F368" i="9" s="1"/>
  <c r="J369" i="9"/>
  <c r="F369" i="9" s="1"/>
  <c r="J370" i="9"/>
  <c r="F370" i="9" s="1"/>
  <c r="J371" i="9"/>
  <c r="F371" i="9" s="1"/>
  <c r="J372" i="9"/>
  <c r="F372" i="9" s="1"/>
  <c r="J373" i="9"/>
  <c r="F373" i="9" s="1"/>
  <c r="J374" i="9"/>
  <c r="F374" i="9" s="1"/>
  <c r="J375" i="9"/>
  <c r="F375" i="9" s="1"/>
  <c r="J376" i="9"/>
  <c r="F376" i="9" s="1"/>
  <c r="J377" i="9"/>
  <c r="F377" i="9" s="1"/>
  <c r="J378" i="9"/>
  <c r="F378" i="9" s="1"/>
  <c r="J379" i="9"/>
  <c r="F379" i="9" s="1"/>
  <c r="J380" i="9"/>
  <c r="F380" i="9" s="1"/>
  <c r="J381" i="9"/>
  <c r="F381" i="9" s="1"/>
  <c r="J382" i="9"/>
  <c r="F382" i="9" s="1"/>
  <c r="J383" i="9"/>
  <c r="F383" i="9" s="1"/>
  <c r="J384" i="9"/>
  <c r="F384" i="9" s="1"/>
  <c r="J385" i="9"/>
  <c r="F385" i="9" s="1"/>
  <c r="J386" i="9"/>
  <c r="F386" i="9" s="1"/>
  <c r="J387" i="9"/>
  <c r="F387" i="9" s="1"/>
  <c r="J388" i="9"/>
  <c r="F388" i="9" s="1"/>
  <c r="J389" i="9"/>
  <c r="F389" i="9" s="1"/>
  <c r="J390" i="9"/>
  <c r="F390" i="9" s="1"/>
  <c r="J391" i="9"/>
  <c r="F391" i="9" s="1"/>
  <c r="J392" i="9"/>
  <c r="F392" i="9" s="1"/>
  <c r="J393" i="9"/>
  <c r="F393" i="9" s="1"/>
  <c r="J394" i="9"/>
  <c r="F394" i="9" s="1"/>
  <c r="J395" i="9"/>
  <c r="F395" i="9" s="1"/>
  <c r="J396" i="9"/>
  <c r="F396" i="9" s="1"/>
  <c r="J397" i="9"/>
  <c r="F397" i="9" s="1"/>
  <c r="J398" i="9"/>
  <c r="F398" i="9" s="1"/>
  <c r="J399" i="9"/>
  <c r="F399" i="9" s="1"/>
  <c r="J400" i="9"/>
  <c r="F400" i="9" s="1"/>
  <c r="J401" i="9"/>
  <c r="F401" i="9" s="1"/>
  <c r="J402" i="9"/>
  <c r="F402" i="9" s="1"/>
  <c r="J403" i="9"/>
  <c r="F403" i="9" s="1"/>
  <c r="J404" i="9"/>
  <c r="F404" i="9" s="1"/>
  <c r="J405" i="9"/>
  <c r="F405" i="9" s="1"/>
  <c r="J406" i="9"/>
  <c r="F406" i="9" s="1"/>
  <c r="J407" i="9"/>
  <c r="F407" i="9" s="1"/>
  <c r="J408" i="9"/>
  <c r="F408" i="9" s="1"/>
  <c r="J409" i="9"/>
  <c r="F409" i="9" s="1"/>
  <c r="J410" i="9"/>
  <c r="F410" i="9" s="1"/>
  <c r="J411" i="9"/>
  <c r="F411" i="9" s="1"/>
  <c r="J412" i="9"/>
  <c r="F412" i="9" s="1"/>
  <c r="J413" i="9"/>
  <c r="F413" i="9" s="1"/>
  <c r="J414" i="9"/>
  <c r="F414" i="9" s="1"/>
  <c r="J415" i="9"/>
  <c r="F415" i="9" s="1"/>
  <c r="J416" i="9"/>
  <c r="F416" i="9" s="1"/>
  <c r="J417" i="9"/>
  <c r="F417" i="9" s="1"/>
  <c r="J418" i="9"/>
  <c r="F418" i="9" s="1"/>
  <c r="J419" i="9"/>
  <c r="F419" i="9" s="1"/>
  <c r="J420" i="9"/>
  <c r="F420" i="9" s="1"/>
  <c r="J421" i="9"/>
  <c r="F421" i="9" s="1"/>
  <c r="J422" i="9"/>
  <c r="F422" i="9" s="1"/>
  <c r="J423" i="9"/>
  <c r="F423" i="9" s="1"/>
  <c r="J424" i="9"/>
  <c r="F424" i="9" s="1"/>
  <c r="J425" i="9"/>
  <c r="F425" i="9" s="1"/>
  <c r="J426" i="9"/>
  <c r="F426" i="9" s="1"/>
  <c r="J427" i="9"/>
  <c r="F427" i="9" s="1"/>
  <c r="J428" i="9"/>
  <c r="F428" i="9" s="1"/>
  <c r="J429" i="9"/>
  <c r="F429" i="9" s="1"/>
  <c r="J430" i="9"/>
  <c r="F430" i="9" s="1"/>
  <c r="J431" i="9"/>
  <c r="F431" i="9" s="1"/>
  <c r="J432" i="9"/>
  <c r="F432" i="9" s="1"/>
  <c r="J433" i="9"/>
  <c r="F433" i="9" s="1"/>
  <c r="J434" i="9"/>
  <c r="F434" i="9" s="1"/>
  <c r="J435" i="9"/>
  <c r="F435" i="9" s="1"/>
  <c r="J436" i="9"/>
  <c r="F436" i="9" s="1"/>
  <c r="J437" i="9"/>
  <c r="F437" i="9" s="1"/>
  <c r="J438" i="9"/>
  <c r="F438" i="9" s="1"/>
  <c r="J439" i="9"/>
  <c r="F439" i="9" s="1"/>
  <c r="J440" i="9"/>
  <c r="F440" i="9" s="1"/>
  <c r="J441" i="9"/>
  <c r="F441" i="9" s="1"/>
  <c r="J442" i="9"/>
  <c r="F442" i="9" s="1"/>
  <c r="J443" i="9"/>
  <c r="F443" i="9" s="1"/>
  <c r="J444" i="9"/>
  <c r="F444" i="9" s="1"/>
  <c r="J445" i="9"/>
  <c r="F445" i="9" s="1"/>
  <c r="J446" i="9"/>
  <c r="F446" i="9" s="1"/>
  <c r="J447" i="9"/>
  <c r="F447" i="9" s="1"/>
  <c r="J448" i="9"/>
  <c r="F448" i="9" s="1"/>
  <c r="J449" i="9"/>
  <c r="F449" i="9" s="1"/>
  <c r="J450" i="9"/>
  <c r="F450" i="9" s="1"/>
  <c r="J451" i="9"/>
  <c r="F451" i="9" s="1"/>
  <c r="J452" i="9"/>
  <c r="F452" i="9" s="1"/>
  <c r="J453" i="9"/>
  <c r="F453" i="9" s="1"/>
  <c r="J454" i="9"/>
  <c r="F454" i="9" s="1"/>
  <c r="J455" i="9"/>
  <c r="F455" i="9" s="1"/>
  <c r="J456" i="9"/>
  <c r="F456" i="9" s="1"/>
  <c r="J457" i="9"/>
  <c r="F457" i="9" s="1"/>
  <c r="J458" i="9"/>
  <c r="F458" i="9" s="1"/>
  <c r="J459" i="9"/>
  <c r="F459" i="9" s="1"/>
  <c r="J460" i="9"/>
  <c r="F460" i="9" s="1"/>
  <c r="J461" i="9"/>
  <c r="F461" i="9" s="1"/>
  <c r="J462" i="9"/>
  <c r="F462" i="9" s="1"/>
  <c r="J463" i="9"/>
  <c r="F463" i="9" s="1"/>
  <c r="J464" i="9"/>
  <c r="F464" i="9" s="1"/>
  <c r="J465" i="9"/>
  <c r="F465" i="9" s="1"/>
  <c r="J466" i="9"/>
  <c r="F466" i="9" s="1"/>
  <c r="J467" i="9"/>
  <c r="F467" i="9" s="1"/>
  <c r="J468" i="9"/>
  <c r="F468" i="9" s="1"/>
  <c r="J469" i="9"/>
  <c r="F469" i="9" s="1"/>
  <c r="J470" i="9"/>
  <c r="F470" i="9" s="1"/>
  <c r="J471" i="9"/>
  <c r="F471" i="9" s="1"/>
  <c r="J472" i="9"/>
  <c r="F472" i="9" s="1"/>
  <c r="J473" i="9"/>
  <c r="F473" i="9" s="1"/>
  <c r="J474" i="9"/>
  <c r="F474" i="9" s="1"/>
  <c r="J475" i="9"/>
  <c r="F475" i="9" s="1"/>
  <c r="J476" i="9"/>
  <c r="F476" i="9" s="1"/>
  <c r="J477" i="9"/>
  <c r="F477" i="9" s="1"/>
  <c r="J478" i="9"/>
  <c r="F478" i="9" s="1"/>
  <c r="J479" i="9"/>
  <c r="F479" i="9" s="1"/>
  <c r="J480" i="9"/>
  <c r="F480" i="9" s="1"/>
  <c r="J481" i="9"/>
  <c r="F481" i="9" s="1"/>
  <c r="J482" i="9"/>
  <c r="F482" i="9" s="1"/>
  <c r="J483" i="9"/>
  <c r="F483" i="9" s="1"/>
  <c r="J484" i="9"/>
  <c r="F484" i="9" s="1"/>
  <c r="J485" i="9"/>
  <c r="F485" i="9" s="1"/>
  <c r="J486" i="9"/>
  <c r="F486" i="9" s="1"/>
  <c r="J487" i="9"/>
  <c r="F487" i="9" s="1"/>
  <c r="J488" i="9"/>
  <c r="F488" i="9" s="1"/>
  <c r="J489" i="9"/>
  <c r="F489" i="9" s="1"/>
  <c r="J490" i="9"/>
  <c r="F490" i="9" s="1"/>
  <c r="J491" i="9"/>
  <c r="F491" i="9" s="1"/>
  <c r="J492" i="9"/>
  <c r="F492" i="9" s="1"/>
  <c r="J493" i="9"/>
  <c r="F493" i="9" s="1"/>
  <c r="J494" i="9"/>
  <c r="F494" i="9" s="1"/>
  <c r="J495" i="9"/>
  <c r="F495" i="9" s="1"/>
  <c r="J496" i="9"/>
  <c r="F496" i="9" s="1"/>
  <c r="J497" i="9"/>
  <c r="F497" i="9" s="1"/>
  <c r="J498" i="9"/>
  <c r="F498" i="9" s="1"/>
  <c r="J499" i="9"/>
  <c r="F499" i="9" s="1"/>
  <c r="J500" i="9"/>
  <c r="F500" i="9" s="1"/>
  <c r="J501" i="9"/>
  <c r="F501" i="9" s="1"/>
  <c r="J502" i="9"/>
  <c r="F502" i="9" s="1"/>
  <c r="J503" i="9"/>
  <c r="F503" i="9" s="1"/>
  <c r="J504" i="9"/>
  <c r="F504" i="9" s="1"/>
  <c r="J505" i="9"/>
  <c r="F505" i="9" s="1"/>
  <c r="J506" i="9"/>
  <c r="F506" i="9" s="1"/>
  <c r="J507" i="9"/>
  <c r="F507" i="9" s="1"/>
  <c r="J508" i="9"/>
  <c r="F508" i="9" s="1"/>
  <c r="J509" i="9"/>
  <c r="F509" i="9" s="1"/>
  <c r="J510" i="9"/>
  <c r="F510" i="9" s="1"/>
  <c r="J511" i="9"/>
  <c r="F511" i="9" s="1"/>
  <c r="J512" i="9"/>
  <c r="F512" i="9" s="1"/>
  <c r="J513" i="9"/>
  <c r="F513" i="9" s="1"/>
  <c r="J514" i="9"/>
  <c r="F514" i="9" s="1"/>
  <c r="J515" i="9"/>
  <c r="F515" i="9" s="1"/>
  <c r="J516" i="9"/>
  <c r="F516" i="9" s="1"/>
  <c r="J517" i="9"/>
  <c r="F517" i="9" s="1"/>
  <c r="J518" i="9"/>
  <c r="F518" i="9" s="1"/>
  <c r="J519" i="9"/>
  <c r="F519" i="9" s="1"/>
  <c r="J520" i="9"/>
  <c r="F520" i="9" s="1"/>
  <c r="J521" i="9"/>
  <c r="F521" i="9" s="1"/>
  <c r="J522" i="9"/>
  <c r="F522" i="9" s="1"/>
  <c r="J523" i="9"/>
  <c r="F523" i="9" s="1"/>
  <c r="J524" i="9"/>
  <c r="F524" i="9" s="1"/>
  <c r="J525" i="9"/>
  <c r="F525" i="9" s="1"/>
  <c r="J526" i="9"/>
  <c r="F526" i="9" s="1"/>
  <c r="J527" i="9"/>
  <c r="F527" i="9" s="1"/>
  <c r="J528" i="9"/>
  <c r="F528" i="9" s="1"/>
  <c r="J529" i="9"/>
  <c r="F529" i="9" s="1"/>
  <c r="J530" i="9"/>
  <c r="F530" i="9" s="1"/>
  <c r="J531" i="9"/>
  <c r="F531" i="9" s="1"/>
  <c r="J532" i="9"/>
  <c r="F532" i="9" s="1"/>
  <c r="J533" i="9"/>
  <c r="F533" i="9" s="1"/>
  <c r="J534" i="9"/>
  <c r="F534" i="9" s="1"/>
  <c r="J535" i="9"/>
  <c r="F535" i="9" s="1"/>
  <c r="J536" i="9"/>
  <c r="F536" i="9" s="1"/>
  <c r="J537" i="9"/>
  <c r="F537" i="9" s="1"/>
  <c r="J538" i="9"/>
  <c r="F538" i="9" s="1"/>
  <c r="J539" i="9"/>
  <c r="F539" i="9" s="1"/>
  <c r="J540" i="9"/>
  <c r="F540" i="9" s="1"/>
  <c r="J541" i="9"/>
  <c r="F541" i="9" s="1"/>
  <c r="J542" i="9"/>
  <c r="F542" i="9" s="1"/>
  <c r="J543" i="9"/>
  <c r="F543" i="9" s="1"/>
  <c r="J544" i="9"/>
  <c r="F544" i="9" s="1"/>
  <c r="J545" i="9"/>
  <c r="F545" i="9" s="1"/>
  <c r="J546" i="9"/>
  <c r="F546" i="9" s="1"/>
  <c r="J547" i="9"/>
  <c r="F547" i="9" s="1"/>
  <c r="J548" i="9"/>
  <c r="F548" i="9" s="1"/>
  <c r="J549" i="9"/>
  <c r="F549" i="9" s="1"/>
  <c r="J550" i="9"/>
  <c r="F550" i="9" s="1"/>
  <c r="J551" i="9"/>
  <c r="F551" i="9" s="1"/>
  <c r="J552" i="9"/>
  <c r="F552" i="9" s="1"/>
  <c r="J553" i="9"/>
  <c r="F553" i="9" s="1"/>
  <c r="J554" i="9"/>
  <c r="F554" i="9" s="1"/>
  <c r="J555" i="9"/>
  <c r="F555" i="9" s="1"/>
  <c r="J556" i="9"/>
  <c r="F556" i="9" s="1"/>
  <c r="J557" i="9"/>
  <c r="F557" i="9" s="1"/>
  <c r="J558" i="9"/>
  <c r="F558" i="9" s="1"/>
  <c r="J559" i="9"/>
  <c r="F559" i="9" s="1"/>
  <c r="J560" i="9"/>
  <c r="F560" i="9" s="1"/>
  <c r="J561" i="9"/>
  <c r="F561" i="9" s="1"/>
  <c r="J562" i="9"/>
  <c r="F562" i="9" s="1"/>
  <c r="J563" i="9"/>
  <c r="F563" i="9" s="1"/>
  <c r="J564" i="9"/>
  <c r="F564" i="9" s="1"/>
  <c r="J565" i="9"/>
  <c r="F565" i="9" s="1"/>
  <c r="J566" i="9"/>
  <c r="F566" i="9" s="1"/>
  <c r="J567" i="9"/>
  <c r="F567" i="9" s="1"/>
  <c r="J568" i="9"/>
  <c r="F568" i="9" s="1"/>
  <c r="J569" i="9"/>
  <c r="F569" i="9" s="1"/>
  <c r="J570" i="9"/>
  <c r="F570" i="9" s="1"/>
  <c r="J571" i="9"/>
  <c r="F571" i="9" s="1"/>
  <c r="J572" i="9"/>
  <c r="F572" i="9" s="1"/>
  <c r="J573" i="9"/>
  <c r="F573" i="9" s="1"/>
  <c r="J574" i="9"/>
  <c r="F574" i="9" s="1"/>
  <c r="J575" i="9"/>
  <c r="F575" i="9" s="1"/>
  <c r="J576" i="9"/>
  <c r="F576" i="9" s="1"/>
  <c r="J577" i="9"/>
  <c r="F577" i="9" s="1"/>
  <c r="J578" i="9"/>
  <c r="F578" i="9" s="1"/>
  <c r="J579" i="9"/>
  <c r="F579" i="9" s="1"/>
  <c r="J580" i="9"/>
  <c r="F580" i="9" s="1"/>
  <c r="J581" i="9"/>
  <c r="F581" i="9" s="1"/>
  <c r="J582" i="9"/>
  <c r="F582" i="9" s="1"/>
  <c r="J583" i="9"/>
  <c r="F583" i="9" s="1"/>
  <c r="J584" i="9"/>
  <c r="F584" i="9" s="1"/>
  <c r="J585" i="9"/>
  <c r="F585" i="9" s="1"/>
  <c r="J586" i="9"/>
  <c r="F586" i="9" s="1"/>
  <c r="J587" i="9"/>
  <c r="F587" i="9" s="1"/>
  <c r="J588" i="9"/>
  <c r="F588" i="9" s="1"/>
  <c r="J589" i="9"/>
  <c r="F589" i="9" s="1"/>
  <c r="J590" i="9"/>
  <c r="F590" i="9" s="1"/>
  <c r="J591" i="9"/>
  <c r="F591" i="9" s="1"/>
  <c r="J592" i="9"/>
  <c r="F592" i="9" s="1"/>
  <c r="J593" i="9"/>
  <c r="F593" i="9" s="1"/>
  <c r="J594" i="9"/>
  <c r="F594" i="9" s="1"/>
  <c r="J595" i="9"/>
  <c r="F595" i="9" s="1"/>
  <c r="J596" i="9"/>
  <c r="F596" i="9" s="1"/>
  <c r="J597" i="9"/>
  <c r="F597" i="9" s="1"/>
  <c r="J598" i="9"/>
  <c r="F598" i="9" s="1"/>
  <c r="J599" i="9"/>
  <c r="F599" i="9" s="1"/>
  <c r="J600" i="9"/>
  <c r="F600" i="9" s="1"/>
  <c r="J601" i="9"/>
  <c r="F601" i="9" s="1"/>
  <c r="J602" i="9"/>
  <c r="F602" i="9" s="1"/>
  <c r="J603" i="9"/>
  <c r="F603" i="9" s="1"/>
  <c r="J604" i="9"/>
  <c r="F604" i="9" s="1"/>
  <c r="J605" i="9"/>
  <c r="F605" i="9" s="1"/>
  <c r="J606" i="9"/>
  <c r="F606" i="9" s="1"/>
  <c r="J607" i="9"/>
  <c r="F607" i="9" s="1"/>
  <c r="J608" i="9"/>
  <c r="F608" i="9" s="1"/>
  <c r="J609" i="9"/>
  <c r="F609" i="9" s="1"/>
  <c r="J610" i="9"/>
  <c r="F610" i="9" s="1"/>
  <c r="J611" i="9"/>
  <c r="F611" i="9" s="1"/>
  <c r="J612" i="9"/>
  <c r="F612" i="9" s="1"/>
  <c r="J613" i="9"/>
  <c r="F613" i="9" s="1"/>
  <c r="J614" i="9"/>
  <c r="F614" i="9" s="1"/>
  <c r="J615" i="9"/>
  <c r="F615" i="9" s="1"/>
  <c r="J616" i="9"/>
  <c r="F616" i="9" s="1"/>
  <c r="J617" i="9"/>
  <c r="F617" i="9" s="1"/>
  <c r="J618" i="9"/>
  <c r="F618" i="9" s="1"/>
  <c r="J619" i="9"/>
  <c r="F619" i="9" s="1"/>
  <c r="J620" i="9"/>
  <c r="F620" i="9" s="1"/>
  <c r="J621" i="9"/>
  <c r="F621" i="9" s="1"/>
  <c r="J622" i="9"/>
  <c r="F622" i="9" s="1"/>
  <c r="J623" i="9"/>
  <c r="F623" i="9" s="1"/>
  <c r="J624" i="9"/>
  <c r="F624" i="9" s="1"/>
  <c r="J625" i="9"/>
  <c r="F625" i="9" s="1"/>
  <c r="J626" i="9"/>
  <c r="F626" i="9" s="1"/>
  <c r="J627" i="9"/>
  <c r="F627" i="9" s="1"/>
  <c r="J628" i="9"/>
  <c r="F628" i="9" s="1"/>
  <c r="J629" i="9"/>
  <c r="F629" i="9" s="1"/>
  <c r="J630" i="9"/>
  <c r="F630" i="9" s="1"/>
  <c r="J631" i="9"/>
  <c r="F631" i="9" s="1"/>
  <c r="J632" i="9"/>
  <c r="F632" i="9" s="1"/>
  <c r="J633" i="9"/>
  <c r="F633" i="9" s="1"/>
  <c r="J634" i="9"/>
  <c r="F634" i="9" s="1"/>
  <c r="J635" i="9"/>
  <c r="F635" i="9" s="1"/>
  <c r="J636" i="9"/>
  <c r="F636" i="9" s="1"/>
  <c r="J637" i="9"/>
  <c r="F637" i="9" s="1"/>
  <c r="J638" i="9"/>
  <c r="F638" i="9" s="1"/>
  <c r="J639" i="9"/>
  <c r="F639" i="9" s="1"/>
  <c r="J640" i="9"/>
  <c r="F640" i="9" s="1"/>
  <c r="J641" i="9"/>
  <c r="F641" i="9" s="1"/>
  <c r="J642" i="9"/>
  <c r="F642" i="9" s="1"/>
  <c r="J643" i="9"/>
  <c r="F643" i="9" s="1"/>
  <c r="J644" i="9"/>
  <c r="F644" i="9" s="1"/>
  <c r="J645" i="9"/>
  <c r="F645" i="9" s="1"/>
  <c r="J646" i="9"/>
  <c r="F646" i="9" s="1"/>
  <c r="J647" i="9"/>
  <c r="F647" i="9" s="1"/>
  <c r="J648" i="9"/>
  <c r="F648" i="9" s="1"/>
  <c r="J649" i="9"/>
  <c r="F649" i="9" s="1"/>
  <c r="J650" i="9"/>
  <c r="F650" i="9" s="1"/>
  <c r="J651" i="9"/>
  <c r="F651" i="9" s="1"/>
  <c r="J652" i="9"/>
  <c r="F652" i="9" s="1"/>
  <c r="J653" i="9"/>
  <c r="F653" i="9" s="1"/>
  <c r="J654" i="9"/>
  <c r="F654" i="9" s="1"/>
  <c r="J655" i="9"/>
  <c r="F655" i="9" s="1"/>
  <c r="J656" i="9"/>
  <c r="F656" i="9" s="1"/>
  <c r="J657" i="9"/>
  <c r="F657" i="9" s="1"/>
  <c r="J658" i="9"/>
  <c r="F658" i="9" s="1"/>
  <c r="J659" i="9"/>
  <c r="F659" i="9" s="1"/>
  <c r="J660" i="9"/>
  <c r="F660" i="9" s="1"/>
  <c r="J661" i="9"/>
  <c r="F661" i="9" s="1"/>
  <c r="J662" i="9"/>
  <c r="F662" i="9" s="1"/>
  <c r="J663" i="9"/>
  <c r="F663" i="9" s="1"/>
  <c r="J664" i="9"/>
  <c r="F664" i="9" s="1"/>
  <c r="J665" i="9"/>
  <c r="F665" i="9" s="1"/>
  <c r="J666" i="9"/>
  <c r="F666" i="9" s="1"/>
  <c r="J667" i="9"/>
  <c r="F667" i="9" s="1"/>
  <c r="J668" i="9"/>
  <c r="F668" i="9" s="1"/>
  <c r="J669" i="9"/>
  <c r="F669" i="9" s="1"/>
  <c r="J670" i="9"/>
  <c r="F670" i="9" s="1"/>
  <c r="J671" i="9"/>
  <c r="F671" i="9" s="1"/>
  <c r="J672" i="9"/>
  <c r="F672" i="9" s="1"/>
  <c r="J673" i="9"/>
  <c r="F673" i="9" s="1"/>
  <c r="J674" i="9"/>
  <c r="F674" i="9" s="1"/>
  <c r="J675" i="9"/>
  <c r="F675" i="9" s="1"/>
  <c r="J676" i="9"/>
  <c r="F676" i="9" s="1"/>
  <c r="J677" i="9"/>
  <c r="F677" i="9" s="1"/>
  <c r="J678" i="9"/>
  <c r="F678" i="9" s="1"/>
  <c r="J679" i="9"/>
  <c r="F679" i="9" s="1"/>
  <c r="J680" i="9"/>
  <c r="F680" i="9" s="1"/>
  <c r="J681" i="9"/>
  <c r="F681" i="9" s="1"/>
  <c r="J682" i="9"/>
  <c r="F682" i="9" s="1"/>
  <c r="J683" i="9"/>
  <c r="F683" i="9" s="1"/>
  <c r="J684" i="9"/>
  <c r="F684" i="9" s="1"/>
  <c r="J685" i="9"/>
  <c r="F685" i="9" s="1"/>
  <c r="J686" i="9"/>
  <c r="F686" i="9" s="1"/>
  <c r="J687" i="9"/>
  <c r="F687" i="9" s="1"/>
  <c r="J688" i="9"/>
  <c r="F688" i="9" s="1"/>
  <c r="J689" i="9"/>
  <c r="F689" i="9" s="1"/>
  <c r="J690" i="9"/>
  <c r="F690" i="9" s="1"/>
  <c r="J691" i="9"/>
  <c r="F691" i="9" s="1"/>
  <c r="J692" i="9"/>
  <c r="F692" i="9" s="1"/>
  <c r="J693" i="9"/>
  <c r="F693" i="9" s="1"/>
  <c r="J694" i="9"/>
  <c r="F694" i="9" s="1"/>
  <c r="J695" i="9"/>
  <c r="F695" i="9" s="1"/>
  <c r="J696" i="9"/>
  <c r="F696" i="9" s="1"/>
  <c r="J697" i="9"/>
  <c r="F697" i="9" s="1"/>
  <c r="J698" i="9"/>
  <c r="F698" i="9" s="1"/>
  <c r="J699" i="9"/>
  <c r="F699" i="9" s="1"/>
  <c r="J700" i="9"/>
  <c r="F700" i="9" s="1"/>
  <c r="J701" i="9"/>
  <c r="F701" i="9" s="1"/>
  <c r="J702" i="9"/>
  <c r="F702" i="9" s="1"/>
  <c r="J703" i="9"/>
  <c r="F703" i="9" s="1"/>
  <c r="J704" i="9"/>
  <c r="F704" i="9" s="1"/>
  <c r="J705" i="9"/>
  <c r="F705" i="9" s="1"/>
  <c r="J706" i="9"/>
  <c r="F706" i="9" s="1"/>
  <c r="J707" i="9"/>
  <c r="F707" i="9" s="1"/>
  <c r="J708" i="9"/>
  <c r="F708" i="9" s="1"/>
  <c r="J709" i="9"/>
  <c r="F709" i="9" s="1"/>
  <c r="J710" i="9"/>
  <c r="F710" i="9" s="1"/>
  <c r="J711" i="9"/>
  <c r="F711" i="9" s="1"/>
  <c r="J712" i="9"/>
  <c r="F712" i="9" s="1"/>
  <c r="J713" i="9"/>
  <c r="F713" i="9" s="1"/>
  <c r="J714" i="9"/>
  <c r="F714" i="9" s="1"/>
  <c r="J715" i="9"/>
  <c r="F715" i="9" s="1"/>
  <c r="J716" i="9"/>
  <c r="F716" i="9" s="1"/>
  <c r="J717" i="9"/>
  <c r="F717" i="9" s="1"/>
  <c r="J718" i="9"/>
  <c r="F718" i="9" s="1"/>
  <c r="J719" i="9"/>
  <c r="F719" i="9" s="1"/>
  <c r="J720" i="9"/>
  <c r="F720" i="9" s="1"/>
  <c r="J721" i="9"/>
  <c r="F721" i="9" s="1"/>
  <c r="J722" i="9"/>
  <c r="F722" i="9" s="1"/>
  <c r="J723" i="9"/>
  <c r="F723" i="9" s="1"/>
  <c r="J724" i="9"/>
  <c r="F724" i="9" s="1"/>
  <c r="J725" i="9"/>
  <c r="F725" i="9" s="1"/>
  <c r="J726" i="9"/>
  <c r="F726" i="9" s="1"/>
  <c r="J727" i="9"/>
  <c r="F727" i="9" s="1"/>
  <c r="J728" i="9"/>
  <c r="F728" i="9" s="1"/>
  <c r="J729" i="9"/>
  <c r="F729" i="9" s="1"/>
  <c r="J730" i="9"/>
  <c r="F730" i="9" s="1"/>
  <c r="J731" i="9"/>
  <c r="F731" i="9" s="1"/>
  <c r="J732" i="9"/>
  <c r="F732" i="9" s="1"/>
  <c r="J733" i="9"/>
  <c r="F733" i="9" s="1"/>
  <c r="J734" i="9"/>
  <c r="F734" i="9" s="1"/>
  <c r="J735" i="9"/>
  <c r="F735" i="9" s="1"/>
  <c r="J736" i="9"/>
  <c r="F736" i="9" s="1"/>
  <c r="J737" i="9"/>
  <c r="F737" i="9" s="1"/>
  <c r="J738" i="9"/>
  <c r="F738" i="9" s="1"/>
  <c r="J739" i="9"/>
  <c r="F739" i="9" s="1"/>
  <c r="J740" i="9"/>
  <c r="F740" i="9" s="1"/>
  <c r="J741" i="9"/>
  <c r="F741" i="9" s="1"/>
  <c r="J742" i="9"/>
  <c r="F742" i="9" s="1"/>
  <c r="J743" i="9"/>
  <c r="F743" i="9" s="1"/>
  <c r="J744" i="9"/>
  <c r="F744" i="9" s="1"/>
  <c r="J745" i="9"/>
  <c r="F745" i="9" s="1"/>
  <c r="J746" i="9"/>
  <c r="F746" i="9" s="1"/>
  <c r="J747" i="9"/>
  <c r="F747" i="9" s="1"/>
  <c r="J748" i="9"/>
  <c r="F748" i="9" s="1"/>
  <c r="J749" i="9"/>
  <c r="F749" i="9" s="1"/>
  <c r="J750" i="9"/>
  <c r="F750" i="9" s="1"/>
  <c r="J751" i="9"/>
  <c r="F751" i="9" s="1"/>
  <c r="J752" i="9"/>
  <c r="F752" i="9" s="1"/>
  <c r="J753" i="9"/>
  <c r="F753" i="9" s="1"/>
  <c r="J754" i="9"/>
  <c r="F754" i="9" s="1"/>
  <c r="J755" i="9"/>
  <c r="F755" i="9" s="1"/>
  <c r="J756" i="9"/>
  <c r="F756" i="9" s="1"/>
  <c r="J757" i="9"/>
  <c r="F757" i="9" s="1"/>
  <c r="J758" i="9"/>
  <c r="F758" i="9" s="1"/>
  <c r="J759" i="9"/>
  <c r="F759" i="9" s="1"/>
  <c r="J760" i="9"/>
  <c r="F760" i="9" s="1"/>
  <c r="J761" i="9"/>
  <c r="F761" i="9" s="1"/>
  <c r="J762" i="9"/>
  <c r="F762" i="9" s="1"/>
  <c r="J763" i="9"/>
  <c r="F763" i="9" s="1"/>
  <c r="J764" i="9"/>
  <c r="F764" i="9" s="1"/>
  <c r="J765" i="9"/>
  <c r="F765" i="9" s="1"/>
  <c r="J766" i="9"/>
  <c r="F766" i="9" s="1"/>
  <c r="J767" i="9"/>
  <c r="F767" i="9" s="1"/>
  <c r="J768" i="9"/>
  <c r="F768" i="9" s="1"/>
  <c r="J769" i="9"/>
  <c r="F769" i="9" s="1"/>
  <c r="J770" i="9"/>
  <c r="F770" i="9" s="1"/>
  <c r="J771" i="9"/>
  <c r="F771" i="9" s="1"/>
  <c r="J772" i="9"/>
  <c r="F772" i="9" s="1"/>
  <c r="J773" i="9"/>
  <c r="F773" i="9" s="1"/>
  <c r="J774" i="9"/>
  <c r="F774" i="9" s="1"/>
  <c r="J775" i="9"/>
  <c r="F775" i="9" s="1"/>
  <c r="J776" i="9"/>
  <c r="F776" i="9" s="1"/>
  <c r="J777" i="9"/>
  <c r="F777" i="9" s="1"/>
  <c r="J778" i="9"/>
  <c r="F778" i="9" s="1"/>
  <c r="J779" i="9"/>
  <c r="F779" i="9" s="1"/>
  <c r="J780" i="9"/>
  <c r="F780" i="9" s="1"/>
  <c r="J781" i="9"/>
  <c r="F781" i="9" s="1"/>
  <c r="J782" i="9"/>
  <c r="F782" i="9" s="1"/>
  <c r="J783" i="9"/>
  <c r="F783" i="9" s="1"/>
  <c r="J784" i="9"/>
  <c r="F784" i="9" s="1"/>
  <c r="J785" i="9"/>
  <c r="F785" i="9" s="1"/>
  <c r="J786" i="9"/>
  <c r="F786" i="9" s="1"/>
  <c r="J787" i="9"/>
  <c r="F787" i="9" s="1"/>
  <c r="J788" i="9"/>
  <c r="F788" i="9" s="1"/>
  <c r="J789" i="9"/>
  <c r="F789" i="9" s="1"/>
  <c r="J790" i="9"/>
  <c r="F790" i="9" s="1"/>
  <c r="J791" i="9"/>
  <c r="F791" i="9" s="1"/>
  <c r="J792" i="9"/>
  <c r="F792" i="9" s="1"/>
  <c r="J793" i="9"/>
  <c r="F793" i="9" s="1"/>
  <c r="J794" i="9"/>
  <c r="F794" i="9" s="1"/>
  <c r="J795" i="9"/>
  <c r="F795" i="9" s="1"/>
  <c r="J796" i="9"/>
  <c r="F796" i="9" s="1"/>
  <c r="J797" i="9"/>
  <c r="F797" i="9" s="1"/>
  <c r="J798" i="9"/>
  <c r="F798" i="9" s="1"/>
  <c r="J799" i="9"/>
  <c r="F799" i="9" s="1"/>
  <c r="J800" i="9"/>
  <c r="F800" i="9" s="1"/>
  <c r="J801" i="9"/>
  <c r="F801" i="9" s="1"/>
  <c r="J802" i="9"/>
  <c r="F802" i="9" s="1"/>
  <c r="J803" i="9"/>
  <c r="F803" i="9" s="1"/>
  <c r="J804" i="9"/>
  <c r="F804" i="9" s="1"/>
  <c r="J805" i="9"/>
  <c r="F805" i="9" s="1"/>
  <c r="J806" i="9"/>
  <c r="F806" i="9" s="1"/>
  <c r="J807" i="9"/>
  <c r="F807" i="9" s="1"/>
  <c r="J808" i="9"/>
  <c r="F808" i="9" s="1"/>
  <c r="J809" i="9"/>
  <c r="F809" i="9" s="1"/>
  <c r="J810" i="9"/>
  <c r="F810" i="9" s="1"/>
  <c r="J811" i="9"/>
  <c r="F811" i="9" s="1"/>
  <c r="J812" i="9"/>
  <c r="F812" i="9" s="1"/>
  <c r="J813" i="9"/>
  <c r="F813" i="9" s="1"/>
  <c r="J814" i="9"/>
  <c r="F814" i="9" s="1"/>
  <c r="J815" i="9"/>
  <c r="F815" i="9" s="1"/>
  <c r="J816" i="9"/>
  <c r="F816" i="9" s="1"/>
  <c r="J817" i="9"/>
  <c r="F817" i="9" s="1"/>
  <c r="J818" i="9"/>
  <c r="F818" i="9" s="1"/>
  <c r="J819" i="9"/>
  <c r="F819" i="9" s="1"/>
  <c r="J820" i="9"/>
  <c r="F820" i="9" s="1"/>
  <c r="J821" i="9"/>
  <c r="F821" i="9" s="1"/>
  <c r="J822" i="9"/>
  <c r="F822" i="9" s="1"/>
  <c r="J823" i="9"/>
  <c r="F823" i="9" s="1"/>
  <c r="J824" i="9"/>
  <c r="F824" i="9" s="1"/>
  <c r="J825" i="9"/>
  <c r="F825" i="9" s="1"/>
  <c r="J826" i="9"/>
  <c r="F826" i="9" s="1"/>
  <c r="J827" i="9"/>
  <c r="F827" i="9" s="1"/>
  <c r="J828" i="9"/>
  <c r="F828" i="9" s="1"/>
  <c r="J829" i="9"/>
  <c r="F829" i="9" s="1"/>
  <c r="J830" i="9"/>
  <c r="F830" i="9" s="1"/>
  <c r="J831" i="9"/>
  <c r="F831" i="9" s="1"/>
  <c r="J832" i="9"/>
  <c r="F832" i="9" s="1"/>
  <c r="J833" i="9"/>
  <c r="F833" i="9" s="1"/>
  <c r="J834" i="9"/>
  <c r="F834" i="9" s="1"/>
  <c r="J835" i="9"/>
  <c r="F835" i="9" s="1"/>
  <c r="J836" i="9"/>
  <c r="F836" i="9" s="1"/>
  <c r="J837" i="9"/>
  <c r="F837" i="9" s="1"/>
  <c r="J838" i="9"/>
  <c r="F838" i="9" s="1"/>
  <c r="J839" i="9"/>
  <c r="F839" i="9" s="1"/>
  <c r="J840" i="9"/>
  <c r="F840" i="9" s="1"/>
  <c r="J841" i="9"/>
  <c r="F841" i="9" s="1"/>
  <c r="J842" i="9"/>
  <c r="F842" i="9" s="1"/>
  <c r="J843" i="9"/>
  <c r="F843" i="9" s="1"/>
  <c r="J844" i="9"/>
  <c r="F844" i="9" s="1"/>
  <c r="J845" i="9"/>
  <c r="F845" i="9" s="1"/>
  <c r="J846" i="9"/>
  <c r="F846" i="9" s="1"/>
  <c r="J847" i="9"/>
  <c r="F847" i="9" s="1"/>
  <c r="J848" i="9"/>
  <c r="F848" i="9" s="1"/>
  <c r="J849" i="9"/>
  <c r="F849" i="9" s="1"/>
  <c r="J850" i="9"/>
  <c r="F850" i="9" s="1"/>
  <c r="J851" i="9"/>
  <c r="F851" i="9" s="1"/>
  <c r="J852" i="9"/>
  <c r="F852" i="9" s="1"/>
  <c r="J853" i="9"/>
  <c r="F853" i="9" s="1"/>
  <c r="J854" i="9"/>
  <c r="F854" i="9" s="1"/>
  <c r="J855" i="9"/>
  <c r="F855" i="9" s="1"/>
  <c r="J856" i="9"/>
  <c r="F856" i="9" s="1"/>
  <c r="J857" i="9"/>
  <c r="F857" i="9" s="1"/>
  <c r="J858" i="9"/>
  <c r="F858" i="9" s="1"/>
  <c r="J859" i="9"/>
  <c r="F859" i="9" s="1"/>
  <c r="J860" i="9"/>
  <c r="F860" i="9" s="1"/>
  <c r="J861" i="9"/>
  <c r="F861" i="9" s="1"/>
  <c r="J862" i="9"/>
  <c r="F862" i="9" s="1"/>
  <c r="J863" i="9"/>
  <c r="F863" i="9" s="1"/>
  <c r="J864" i="9"/>
  <c r="F864" i="9" s="1"/>
  <c r="J865" i="9"/>
  <c r="F865" i="9" s="1"/>
  <c r="J866" i="9"/>
  <c r="F866" i="9" s="1"/>
  <c r="J867" i="9"/>
  <c r="F867" i="9" s="1"/>
  <c r="J868" i="9"/>
  <c r="F868" i="9" s="1"/>
  <c r="J869" i="9"/>
  <c r="F869" i="9" s="1"/>
  <c r="J870" i="9"/>
  <c r="F870" i="9" s="1"/>
  <c r="J871" i="9"/>
  <c r="F871" i="9" s="1"/>
  <c r="J872" i="9"/>
  <c r="F872" i="9" s="1"/>
  <c r="J873" i="9"/>
  <c r="F873" i="9" s="1"/>
  <c r="J874" i="9"/>
  <c r="F874" i="9" s="1"/>
  <c r="J875" i="9"/>
  <c r="F875" i="9" s="1"/>
  <c r="J876" i="9"/>
  <c r="F876" i="9" s="1"/>
  <c r="J877" i="9"/>
  <c r="F877" i="9" s="1"/>
  <c r="J878" i="9"/>
  <c r="F878" i="9" s="1"/>
  <c r="J879" i="9"/>
  <c r="F879" i="9" s="1"/>
  <c r="J880" i="9"/>
  <c r="F880" i="9" s="1"/>
  <c r="J881" i="9"/>
  <c r="F881" i="9" s="1"/>
  <c r="J882" i="9"/>
  <c r="F882" i="9" s="1"/>
  <c r="J883" i="9"/>
  <c r="F883" i="9" s="1"/>
  <c r="J884" i="9"/>
  <c r="F884" i="9" s="1"/>
  <c r="J885" i="9"/>
  <c r="F885" i="9" s="1"/>
  <c r="J886" i="9"/>
  <c r="F886" i="9" s="1"/>
  <c r="J887" i="9"/>
  <c r="F887" i="9" s="1"/>
  <c r="J888" i="9"/>
  <c r="F888" i="9" s="1"/>
  <c r="J889" i="9"/>
  <c r="F889" i="9" s="1"/>
  <c r="J890" i="9"/>
  <c r="F890" i="9" s="1"/>
  <c r="J891" i="9"/>
  <c r="F891" i="9" s="1"/>
  <c r="J892" i="9"/>
  <c r="F892" i="9" s="1"/>
  <c r="J893" i="9"/>
  <c r="F893" i="9" s="1"/>
  <c r="J894" i="9"/>
  <c r="F894" i="9" s="1"/>
  <c r="J895" i="9"/>
  <c r="F895" i="9" s="1"/>
  <c r="J896" i="9"/>
  <c r="F896" i="9" s="1"/>
  <c r="J897" i="9"/>
  <c r="F897" i="9" s="1"/>
  <c r="J898" i="9"/>
  <c r="F898" i="9" s="1"/>
  <c r="J899" i="9"/>
  <c r="F899" i="9" s="1"/>
  <c r="J900" i="9"/>
  <c r="F900" i="9" s="1"/>
  <c r="J901" i="9"/>
  <c r="F901" i="9" s="1"/>
  <c r="J902" i="9"/>
  <c r="F902" i="9" s="1"/>
  <c r="J903" i="9"/>
  <c r="F903" i="9" s="1"/>
  <c r="J904" i="9"/>
  <c r="F904" i="9" s="1"/>
  <c r="J905" i="9"/>
  <c r="F905" i="9" s="1"/>
  <c r="J906" i="9"/>
  <c r="F906" i="9" s="1"/>
  <c r="J907" i="9"/>
  <c r="F907" i="9" s="1"/>
  <c r="J908" i="9"/>
  <c r="F908" i="9" s="1"/>
  <c r="J909" i="9"/>
  <c r="F909" i="9" s="1"/>
  <c r="J910" i="9"/>
  <c r="F910" i="9" s="1"/>
  <c r="J911" i="9"/>
  <c r="F911" i="9" s="1"/>
  <c r="J912" i="9"/>
  <c r="F912" i="9" s="1"/>
  <c r="J913" i="9"/>
  <c r="F913" i="9" s="1"/>
  <c r="J914" i="9"/>
  <c r="F914" i="9" s="1"/>
  <c r="J915" i="9"/>
  <c r="F915" i="9" s="1"/>
  <c r="J916" i="9"/>
  <c r="F916" i="9" s="1"/>
  <c r="J917" i="9"/>
  <c r="F917" i="9" s="1"/>
  <c r="J918" i="9"/>
  <c r="F918" i="9" s="1"/>
  <c r="J919" i="9"/>
  <c r="F919" i="9" s="1"/>
  <c r="J920" i="9"/>
  <c r="F920" i="9" s="1"/>
  <c r="J921" i="9"/>
  <c r="F921" i="9" s="1"/>
  <c r="J922" i="9"/>
  <c r="F922" i="9" s="1"/>
  <c r="J923" i="9"/>
  <c r="F923" i="9" s="1"/>
  <c r="J924" i="9"/>
  <c r="F924" i="9" s="1"/>
  <c r="J925" i="9"/>
  <c r="F925" i="9" s="1"/>
  <c r="J926" i="9"/>
  <c r="F926" i="9" s="1"/>
  <c r="J927" i="9"/>
  <c r="F927" i="9" s="1"/>
  <c r="J928" i="9"/>
  <c r="F928" i="9" s="1"/>
  <c r="J929" i="9"/>
  <c r="F929" i="9" s="1"/>
  <c r="J930" i="9"/>
  <c r="F930" i="9" s="1"/>
  <c r="J931" i="9"/>
  <c r="F931" i="9" s="1"/>
  <c r="J932" i="9"/>
  <c r="F932" i="9" s="1"/>
  <c r="J933" i="9"/>
  <c r="F933" i="9" s="1"/>
  <c r="J934" i="9"/>
  <c r="F934" i="9" s="1"/>
  <c r="J935" i="9"/>
  <c r="F935" i="9" s="1"/>
  <c r="J936" i="9"/>
  <c r="F936" i="9" s="1"/>
  <c r="J937" i="9"/>
  <c r="F937" i="9" s="1"/>
  <c r="J938" i="9"/>
  <c r="F938" i="9" s="1"/>
  <c r="J939" i="9"/>
  <c r="F939" i="9" s="1"/>
  <c r="J940" i="9"/>
  <c r="F940" i="9" s="1"/>
  <c r="J941" i="9"/>
  <c r="F941" i="9" s="1"/>
  <c r="J942" i="9"/>
  <c r="F942" i="9" s="1"/>
  <c r="J943" i="9"/>
  <c r="F943" i="9" s="1"/>
  <c r="J944" i="9"/>
  <c r="F944" i="9" s="1"/>
  <c r="J945" i="9"/>
  <c r="F945" i="9" s="1"/>
  <c r="J946" i="9"/>
  <c r="F946" i="9" s="1"/>
  <c r="J947" i="9"/>
  <c r="F947" i="9" s="1"/>
  <c r="J948" i="9"/>
  <c r="F948" i="9" s="1"/>
  <c r="J949" i="9"/>
  <c r="F949" i="9" s="1"/>
  <c r="J950" i="9"/>
  <c r="F950" i="9" s="1"/>
  <c r="J951" i="9"/>
  <c r="F951" i="9" s="1"/>
  <c r="J952" i="9"/>
  <c r="F952" i="9" s="1"/>
  <c r="J953" i="9"/>
  <c r="F953" i="9" s="1"/>
  <c r="J954" i="9"/>
  <c r="F954" i="9" s="1"/>
  <c r="J955" i="9"/>
  <c r="F955" i="9" s="1"/>
  <c r="J956" i="9"/>
  <c r="F956" i="9" s="1"/>
  <c r="J957" i="9"/>
  <c r="F957" i="9" s="1"/>
  <c r="J958" i="9"/>
  <c r="F958" i="9" s="1"/>
  <c r="J959" i="9"/>
  <c r="F959" i="9" s="1"/>
  <c r="J960" i="9"/>
  <c r="F960" i="9" s="1"/>
  <c r="J961" i="9"/>
  <c r="F961" i="9" s="1"/>
  <c r="J962" i="9"/>
  <c r="F962" i="9" s="1"/>
  <c r="J963" i="9"/>
  <c r="F963" i="9" s="1"/>
  <c r="J964" i="9"/>
  <c r="F964" i="9" s="1"/>
  <c r="J965" i="9"/>
  <c r="F965" i="9" s="1"/>
  <c r="J966" i="9"/>
  <c r="F966" i="9" s="1"/>
  <c r="J967" i="9"/>
  <c r="F967" i="9" s="1"/>
  <c r="J968" i="9"/>
  <c r="F968" i="9" s="1"/>
  <c r="J969" i="9"/>
  <c r="F969" i="9" s="1"/>
  <c r="J970" i="9"/>
  <c r="F970" i="9" s="1"/>
  <c r="J971" i="9"/>
  <c r="F971" i="9" s="1"/>
  <c r="J972" i="9"/>
  <c r="F972" i="9" s="1"/>
  <c r="J973" i="9"/>
  <c r="F973" i="9" s="1"/>
  <c r="J974" i="9"/>
  <c r="F974" i="9" s="1"/>
  <c r="J975" i="9"/>
  <c r="F975" i="9" s="1"/>
  <c r="J976" i="9"/>
  <c r="F976" i="9" s="1"/>
  <c r="J977" i="9"/>
  <c r="F977" i="9" s="1"/>
  <c r="J978" i="9"/>
  <c r="F978" i="9" s="1"/>
  <c r="J979" i="9"/>
  <c r="F979" i="9" s="1"/>
  <c r="J980" i="9"/>
  <c r="F980" i="9" s="1"/>
  <c r="J981" i="9"/>
  <c r="F981" i="9" s="1"/>
  <c r="J982" i="9"/>
  <c r="F982" i="9" s="1"/>
  <c r="J983" i="9"/>
  <c r="F983" i="9" s="1"/>
  <c r="J984" i="9"/>
  <c r="F984" i="9" s="1"/>
  <c r="J985" i="9"/>
  <c r="F985" i="9" s="1"/>
  <c r="J986" i="9"/>
  <c r="F986" i="9" s="1"/>
  <c r="J987" i="9"/>
  <c r="F987" i="9" s="1"/>
  <c r="J988" i="9"/>
  <c r="F988" i="9" s="1"/>
  <c r="J989" i="9"/>
  <c r="F989" i="9" s="1"/>
  <c r="J990" i="9"/>
  <c r="F990" i="9" s="1"/>
  <c r="J991" i="9"/>
  <c r="F991" i="9" s="1"/>
  <c r="J992" i="9"/>
  <c r="F992" i="9" s="1"/>
  <c r="J993" i="9"/>
  <c r="F993" i="9" s="1"/>
  <c r="J994" i="9"/>
  <c r="F994" i="9" s="1"/>
  <c r="J995" i="9"/>
  <c r="F995" i="9" s="1"/>
  <c r="J996" i="9"/>
  <c r="F996" i="9" s="1"/>
  <c r="J997" i="9"/>
  <c r="F997" i="9" s="1"/>
  <c r="J998" i="9"/>
  <c r="F998" i="9" s="1"/>
  <c r="J999" i="9"/>
  <c r="F999" i="9" s="1"/>
  <c r="J1000" i="9"/>
  <c r="F1000" i="9" s="1"/>
  <c r="J1001" i="9"/>
  <c r="F1001" i="9" s="1"/>
  <c r="J1002" i="9"/>
  <c r="F1002" i="9" s="1"/>
  <c r="J1003" i="9"/>
  <c r="F1003" i="9" s="1"/>
  <c r="J1004" i="9"/>
  <c r="F1004" i="9" s="1"/>
  <c r="J1005" i="9"/>
  <c r="F1005" i="9" s="1"/>
  <c r="J1006" i="9"/>
  <c r="F1006" i="9" s="1"/>
  <c r="J1007" i="9"/>
  <c r="F1007" i="9" s="1"/>
  <c r="J1008" i="9"/>
  <c r="F1008" i="9" s="1"/>
  <c r="J1009" i="9"/>
  <c r="F1009" i="9" s="1"/>
  <c r="J1010" i="9"/>
  <c r="F1010" i="9" s="1"/>
  <c r="J1011" i="9"/>
  <c r="F1011" i="9" s="1"/>
  <c r="J1012" i="9"/>
  <c r="F1012" i="9" s="1"/>
  <c r="J1013" i="9"/>
  <c r="F1013" i="9" s="1"/>
  <c r="J1014" i="9"/>
  <c r="F1014" i="9" s="1"/>
  <c r="J1015" i="9"/>
  <c r="F1015" i="9" s="1"/>
  <c r="J1016" i="9"/>
  <c r="F1016" i="9" s="1"/>
  <c r="J1017" i="9"/>
  <c r="F1017" i="9" s="1"/>
  <c r="J1018" i="9"/>
  <c r="F1018" i="9" s="1"/>
  <c r="J1019" i="9"/>
  <c r="F1019" i="9" s="1"/>
  <c r="J1020" i="9"/>
  <c r="F1020" i="9" s="1"/>
  <c r="J1021" i="9"/>
  <c r="F1021" i="9" s="1"/>
  <c r="J1022" i="9"/>
  <c r="F1022" i="9" s="1"/>
  <c r="J1023" i="9"/>
  <c r="F1023" i="9" s="1"/>
  <c r="J1024" i="9"/>
  <c r="F1024" i="9" s="1"/>
  <c r="J1025" i="9"/>
  <c r="F1025" i="9" s="1"/>
  <c r="J1026" i="9"/>
  <c r="F1026" i="9" s="1"/>
  <c r="J1027" i="9"/>
  <c r="F1027" i="9" s="1"/>
  <c r="J1028" i="9"/>
  <c r="F1028" i="9" s="1"/>
  <c r="J1029" i="9"/>
  <c r="F1029" i="9" s="1"/>
  <c r="J1030" i="9"/>
  <c r="F1030" i="9" s="1"/>
  <c r="J1031" i="9"/>
  <c r="F1031" i="9" s="1"/>
  <c r="J1032" i="9"/>
  <c r="F1032" i="9" s="1"/>
  <c r="J1033" i="9"/>
  <c r="F1033" i="9" s="1"/>
  <c r="J1034" i="9"/>
  <c r="F1034" i="9" s="1"/>
  <c r="J1035" i="9"/>
  <c r="F1035" i="9" s="1"/>
  <c r="J1036" i="9"/>
  <c r="F1036" i="9" s="1"/>
  <c r="J1037" i="9"/>
  <c r="F1037" i="9" s="1"/>
  <c r="J1038" i="9"/>
  <c r="F1038" i="9" s="1"/>
  <c r="J1039" i="9"/>
  <c r="F1039" i="9" s="1"/>
  <c r="J1040" i="9"/>
  <c r="F1040" i="9" s="1"/>
  <c r="J1041" i="9"/>
  <c r="F1041" i="9" s="1"/>
  <c r="J1042" i="9"/>
  <c r="F1042" i="9" s="1"/>
  <c r="J1043" i="9"/>
  <c r="F1043" i="9" s="1"/>
  <c r="J1044" i="9"/>
  <c r="F1044" i="9" s="1"/>
  <c r="J1045" i="9"/>
  <c r="F1045" i="9" s="1"/>
  <c r="J1046" i="9"/>
  <c r="F1046" i="9" s="1"/>
  <c r="J1047" i="9"/>
  <c r="F1047" i="9" s="1"/>
  <c r="J1048" i="9"/>
  <c r="F1048" i="9" s="1"/>
  <c r="J1049" i="9"/>
  <c r="F1049" i="9" s="1"/>
  <c r="J1050" i="9"/>
  <c r="F1050" i="9" s="1"/>
  <c r="J1051" i="9"/>
  <c r="F1051" i="9" s="1"/>
  <c r="J1052" i="9"/>
  <c r="F1052" i="9" s="1"/>
  <c r="J1053" i="9"/>
  <c r="F1053" i="9" s="1"/>
  <c r="J1054" i="9"/>
  <c r="F1054" i="9" s="1"/>
  <c r="J1055" i="9"/>
  <c r="F1055" i="9" s="1"/>
  <c r="J1056" i="9"/>
  <c r="F1056" i="9" s="1"/>
  <c r="J1057" i="9"/>
  <c r="F1057" i="9" s="1"/>
  <c r="J1058" i="9"/>
  <c r="F1058" i="9" s="1"/>
  <c r="J1059" i="9"/>
  <c r="F1059" i="9" s="1"/>
  <c r="J1060" i="9"/>
  <c r="F1060" i="9" s="1"/>
  <c r="J1061" i="9"/>
  <c r="F1061" i="9" s="1"/>
  <c r="J1062" i="9"/>
  <c r="F1062" i="9" s="1"/>
  <c r="J1063" i="9"/>
  <c r="F1063" i="9" s="1"/>
  <c r="J1064" i="9"/>
  <c r="F1064" i="9" s="1"/>
  <c r="J1065" i="9"/>
  <c r="F1065" i="9" s="1"/>
  <c r="J1066" i="9"/>
  <c r="F1066" i="9" s="1"/>
  <c r="J1067" i="9"/>
  <c r="F1067" i="9" s="1"/>
  <c r="J1068" i="9"/>
  <c r="F1068" i="9" s="1"/>
  <c r="J1069" i="9"/>
  <c r="F1069" i="9" s="1"/>
  <c r="J1070" i="9"/>
  <c r="F1070" i="9" s="1"/>
  <c r="J1071" i="9"/>
  <c r="F1071" i="9" s="1"/>
  <c r="J1072" i="9"/>
  <c r="F1072" i="9" s="1"/>
  <c r="J1073" i="9"/>
  <c r="F1073" i="9" s="1"/>
  <c r="J1074" i="9"/>
  <c r="F1074" i="9" s="1"/>
  <c r="J1075" i="9"/>
  <c r="F1075" i="9" s="1"/>
  <c r="J1076" i="9"/>
  <c r="F1076" i="9" s="1"/>
  <c r="J1077" i="9"/>
  <c r="F1077" i="9" s="1"/>
  <c r="J1078" i="9"/>
  <c r="F1078" i="9" s="1"/>
  <c r="J1079" i="9"/>
  <c r="F1079" i="9" s="1"/>
  <c r="J1080" i="9"/>
  <c r="F1080" i="9" s="1"/>
  <c r="J1081" i="9"/>
  <c r="F1081" i="9" s="1"/>
  <c r="J1082" i="9"/>
  <c r="F1082" i="9" s="1"/>
  <c r="J1083" i="9"/>
  <c r="F1083" i="9" s="1"/>
  <c r="J1084" i="9"/>
  <c r="F1084" i="9" s="1"/>
  <c r="J1085" i="9"/>
  <c r="F1085" i="9" s="1"/>
  <c r="J1086" i="9"/>
  <c r="F1086" i="9" s="1"/>
  <c r="J1087" i="9"/>
  <c r="F1087" i="9" s="1"/>
  <c r="J1088" i="9"/>
  <c r="F1088" i="9" s="1"/>
  <c r="J1089" i="9"/>
  <c r="F1089" i="9" s="1"/>
  <c r="J1090" i="9"/>
  <c r="F1090" i="9" s="1"/>
  <c r="J1091" i="9"/>
  <c r="F1091" i="9" s="1"/>
  <c r="J1092" i="9"/>
  <c r="F1092" i="9" s="1"/>
  <c r="J1093" i="9"/>
  <c r="F1093" i="9" s="1"/>
  <c r="J1094" i="9"/>
  <c r="F1094" i="9" s="1"/>
  <c r="J1095" i="9"/>
  <c r="F1095" i="9" s="1"/>
  <c r="J1096" i="9"/>
  <c r="F1096" i="9" s="1"/>
  <c r="J1097" i="9"/>
  <c r="F1097" i="9" s="1"/>
  <c r="J1098" i="9"/>
  <c r="F1098" i="9" s="1"/>
  <c r="J1099" i="9"/>
  <c r="F1099" i="9" s="1"/>
  <c r="J1100" i="9"/>
  <c r="F1100" i="9" s="1"/>
  <c r="J1101" i="9"/>
  <c r="F1101" i="9" s="1"/>
  <c r="J1102" i="9"/>
  <c r="F1102" i="9" s="1"/>
  <c r="J1103" i="9"/>
  <c r="F1103" i="9" s="1"/>
  <c r="J1104" i="9"/>
  <c r="F1104" i="9" s="1"/>
  <c r="J1105" i="9"/>
  <c r="F1105" i="9" s="1"/>
  <c r="J1106" i="9"/>
  <c r="F1106" i="9" s="1"/>
  <c r="J1107" i="9"/>
  <c r="F1107" i="9" s="1"/>
  <c r="J1108" i="9"/>
  <c r="F1108" i="9" s="1"/>
  <c r="J1109" i="9"/>
  <c r="F1109" i="9" s="1"/>
  <c r="J1110" i="9"/>
  <c r="F1110" i="9" s="1"/>
  <c r="J1111" i="9"/>
  <c r="F1111" i="9" s="1"/>
  <c r="J1112" i="9"/>
  <c r="F1112" i="9" s="1"/>
  <c r="J1113" i="9"/>
  <c r="F1113" i="9" s="1"/>
  <c r="J1114" i="9"/>
  <c r="F1114" i="9" s="1"/>
  <c r="J1115" i="9"/>
  <c r="F1115" i="9" s="1"/>
  <c r="J1116" i="9"/>
  <c r="F1116" i="9" s="1"/>
  <c r="J1117" i="9"/>
  <c r="F1117" i="9" s="1"/>
  <c r="J1118" i="9"/>
  <c r="F1118" i="9" s="1"/>
  <c r="J1119" i="9"/>
  <c r="F1119" i="9" s="1"/>
  <c r="J1120" i="9"/>
  <c r="F1120" i="9" s="1"/>
  <c r="J1121" i="9"/>
  <c r="F1121" i="9" s="1"/>
  <c r="J1122" i="9"/>
  <c r="F1122" i="9" s="1"/>
  <c r="J1123" i="9"/>
  <c r="F1123" i="9" s="1"/>
  <c r="J1124" i="9"/>
  <c r="F1124" i="9" s="1"/>
  <c r="J1125" i="9"/>
  <c r="F1125" i="9" s="1"/>
  <c r="J1126" i="9"/>
  <c r="F1126" i="9" s="1"/>
  <c r="J1127" i="9"/>
  <c r="F1127" i="9" s="1"/>
  <c r="J1128" i="9"/>
  <c r="F1128" i="9" s="1"/>
  <c r="J1129" i="9"/>
  <c r="F1129" i="9" s="1"/>
  <c r="J1130" i="9"/>
  <c r="F1130" i="9" s="1"/>
  <c r="J1131" i="9"/>
  <c r="F1131" i="9" s="1"/>
  <c r="J1132" i="9"/>
  <c r="F1132" i="9" s="1"/>
  <c r="J1133" i="9"/>
  <c r="F1133" i="9" s="1"/>
  <c r="J1134" i="9"/>
  <c r="F1134" i="9" s="1"/>
  <c r="J1135" i="9"/>
  <c r="F1135" i="9" s="1"/>
  <c r="J1136" i="9"/>
  <c r="F1136" i="9" s="1"/>
  <c r="J1137" i="9"/>
  <c r="F1137" i="9" s="1"/>
  <c r="J1138" i="9"/>
  <c r="F1138" i="9" s="1"/>
  <c r="J1139" i="9"/>
  <c r="F1139" i="9" s="1"/>
  <c r="J1140" i="9"/>
  <c r="F1140" i="9" s="1"/>
  <c r="J1141" i="9"/>
  <c r="F1141" i="9" s="1"/>
  <c r="J1142" i="9"/>
  <c r="F1142" i="9" s="1"/>
  <c r="J1143" i="9"/>
  <c r="F1143" i="9" s="1"/>
  <c r="J1144" i="9"/>
  <c r="F1144" i="9" s="1"/>
  <c r="J1145" i="9"/>
  <c r="F1145" i="9" s="1"/>
  <c r="J1146" i="9"/>
  <c r="F1146" i="9" s="1"/>
  <c r="J1147" i="9"/>
  <c r="F1147" i="9" s="1"/>
  <c r="J1148" i="9"/>
  <c r="F1148" i="9" s="1"/>
  <c r="J1149" i="9"/>
  <c r="F1149" i="9" s="1"/>
  <c r="J1150" i="9"/>
  <c r="F1150" i="9" s="1"/>
  <c r="J1151" i="9"/>
  <c r="F1151" i="9" s="1"/>
  <c r="J1152" i="9"/>
  <c r="F1152" i="9" s="1"/>
  <c r="J1153" i="9"/>
  <c r="F1153" i="9" s="1"/>
  <c r="J1154" i="9"/>
  <c r="F1154" i="9" s="1"/>
  <c r="J1155" i="9"/>
  <c r="F1155" i="9" s="1"/>
  <c r="J1156" i="9"/>
  <c r="F1156" i="9" s="1"/>
  <c r="J1157" i="9"/>
  <c r="F1157" i="9" s="1"/>
  <c r="J1158" i="9"/>
  <c r="F1158" i="9" s="1"/>
  <c r="J1159" i="9"/>
  <c r="F1159" i="9" s="1"/>
  <c r="J1160" i="9"/>
  <c r="F1160" i="9" s="1"/>
  <c r="J1161" i="9"/>
  <c r="F1161" i="9" s="1"/>
  <c r="J1162" i="9"/>
  <c r="F1162" i="9" s="1"/>
  <c r="J1163" i="9"/>
  <c r="F1163" i="9" s="1"/>
  <c r="J1164" i="9"/>
  <c r="F1164" i="9" s="1"/>
  <c r="J1165" i="9"/>
  <c r="F1165" i="9" s="1"/>
  <c r="J1166" i="9"/>
  <c r="F1166" i="9" s="1"/>
  <c r="J1167" i="9"/>
  <c r="F1167" i="9" s="1"/>
  <c r="J1168" i="9"/>
  <c r="F1168" i="9" s="1"/>
  <c r="J1169" i="9"/>
  <c r="F1169" i="9" s="1"/>
  <c r="J1170" i="9"/>
  <c r="F1170" i="9" s="1"/>
  <c r="J1171" i="9"/>
  <c r="F1171" i="9" s="1"/>
  <c r="J1172" i="9"/>
  <c r="F1172" i="9" s="1"/>
  <c r="J1173" i="9"/>
  <c r="F1173" i="9" s="1"/>
  <c r="J1174" i="9"/>
  <c r="F1174" i="9" s="1"/>
  <c r="J1175" i="9"/>
  <c r="F1175" i="9" s="1"/>
  <c r="J1176" i="9"/>
  <c r="F1176" i="9" s="1"/>
  <c r="J1177" i="9"/>
  <c r="F1177" i="9" s="1"/>
  <c r="J1178" i="9"/>
  <c r="F1178" i="9" s="1"/>
  <c r="J1179" i="9"/>
  <c r="F1179" i="9" s="1"/>
  <c r="J1180" i="9"/>
  <c r="F1180" i="9" s="1"/>
  <c r="J1181" i="9"/>
  <c r="F1181" i="9" s="1"/>
  <c r="J1182" i="9"/>
  <c r="F1182" i="9" s="1"/>
  <c r="J1183" i="9"/>
  <c r="F1183" i="9" s="1"/>
  <c r="J1184" i="9"/>
  <c r="F1184" i="9" s="1"/>
  <c r="J1185" i="9"/>
  <c r="F1185" i="9" s="1"/>
  <c r="J1186" i="9"/>
  <c r="F1186" i="9" s="1"/>
  <c r="J1187" i="9"/>
  <c r="F1187" i="9" s="1"/>
  <c r="J1188" i="9"/>
  <c r="F1188" i="9" s="1"/>
  <c r="J1189" i="9"/>
  <c r="F1189" i="9" s="1"/>
  <c r="J1190" i="9"/>
  <c r="F1190" i="9" s="1"/>
  <c r="J1191" i="9"/>
  <c r="F1191" i="9" s="1"/>
  <c r="J1192" i="9"/>
  <c r="F1192" i="9" s="1"/>
  <c r="J1193" i="9"/>
  <c r="F1193" i="9" s="1"/>
  <c r="J1194" i="9"/>
  <c r="F1194" i="9" s="1"/>
  <c r="J1195" i="9"/>
  <c r="F1195" i="9" s="1"/>
  <c r="J1196" i="9"/>
  <c r="F1196" i="9" s="1"/>
  <c r="J1197" i="9"/>
  <c r="F1197" i="9" s="1"/>
  <c r="J1198" i="9"/>
  <c r="F1198" i="9" s="1"/>
  <c r="J1199" i="9"/>
  <c r="F1199" i="9" s="1"/>
  <c r="J1200" i="9"/>
  <c r="F1200" i="9" s="1"/>
  <c r="J1201" i="9"/>
  <c r="F1201" i="9" s="1"/>
  <c r="J1202" i="9"/>
  <c r="F1202" i="9" s="1"/>
  <c r="J1203" i="9"/>
  <c r="F1203" i="9" s="1"/>
  <c r="J1204" i="9"/>
  <c r="F1204" i="9" s="1"/>
  <c r="J1205" i="9"/>
  <c r="F1205" i="9" s="1"/>
  <c r="J1206" i="9"/>
  <c r="F1206" i="9" s="1"/>
  <c r="J1207" i="9"/>
  <c r="F1207" i="9" s="1"/>
  <c r="J1208" i="9"/>
  <c r="F1208" i="9" s="1"/>
  <c r="J1209" i="9"/>
  <c r="F1209" i="9" s="1"/>
  <c r="J1210" i="9"/>
  <c r="F1210" i="9" s="1"/>
  <c r="J1211" i="9"/>
  <c r="F1211" i="9" s="1"/>
  <c r="J1212" i="9"/>
  <c r="F1212" i="9" s="1"/>
  <c r="J1213" i="9"/>
  <c r="F1213" i="9" s="1"/>
  <c r="J1214" i="9"/>
  <c r="F1214" i="9" s="1"/>
  <c r="J1215" i="9"/>
  <c r="F1215" i="9" s="1"/>
  <c r="J1216" i="9"/>
  <c r="F1216" i="9" s="1"/>
  <c r="J1217" i="9"/>
  <c r="F1217" i="9" s="1"/>
  <c r="J1218" i="9"/>
  <c r="F1218" i="9" s="1"/>
  <c r="J1219" i="9"/>
  <c r="F1219" i="9" s="1"/>
  <c r="J1220" i="9"/>
  <c r="F1220" i="9" s="1"/>
  <c r="J1221" i="9"/>
  <c r="F1221" i="9" s="1"/>
  <c r="J1222" i="9"/>
  <c r="F1222" i="9" s="1"/>
  <c r="J1223" i="9"/>
  <c r="F1223" i="9" s="1"/>
  <c r="J1224" i="9"/>
  <c r="F1224" i="9" s="1"/>
  <c r="J1225" i="9"/>
  <c r="F1225" i="9" s="1"/>
  <c r="J1226" i="9"/>
  <c r="F1226" i="9" s="1"/>
  <c r="J1227" i="9"/>
  <c r="F1227" i="9" s="1"/>
  <c r="J1228" i="9"/>
  <c r="F1228" i="9" s="1"/>
  <c r="J1229" i="9"/>
  <c r="F1229" i="9" s="1"/>
  <c r="J1230" i="9"/>
  <c r="F1230" i="9" s="1"/>
  <c r="J1231" i="9"/>
  <c r="F1231" i="9" s="1"/>
  <c r="J1232" i="9"/>
  <c r="F1232" i="9" s="1"/>
  <c r="J1233" i="9"/>
  <c r="F1233" i="9" s="1"/>
  <c r="J1234" i="9"/>
  <c r="F1234" i="9" s="1"/>
  <c r="J1235" i="9"/>
  <c r="F1235" i="9" s="1"/>
  <c r="J1236" i="9"/>
  <c r="F1236" i="9" s="1"/>
  <c r="J1237" i="9"/>
  <c r="F1237" i="9" s="1"/>
  <c r="J1238" i="9"/>
  <c r="F1238" i="9" s="1"/>
  <c r="J1239" i="9"/>
  <c r="F1239" i="9" s="1"/>
  <c r="J1240" i="9"/>
  <c r="F1240" i="9" s="1"/>
  <c r="J1241" i="9"/>
  <c r="F1241" i="9" s="1"/>
  <c r="J1242" i="9"/>
  <c r="F1242" i="9" s="1"/>
  <c r="J1243" i="9"/>
  <c r="F1243" i="9" s="1"/>
  <c r="J1244" i="9"/>
  <c r="F1244" i="9" s="1"/>
  <c r="J1245" i="9"/>
  <c r="F1245" i="9" s="1"/>
  <c r="J1246" i="9"/>
  <c r="F1246" i="9" s="1"/>
  <c r="J1247" i="9"/>
  <c r="F1247" i="9" s="1"/>
  <c r="J1248" i="9"/>
  <c r="F1248" i="9" s="1"/>
  <c r="J1249" i="9"/>
  <c r="F1249" i="9" s="1"/>
  <c r="J1250" i="9"/>
  <c r="F1250" i="9" s="1"/>
  <c r="J1251" i="9"/>
  <c r="F1251" i="9" s="1"/>
  <c r="J1252" i="9"/>
  <c r="F1252" i="9" s="1"/>
  <c r="J1253" i="9"/>
  <c r="F1253" i="9" s="1"/>
  <c r="J1254" i="9"/>
  <c r="F1254" i="9" s="1"/>
  <c r="J1255" i="9"/>
  <c r="F1255" i="9" s="1"/>
  <c r="J1256" i="9"/>
  <c r="F1256" i="9" s="1"/>
  <c r="J1257" i="9"/>
  <c r="F1257" i="9" s="1"/>
  <c r="J1258" i="9"/>
  <c r="F1258" i="9" s="1"/>
  <c r="J1259" i="9"/>
  <c r="F1259" i="9" s="1"/>
  <c r="J1260" i="9"/>
  <c r="F1260" i="9" s="1"/>
  <c r="J1261" i="9"/>
  <c r="F1261" i="9" s="1"/>
  <c r="J1262" i="9"/>
  <c r="F1262" i="9" s="1"/>
  <c r="J1263" i="9"/>
  <c r="F1263" i="9" s="1"/>
  <c r="J1264" i="9"/>
  <c r="F1264" i="9" s="1"/>
  <c r="J1265" i="9"/>
  <c r="F1265" i="9" s="1"/>
  <c r="J1266" i="9"/>
  <c r="F1266" i="9" s="1"/>
  <c r="J1267" i="9"/>
  <c r="F1267" i="9" s="1"/>
  <c r="J1268" i="9"/>
  <c r="F1268" i="9" s="1"/>
  <c r="J1269" i="9"/>
  <c r="F1269" i="9" s="1"/>
  <c r="J1270" i="9"/>
  <c r="F1270" i="9" s="1"/>
  <c r="J1271" i="9"/>
  <c r="F1271" i="9" s="1"/>
  <c r="J1272" i="9"/>
  <c r="F1272" i="9" s="1"/>
  <c r="J1273" i="9"/>
  <c r="F1273" i="9" s="1"/>
  <c r="J1274" i="9"/>
  <c r="F1274" i="9" s="1"/>
  <c r="J1275" i="9"/>
  <c r="F1275" i="9" s="1"/>
  <c r="J1276" i="9"/>
  <c r="F1276" i="9" s="1"/>
  <c r="J1277" i="9"/>
  <c r="F1277" i="9" s="1"/>
  <c r="J1278" i="9"/>
  <c r="F1278" i="9" s="1"/>
  <c r="J1279" i="9"/>
  <c r="F1279" i="9" s="1"/>
  <c r="J1280" i="9"/>
  <c r="F1280" i="9" s="1"/>
  <c r="J1281" i="9"/>
  <c r="F1281" i="9" s="1"/>
  <c r="J1282" i="9"/>
  <c r="F1282" i="9" s="1"/>
  <c r="J1283" i="9"/>
  <c r="F1283" i="9" s="1"/>
  <c r="J1284" i="9"/>
  <c r="F1284" i="9" s="1"/>
  <c r="J1285" i="9"/>
  <c r="F1285" i="9" s="1"/>
  <c r="J1286" i="9"/>
  <c r="F1286" i="9" s="1"/>
  <c r="J1287" i="9"/>
  <c r="F1287" i="9" s="1"/>
  <c r="J1288" i="9"/>
  <c r="F1288" i="9" s="1"/>
  <c r="J1289" i="9"/>
  <c r="F1289" i="9" s="1"/>
  <c r="J1290" i="9"/>
  <c r="F1290" i="9" s="1"/>
  <c r="J1291" i="9"/>
  <c r="F1291" i="9" s="1"/>
  <c r="J1292" i="9"/>
  <c r="F1292" i="9" s="1"/>
  <c r="J1293" i="9"/>
  <c r="F1293" i="9" s="1"/>
  <c r="J1294" i="9"/>
  <c r="F1294" i="9" s="1"/>
  <c r="J1295" i="9"/>
  <c r="F1295" i="9" s="1"/>
  <c r="J1296" i="9"/>
  <c r="F1296" i="9" s="1"/>
  <c r="J1297" i="9"/>
  <c r="F1297" i="9" s="1"/>
  <c r="J1298" i="9"/>
  <c r="F1298" i="9" s="1"/>
  <c r="J1299" i="9"/>
  <c r="F1299" i="9" s="1"/>
  <c r="J1300" i="9"/>
  <c r="F1300" i="9" s="1"/>
  <c r="J1301" i="9"/>
  <c r="F1301" i="9" s="1"/>
  <c r="J1302" i="9"/>
  <c r="F1302" i="9" s="1"/>
  <c r="J1303" i="9"/>
  <c r="F1303" i="9" s="1"/>
  <c r="J1304" i="9"/>
  <c r="F1304" i="9" s="1"/>
  <c r="J1305" i="9"/>
  <c r="F1305" i="9" s="1"/>
  <c r="J1306" i="9"/>
  <c r="F1306" i="9" s="1"/>
  <c r="J1307" i="9"/>
  <c r="F1307" i="9" s="1"/>
  <c r="J1308" i="9"/>
  <c r="F1308" i="9" s="1"/>
  <c r="J1309" i="9"/>
  <c r="F1309" i="9" s="1"/>
  <c r="J1310" i="9"/>
  <c r="F1310" i="9" s="1"/>
  <c r="J1311" i="9"/>
  <c r="F1311" i="9" s="1"/>
  <c r="J1312" i="9"/>
  <c r="F1312" i="9" s="1"/>
  <c r="J1313" i="9"/>
  <c r="F1313" i="9" s="1"/>
  <c r="J1314" i="9"/>
  <c r="F1314" i="9" s="1"/>
  <c r="J1315" i="9"/>
  <c r="F1315" i="9" s="1"/>
  <c r="J1316" i="9"/>
  <c r="F1316" i="9" s="1"/>
  <c r="J1317" i="9"/>
  <c r="F1317" i="9" s="1"/>
  <c r="J1318" i="9"/>
  <c r="F1318" i="9" s="1"/>
  <c r="J1319" i="9"/>
  <c r="F1319" i="9" s="1"/>
  <c r="J1320" i="9"/>
  <c r="F1320" i="9" s="1"/>
  <c r="J1321" i="9"/>
  <c r="F1321" i="9" s="1"/>
  <c r="J1322" i="9"/>
  <c r="F1322" i="9" s="1"/>
  <c r="J1323" i="9"/>
  <c r="F1323" i="9" s="1"/>
  <c r="J1324" i="9"/>
  <c r="F1324" i="9" s="1"/>
  <c r="J1325" i="9"/>
  <c r="F1325" i="9" s="1"/>
  <c r="J1326" i="9"/>
  <c r="F1326" i="9" s="1"/>
  <c r="J1327" i="9"/>
  <c r="F1327" i="9" s="1"/>
  <c r="J1328" i="9"/>
  <c r="F1328" i="9" s="1"/>
  <c r="J1329" i="9"/>
  <c r="F1329" i="9" s="1"/>
  <c r="J1330" i="9"/>
  <c r="F1330" i="9" s="1"/>
  <c r="J1331" i="9"/>
  <c r="F1331" i="9" s="1"/>
  <c r="J1332" i="9"/>
  <c r="F1332" i="9" s="1"/>
  <c r="J1333" i="9"/>
  <c r="F1333" i="9" s="1"/>
  <c r="J1334" i="9"/>
  <c r="F1334" i="9" s="1"/>
  <c r="J1335" i="9"/>
  <c r="F1335" i="9" s="1"/>
  <c r="J1336" i="9"/>
  <c r="F1336" i="9" s="1"/>
  <c r="J1337" i="9"/>
  <c r="F1337" i="9" s="1"/>
  <c r="J1338" i="9"/>
  <c r="F1338" i="9" s="1"/>
  <c r="J1339" i="9"/>
  <c r="F1339" i="9" s="1"/>
  <c r="J1340" i="9"/>
  <c r="F1340" i="9" s="1"/>
  <c r="J1341" i="9"/>
  <c r="F1341" i="9" s="1"/>
  <c r="J1342" i="9"/>
  <c r="F1342" i="9" s="1"/>
  <c r="J1343" i="9"/>
  <c r="F1343" i="9" s="1"/>
  <c r="J1344" i="9"/>
  <c r="F1344" i="9" s="1"/>
  <c r="J1345" i="9"/>
  <c r="F1345" i="9" s="1"/>
  <c r="J1346" i="9"/>
  <c r="F1346" i="9" s="1"/>
  <c r="J1347" i="9"/>
  <c r="F1347" i="9" s="1"/>
  <c r="J1348" i="9"/>
  <c r="F1348" i="9" s="1"/>
  <c r="J1349" i="9"/>
  <c r="F1349" i="9" s="1"/>
  <c r="J1350" i="9"/>
  <c r="F1350" i="9" s="1"/>
  <c r="J1351" i="9"/>
  <c r="F1351" i="9" s="1"/>
  <c r="J1352" i="9"/>
  <c r="F1352" i="9" s="1"/>
  <c r="J1353" i="9"/>
  <c r="F1353" i="9" s="1"/>
  <c r="J1354" i="9"/>
  <c r="F1354" i="9" s="1"/>
  <c r="J1355" i="9"/>
  <c r="F1355" i="9" s="1"/>
  <c r="J1356" i="9"/>
  <c r="F1356" i="9" s="1"/>
  <c r="J1357" i="9"/>
  <c r="F1357" i="9" s="1"/>
  <c r="J1358" i="9"/>
  <c r="F1358" i="9" s="1"/>
  <c r="J1359" i="9"/>
  <c r="F1359" i="9" s="1"/>
  <c r="J1360" i="9"/>
  <c r="F1360" i="9" s="1"/>
  <c r="J1361" i="9"/>
  <c r="F1361" i="9" s="1"/>
  <c r="J1362" i="9"/>
  <c r="F1362" i="9" s="1"/>
  <c r="J1363" i="9"/>
  <c r="F1363" i="9" s="1"/>
  <c r="J1364" i="9"/>
  <c r="F1364" i="9" s="1"/>
  <c r="J1365" i="9"/>
  <c r="F1365" i="9" s="1"/>
  <c r="J1366" i="9"/>
  <c r="F1366" i="9" s="1"/>
  <c r="J1367" i="9"/>
  <c r="F1367" i="9" s="1"/>
  <c r="J1368" i="9"/>
  <c r="F1368" i="9" s="1"/>
  <c r="J1369" i="9"/>
  <c r="F1369" i="9" s="1"/>
  <c r="J1370" i="9"/>
  <c r="F1370" i="9" s="1"/>
  <c r="J1371" i="9"/>
  <c r="F1371" i="9" s="1"/>
  <c r="J1372" i="9"/>
  <c r="F1372" i="9" s="1"/>
  <c r="J1373" i="9"/>
  <c r="F1373" i="9" s="1"/>
  <c r="J1374" i="9"/>
  <c r="F1374" i="9" s="1"/>
  <c r="J1375" i="9"/>
  <c r="F1375" i="9" s="1"/>
  <c r="J1376" i="9"/>
  <c r="F1376" i="9" s="1"/>
  <c r="J1377" i="9"/>
  <c r="F1377" i="9" s="1"/>
  <c r="J1378" i="9"/>
  <c r="F1378" i="9" s="1"/>
  <c r="J1379" i="9"/>
  <c r="F1379" i="9" s="1"/>
  <c r="J1380" i="9"/>
  <c r="F1380" i="9" s="1"/>
  <c r="J1381" i="9"/>
  <c r="F1381" i="9" s="1"/>
  <c r="J1382" i="9"/>
  <c r="F1382" i="9" s="1"/>
  <c r="J1383" i="9"/>
  <c r="F1383" i="9" s="1"/>
  <c r="J1384" i="9"/>
  <c r="F1384" i="9" s="1"/>
  <c r="J1385" i="9"/>
  <c r="F1385" i="9" s="1"/>
  <c r="J1386" i="9"/>
  <c r="F1386" i="9" s="1"/>
  <c r="J1387" i="9"/>
  <c r="F1387" i="9" s="1"/>
  <c r="J1388" i="9"/>
  <c r="F1388" i="9" s="1"/>
  <c r="J1389" i="9"/>
  <c r="F1389" i="9" s="1"/>
  <c r="J1390" i="9"/>
  <c r="F1390" i="9" s="1"/>
  <c r="J1391" i="9"/>
  <c r="F1391" i="9" s="1"/>
  <c r="J1392" i="9"/>
  <c r="F1392" i="9" s="1"/>
  <c r="J1393" i="9"/>
  <c r="F1393" i="9" s="1"/>
  <c r="J1394" i="9"/>
  <c r="F1394" i="9" s="1"/>
  <c r="J1395" i="9"/>
  <c r="F1395" i="9" s="1"/>
  <c r="J1396" i="9"/>
  <c r="F1396" i="9" s="1"/>
  <c r="J1397" i="9"/>
  <c r="F1397" i="9" s="1"/>
  <c r="J1398" i="9"/>
  <c r="F1398" i="9" s="1"/>
  <c r="J1399" i="9"/>
  <c r="F1399" i="9" s="1"/>
  <c r="J1400" i="9"/>
  <c r="F1400" i="9" s="1"/>
  <c r="J1401" i="9"/>
  <c r="F1401" i="9" s="1"/>
  <c r="J1402" i="9"/>
  <c r="F1402" i="9" s="1"/>
  <c r="J1403" i="9"/>
  <c r="F1403" i="9" s="1"/>
  <c r="J1404" i="9"/>
  <c r="F1404" i="9" s="1"/>
  <c r="J1405" i="9"/>
  <c r="F1405" i="9" s="1"/>
  <c r="J1406" i="9"/>
  <c r="F1406" i="9" s="1"/>
  <c r="J1407" i="9"/>
  <c r="F1407" i="9" s="1"/>
  <c r="J1408" i="9"/>
  <c r="F1408" i="9" s="1"/>
  <c r="J1409" i="9"/>
  <c r="F1409" i="9" s="1"/>
  <c r="J1410" i="9"/>
  <c r="F1410" i="9" s="1"/>
  <c r="J1411" i="9"/>
  <c r="F1411" i="9" s="1"/>
  <c r="J1412" i="9"/>
  <c r="F1412" i="9" s="1"/>
  <c r="J1413" i="9"/>
  <c r="F1413" i="9" s="1"/>
  <c r="J1414" i="9"/>
  <c r="F1414" i="9" s="1"/>
  <c r="J1415" i="9"/>
  <c r="F1415" i="9" s="1"/>
  <c r="J1416" i="9"/>
  <c r="F1416" i="9" s="1"/>
  <c r="J1417" i="9"/>
  <c r="F1417" i="9" s="1"/>
  <c r="J1418" i="9"/>
  <c r="F1418" i="9" s="1"/>
  <c r="J1419" i="9"/>
  <c r="F1419" i="9" s="1"/>
  <c r="J1420" i="9"/>
  <c r="F1420" i="9" s="1"/>
  <c r="J1421" i="9"/>
  <c r="F1421" i="9" s="1"/>
  <c r="J1422" i="9"/>
  <c r="F1422" i="9" s="1"/>
  <c r="J1423" i="9"/>
  <c r="F1423" i="9" s="1"/>
  <c r="J1424" i="9"/>
  <c r="F1424" i="9" s="1"/>
  <c r="J1425" i="9"/>
  <c r="F1425" i="9" s="1"/>
  <c r="J1426" i="9"/>
  <c r="F1426" i="9" s="1"/>
  <c r="J1427" i="9"/>
  <c r="F1427" i="9" s="1"/>
  <c r="J1428" i="9"/>
  <c r="F1428" i="9" s="1"/>
  <c r="J1429" i="9"/>
  <c r="F1429" i="9" s="1"/>
  <c r="J1430" i="9"/>
  <c r="F1430" i="9" s="1"/>
  <c r="J1431" i="9"/>
  <c r="F1431" i="9" s="1"/>
  <c r="J1432" i="9"/>
  <c r="F1432" i="9" s="1"/>
  <c r="J1433" i="9"/>
  <c r="F1433" i="9" s="1"/>
  <c r="J1434" i="9"/>
  <c r="F1434" i="9" s="1"/>
  <c r="J1435" i="9"/>
  <c r="F1435" i="9" s="1"/>
  <c r="J1436" i="9"/>
  <c r="F1436" i="9" s="1"/>
  <c r="J1437" i="9"/>
  <c r="F1437" i="9" s="1"/>
  <c r="J1438" i="9"/>
  <c r="F1438" i="9" s="1"/>
  <c r="J1439" i="9"/>
  <c r="F1439" i="9" s="1"/>
  <c r="J1440" i="9"/>
  <c r="F1440" i="9" s="1"/>
  <c r="J1441" i="9"/>
  <c r="F1441" i="9" s="1"/>
  <c r="J1442" i="9"/>
  <c r="F1442" i="9" s="1"/>
  <c r="J1443" i="9"/>
  <c r="F1443" i="9" s="1"/>
  <c r="J1444" i="9"/>
  <c r="F1444" i="9" s="1"/>
  <c r="J1445" i="9"/>
  <c r="F1445" i="9" s="1"/>
  <c r="J1446" i="9"/>
  <c r="F1446" i="9" s="1"/>
  <c r="J1447" i="9"/>
  <c r="F1447" i="9" s="1"/>
  <c r="J1448" i="9"/>
  <c r="F1448" i="9" s="1"/>
  <c r="J1449" i="9"/>
  <c r="F1449" i="9" s="1"/>
  <c r="J1450" i="9"/>
  <c r="F1450" i="9" s="1"/>
  <c r="J1451" i="9"/>
  <c r="F1451" i="9" s="1"/>
  <c r="J1452" i="9"/>
  <c r="F1452" i="9" s="1"/>
  <c r="J1453" i="9"/>
  <c r="F1453" i="9" s="1"/>
  <c r="J1454" i="9"/>
  <c r="F1454" i="9" s="1"/>
  <c r="J1455" i="9"/>
  <c r="F1455" i="9" s="1"/>
  <c r="J1456" i="9"/>
  <c r="F1456" i="9" s="1"/>
  <c r="J1457" i="9"/>
  <c r="F1457" i="9" s="1"/>
  <c r="J1458" i="9"/>
  <c r="F1458" i="9" s="1"/>
  <c r="J1459" i="9"/>
  <c r="F1459" i="9" s="1"/>
  <c r="J1460" i="9"/>
  <c r="F1460" i="9" s="1"/>
  <c r="J1461" i="9"/>
  <c r="F1461" i="9" s="1"/>
  <c r="J1462" i="9"/>
  <c r="F1462" i="9" s="1"/>
  <c r="J1463" i="9"/>
  <c r="F1463" i="9" s="1"/>
  <c r="J1464" i="9"/>
  <c r="F1464" i="9" s="1"/>
  <c r="J1465" i="9"/>
  <c r="F1465" i="9" s="1"/>
  <c r="J1466" i="9"/>
  <c r="F1466" i="9" s="1"/>
  <c r="J1467" i="9"/>
  <c r="F1467" i="9" s="1"/>
  <c r="J1468" i="9"/>
  <c r="F1468" i="9" s="1"/>
  <c r="J1469" i="9"/>
  <c r="F1469" i="9" s="1"/>
  <c r="J1470" i="9"/>
  <c r="F1470" i="9" s="1"/>
  <c r="J1471" i="9"/>
  <c r="F1471" i="9" s="1"/>
  <c r="J1472" i="9"/>
  <c r="F1472" i="9" s="1"/>
  <c r="J1473" i="9"/>
  <c r="F1473" i="9" s="1"/>
  <c r="J1474" i="9"/>
  <c r="F1474" i="9" s="1"/>
  <c r="J1475" i="9"/>
  <c r="F1475" i="9" s="1"/>
  <c r="J1476" i="9"/>
  <c r="F1476" i="9" s="1"/>
  <c r="J1477" i="9"/>
  <c r="F1477" i="9" s="1"/>
  <c r="J1478" i="9"/>
  <c r="F1478" i="9" s="1"/>
  <c r="J1479" i="9"/>
  <c r="F1479" i="9" s="1"/>
  <c r="J1480" i="9"/>
  <c r="F1480" i="9" s="1"/>
  <c r="J1481" i="9"/>
  <c r="F1481" i="9" s="1"/>
  <c r="J1482" i="9"/>
  <c r="F1482" i="9" s="1"/>
  <c r="J1483" i="9"/>
  <c r="F1483" i="9" s="1"/>
  <c r="J1484" i="9"/>
  <c r="F1484" i="9" s="1"/>
  <c r="J1485" i="9"/>
  <c r="F1485" i="9" s="1"/>
  <c r="J1486" i="9"/>
  <c r="F1486" i="9" s="1"/>
  <c r="J1487" i="9"/>
  <c r="F1487" i="9" s="1"/>
  <c r="J1488" i="9"/>
  <c r="F1488" i="9" s="1"/>
  <c r="J1489" i="9"/>
  <c r="F1489" i="9" s="1"/>
  <c r="J1490" i="9"/>
  <c r="F1490" i="9" s="1"/>
  <c r="J1491" i="9"/>
  <c r="F1491" i="9" s="1"/>
  <c r="J1492" i="9"/>
  <c r="F1492" i="9" s="1"/>
  <c r="J1493" i="9"/>
  <c r="F1493" i="9" s="1"/>
  <c r="J1494" i="9"/>
  <c r="F1494" i="9" s="1"/>
  <c r="J1495" i="9"/>
  <c r="F1495" i="9" s="1"/>
  <c r="J1496" i="9"/>
  <c r="F1496" i="9" s="1"/>
  <c r="J1497" i="9"/>
  <c r="F1497" i="9" s="1"/>
  <c r="J1498" i="9"/>
  <c r="F1498" i="9" s="1"/>
  <c r="J1499" i="9"/>
  <c r="F1499" i="9" s="1"/>
  <c r="J1500" i="9"/>
  <c r="F1500" i="9" s="1"/>
  <c r="J1501" i="9"/>
  <c r="F1501" i="9" s="1"/>
  <c r="J1502" i="9"/>
  <c r="F1502" i="9" s="1"/>
  <c r="J1503" i="9"/>
  <c r="F1503" i="9" s="1"/>
  <c r="J1504" i="9"/>
  <c r="F1504" i="9" s="1"/>
  <c r="J1505" i="9"/>
  <c r="F1505" i="9" s="1"/>
  <c r="J1506" i="9"/>
  <c r="F1506" i="9" s="1"/>
  <c r="J1507" i="9"/>
  <c r="F1507" i="9" s="1"/>
  <c r="J1508" i="9"/>
  <c r="F1508" i="9" s="1"/>
  <c r="J1509" i="9"/>
  <c r="F1509" i="9" s="1"/>
  <c r="J1510" i="9"/>
  <c r="F1510" i="9" s="1"/>
  <c r="J1511" i="9"/>
  <c r="F1511" i="9" s="1"/>
  <c r="J1512" i="9"/>
  <c r="F1512" i="9" s="1"/>
  <c r="J1513" i="9"/>
  <c r="F1513" i="9" s="1"/>
  <c r="J1514" i="9"/>
  <c r="F1514" i="9" s="1"/>
  <c r="J1515" i="9"/>
  <c r="F1515" i="9" s="1"/>
  <c r="J1516" i="9"/>
  <c r="F1516" i="9" s="1"/>
  <c r="J1517" i="9"/>
  <c r="F1517" i="9" s="1"/>
  <c r="J1518" i="9"/>
  <c r="F1518" i="9" s="1"/>
  <c r="J1519" i="9"/>
  <c r="F1519" i="9" s="1"/>
  <c r="J1520" i="9"/>
  <c r="F1520" i="9" s="1"/>
  <c r="J1521" i="9"/>
  <c r="F1521" i="9" s="1"/>
  <c r="J1522" i="9"/>
  <c r="F1522" i="9" s="1"/>
  <c r="J1523" i="9"/>
  <c r="F1523" i="9" s="1"/>
  <c r="J1524" i="9"/>
  <c r="F1524" i="9" s="1"/>
  <c r="J1525" i="9"/>
  <c r="F1525" i="9" s="1"/>
  <c r="J1526" i="9"/>
  <c r="F1526" i="9" s="1"/>
  <c r="J1527" i="9"/>
  <c r="F1527" i="9" s="1"/>
  <c r="J1528" i="9"/>
  <c r="F1528" i="9" s="1"/>
  <c r="J1529" i="9"/>
  <c r="F1529" i="9" s="1"/>
  <c r="J1530" i="9"/>
  <c r="F1530" i="9" s="1"/>
  <c r="J1531" i="9"/>
  <c r="F1531" i="9" s="1"/>
  <c r="J1532" i="9"/>
  <c r="F1532" i="9" s="1"/>
  <c r="J1533" i="9"/>
  <c r="F1533" i="9" s="1"/>
  <c r="J1534" i="9"/>
  <c r="F1534" i="9" s="1"/>
  <c r="J1535" i="9"/>
  <c r="F1535" i="9" s="1"/>
  <c r="J1536" i="9"/>
  <c r="F1536" i="9" s="1"/>
  <c r="J1537" i="9"/>
  <c r="F1537" i="9" s="1"/>
  <c r="J1538" i="9"/>
  <c r="F1538" i="9" s="1"/>
  <c r="J1539" i="9"/>
  <c r="F1539" i="9" s="1"/>
  <c r="J1540" i="9"/>
  <c r="F1540" i="9" s="1"/>
  <c r="J1541" i="9"/>
  <c r="F1541" i="9" s="1"/>
  <c r="J1542" i="9"/>
  <c r="F1542" i="9" s="1"/>
  <c r="J1543" i="9"/>
  <c r="F1543" i="9" s="1"/>
  <c r="J1544" i="9"/>
  <c r="F1544" i="9" s="1"/>
  <c r="J1545" i="9"/>
  <c r="F1545" i="9" s="1"/>
  <c r="J1546" i="9"/>
  <c r="F1546" i="9" s="1"/>
  <c r="J1547" i="9"/>
  <c r="F1547" i="9" s="1"/>
  <c r="J1548" i="9"/>
  <c r="F1548" i="9" s="1"/>
  <c r="J1549" i="9"/>
  <c r="F1549" i="9" s="1"/>
  <c r="J1550" i="9"/>
  <c r="F1550" i="9" s="1"/>
  <c r="J1551" i="9"/>
  <c r="F1551" i="9" s="1"/>
  <c r="J1552" i="9"/>
  <c r="F1552" i="9" s="1"/>
  <c r="J1553" i="9"/>
  <c r="F1553" i="9" s="1"/>
  <c r="J1554" i="9"/>
  <c r="F1554" i="9" s="1"/>
  <c r="J1555" i="9"/>
  <c r="F1555" i="9" s="1"/>
  <c r="J1556" i="9"/>
  <c r="F1556" i="9" s="1"/>
  <c r="J1557" i="9"/>
  <c r="F1557" i="9" s="1"/>
  <c r="J1558" i="9"/>
  <c r="F1558" i="9" s="1"/>
  <c r="J1559" i="9"/>
  <c r="F1559" i="9" s="1"/>
  <c r="J1560" i="9"/>
  <c r="F1560" i="9" s="1"/>
  <c r="J1561" i="9"/>
  <c r="F1561" i="9" s="1"/>
  <c r="J1562" i="9"/>
  <c r="F1562" i="9" s="1"/>
  <c r="J1563" i="9"/>
  <c r="F1563" i="9" s="1"/>
  <c r="J1564" i="9"/>
  <c r="F1564" i="9" s="1"/>
  <c r="J1565" i="9"/>
  <c r="F1565" i="9" s="1"/>
  <c r="J1566" i="9"/>
  <c r="F1566" i="9" s="1"/>
  <c r="J1567" i="9"/>
  <c r="F1567" i="9" s="1"/>
  <c r="J1568" i="9"/>
  <c r="F1568" i="9" s="1"/>
  <c r="J1569" i="9"/>
  <c r="F1569" i="9" s="1"/>
  <c r="J1570" i="9"/>
  <c r="F1570" i="9" s="1"/>
  <c r="J1571" i="9"/>
  <c r="F1571" i="9" s="1"/>
  <c r="J1572" i="9"/>
  <c r="F1572" i="9" s="1"/>
  <c r="J1573" i="9"/>
  <c r="F1573" i="9" s="1"/>
  <c r="J1574" i="9"/>
  <c r="F1574" i="9" s="1"/>
  <c r="J1575" i="9"/>
  <c r="F1575" i="9" s="1"/>
  <c r="J1576" i="9"/>
  <c r="F1576" i="9" s="1"/>
  <c r="J1577" i="9"/>
  <c r="F1577" i="9" s="1"/>
  <c r="J1578" i="9"/>
  <c r="F1578" i="9" s="1"/>
  <c r="J1579" i="9"/>
  <c r="F1579" i="9" s="1"/>
  <c r="J1580" i="9"/>
  <c r="F1580" i="9" s="1"/>
  <c r="J1581" i="9"/>
  <c r="F1581" i="9" s="1"/>
  <c r="J1582" i="9"/>
  <c r="F1582" i="9" s="1"/>
  <c r="J1583" i="9"/>
  <c r="F1583" i="9" s="1"/>
  <c r="J1584" i="9"/>
  <c r="F1584" i="9" s="1"/>
  <c r="J1585" i="9"/>
  <c r="F1585" i="9" s="1"/>
  <c r="J1586" i="9"/>
  <c r="F1586" i="9" s="1"/>
  <c r="J1587" i="9"/>
  <c r="F1587" i="9" s="1"/>
  <c r="J1588" i="9"/>
  <c r="F1588" i="9" s="1"/>
  <c r="J1589" i="9"/>
  <c r="F1589" i="9" s="1"/>
  <c r="J1590" i="9"/>
  <c r="F1590" i="9" s="1"/>
  <c r="J1591" i="9"/>
  <c r="F1591" i="9" s="1"/>
  <c r="J1592" i="9"/>
  <c r="F1592" i="9" s="1"/>
  <c r="J1593" i="9"/>
  <c r="F1593" i="9" s="1"/>
  <c r="J1594" i="9"/>
  <c r="F1594" i="9" s="1"/>
  <c r="J1595" i="9"/>
  <c r="F1595" i="9" s="1"/>
  <c r="J1596" i="9"/>
  <c r="F1596" i="9" s="1"/>
  <c r="J1597" i="9"/>
  <c r="F1597" i="9" s="1"/>
  <c r="J1598" i="9"/>
  <c r="F1598" i="9" s="1"/>
  <c r="J1599" i="9"/>
  <c r="F1599" i="9" s="1"/>
  <c r="J1600" i="9"/>
  <c r="F1600" i="9" s="1"/>
  <c r="J1601" i="9"/>
  <c r="F1601" i="9" s="1"/>
  <c r="J1602" i="9"/>
  <c r="F1602" i="9" s="1"/>
  <c r="J1603" i="9"/>
  <c r="F1603" i="9" s="1"/>
  <c r="J1604" i="9"/>
  <c r="F1604" i="9" s="1"/>
  <c r="J1605" i="9"/>
  <c r="F1605" i="9" s="1"/>
  <c r="J1606" i="9"/>
  <c r="F1606" i="9" s="1"/>
  <c r="J1607" i="9"/>
  <c r="F1607" i="9" s="1"/>
  <c r="J1608" i="9"/>
  <c r="F1608" i="9" s="1"/>
  <c r="J1609" i="9"/>
  <c r="F1609" i="9" s="1"/>
  <c r="J1610" i="9"/>
  <c r="F1610" i="9" s="1"/>
  <c r="J1611" i="9"/>
  <c r="F1611" i="9" s="1"/>
  <c r="J1612" i="9"/>
  <c r="F1612" i="9" s="1"/>
  <c r="J1613" i="9"/>
  <c r="F1613" i="9" s="1"/>
  <c r="J1614" i="9"/>
  <c r="F1614" i="9" s="1"/>
  <c r="J1615" i="9"/>
  <c r="F1615" i="9" s="1"/>
  <c r="J1616" i="9"/>
  <c r="F1616" i="9" s="1"/>
  <c r="J1617" i="9"/>
  <c r="F1617" i="9" s="1"/>
  <c r="J1618" i="9"/>
  <c r="F1618" i="9" s="1"/>
  <c r="J1619" i="9"/>
  <c r="F1619" i="9" s="1"/>
  <c r="J1620" i="9"/>
  <c r="F1620" i="9" s="1"/>
  <c r="J1621" i="9"/>
  <c r="F1621" i="9" s="1"/>
  <c r="J1622" i="9"/>
  <c r="F1622" i="9" s="1"/>
  <c r="J1623" i="9"/>
  <c r="F1623" i="9" s="1"/>
  <c r="J1624" i="9"/>
  <c r="F1624" i="9" s="1"/>
  <c r="J1625" i="9"/>
  <c r="F1625" i="9" s="1"/>
  <c r="J1626" i="9"/>
  <c r="F1626" i="9" s="1"/>
  <c r="J1627" i="9"/>
  <c r="F1627" i="9" s="1"/>
  <c r="J1628" i="9"/>
  <c r="F1628" i="9" s="1"/>
  <c r="J1629" i="9"/>
  <c r="F1629" i="9" s="1"/>
  <c r="J1630" i="9"/>
  <c r="F1630" i="9" s="1"/>
  <c r="J1631" i="9"/>
  <c r="F1631" i="9" s="1"/>
  <c r="J1632" i="9"/>
  <c r="F1632" i="9" s="1"/>
  <c r="J1633" i="9"/>
  <c r="F1633" i="9" s="1"/>
  <c r="J1634" i="9"/>
  <c r="F1634" i="9" s="1"/>
  <c r="J1635" i="9"/>
  <c r="F1635" i="9" s="1"/>
  <c r="J1636" i="9"/>
  <c r="F1636" i="9" s="1"/>
  <c r="J1637" i="9"/>
  <c r="F1637" i="9" s="1"/>
  <c r="J1638" i="9"/>
  <c r="F1638" i="9" s="1"/>
  <c r="J1639" i="9"/>
  <c r="F1639" i="9" s="1"/>
  <c r="J1640" i="9"/>
  <c r="F1640" i="9" s="1"/>
  <c r="J1641" i="9"/>
  <c r="F1641" i="9" s="1"/>
  <c r="J1642" i="9"/>
  <c r="F1642" i="9" s="1"/>
  <c r="J1643" i="9"/>
  <c r="F1643" i="9" s="1"/>
  <c r="J1644" i="9"/>
  <c r="F1644" i="9" s="1"/>
  <c r="J1645" i="9"/>
  <c r="F1645" i="9" s="1"/>
  <c r="J1646" i="9"/>
  <c r="F1646" i="9" s="1"/>
  <c r="J1647" i="9"/>
  <c r="F1647" i="9" s="1"/>
  <c r="J1648" i="9"/>
  <c r="F1648" i="9" s="1"/>
  <c r="J1649" i="9"/>
  <c r="F1649" i="9" s="1"/>
  <c r="J1650" i="9"/>
  <c r="F1650" i="9" s="1"/>
  <c r="J1651" i="9"/>
  <c r="F1651" i="9" s="1"/>
  <c r="J1652" i="9"/>
  <c r="F1652" i="9" s="1"/>
  <c r="J1653" i="9"/>
  <c r="F1653" i="9" s="1"/>
  <c r="J1654" i="9"/>
  <c r="F1654" i="9" s="1"/>
  <c r="J1655" i="9"/>
  <c r="F1655" i="9" s="1"/>
  <c r="J1656" i="9"/>
  <c r="F1656" i="9" s="1"/>
  <c r="J1657" i="9"/>
  <c r="F1657" i="9" s="1"/>
  <c r="J1658" i="9"/>
  <c r="F1658" i="9" s="1"/>
  <c r="J1659" i="9"/>
  <c r="F1659" i="9" s="1"/>
  <c r="J1660" i="9"/>
  <c r="F1660" i="9" s="1"/>
  <c r="J1661" i="9"/>
  <c r="F1661" i="9" s="1"/>
  <c r="J1662" i="9"/>
  <c r="F1662" i="9" s="1"/>
  <c r="J1663" i="9"/>
  <c r="F1663" i="9" s="1"/>
  <c r="J1664" i="9"/>
  <c r="F1664" i="9" s="1"/>
  <c r="J1665" i="9"/>
  <c r="F1665" i="9" s="1"/>
  <c r="J1666" i="9"/>
  <c r="F1666" i="9" s="1"/>
  <c r="J1667" i="9"/>
  <c r="F1667" i="9" s="1"/>
  <c r="J1668" i="9"/>
  <c r="F1668" i="9" s="1"/>
  <c r="J1669" i="9"/>
  <c r="F1669" i="9" s="1"/>
  <c r="J1670" i="9"/>
  <c r="F1670" i="9" s="1"/>
  <c r="J1671" i="9"/>
  <c r="F1671" i="9" s="1"/>
  <c r="J1672" i="9"/>
  <c r="F1672" i="9" s="1"/>
  <c r="J1673" i="9"/>
  <c r="F1673" i="9" s="1"/>
  <c r="J1674" i="9"/>
  <c r="F1674" i="9" s="1"/>
  <c r="J1675" i="9"/>
  <c r="F1675" i="9" s="1"/>
  <c r="J1676" i="9"/>
  <c r="F1676" i="9" s="1"/>
  <c r="J1677" i="9"/>
  <c r="F1677" i="9" s="1"/>
  <c r="J1678" i="9"/>
  <c r="F1678" i="9" s="1"/>
  <c r="J1679" i="9"/>
  <c r="F1679" i="9" s="1"/>
  <c r="J1680" i="9"/>
  <c r="F1680" i="9" s="1"/>
  <c r="J1681" i="9"/>
  <c r="F1681" i="9" s="1"/>
  <c r="J1682" i="9"/>
  <c r="F1682" i="9" s="1"/>
  <c r="J1683" i="9"/>
  <c r="F1683" i="9" s="1"/>
  <c r="J1684" i="9"/>
  <c r="F1684" i="9" s="1"/>
  <c r="J1685" i="9"/>
  <c r="F1685" i="9" s="1"/>
  <c r="J1686" i="9"/>
  <c r="F1686" i="9" s="1"/>
  <c r="J1687" i="9"/>
  <c r="F1687" i="9" s="1"/>
  <c r="J1688" i="9"/>
  <c r="F1688" i="9" s="1"/>
  <c r="J1689" i="9"/>
  <c r="F1689" i="9" s="1"/>
  <c r="J1690" i="9"/>
  <c r="F1690" i="9" s="1"/>
  <c r="J1691" i="9"/>
  <c r="F1691" i="9" s="1"/>
  <c r="J1692" i="9"/>
  <c r="F1692" i="9" s="1"/>
  <c r="J1693" i="9"/>
  <c r="F1693" i="9" s="1"/>
  <c r="J1694" i="9"/>
  <c r="F1694" i="9" s="1"/>
  <c r="J1695" i="9"/>
  <c r="F1695" i="9" s="1"/>
  <c r="J1696" i="9"/>
  <c r="F1696" i="9" s="1"/>
  <c r="J1697" i="9"/>
  <c r="F1697" i="9" s="1"/>
  <c r="J1698" i="9"/>
  <c r="F1698" i="9" s="1"/>
  <c r="J1699" i="9"/>
  <c r="F1699" i="9" s="1"/>
  <c r="J1700" i="9"/>
  <c r="F1700" i="9" s="1"/>
  <c r="J1701" i="9"/>
  <c r="F1701" i="9" s="1"/>
  <c r="J1702" i="9"/>
  <c r="F1702" i="9" s="1"/>
  <c r="J1703" i="9"/>
  <c r="F1703" i="9" s="1"/>
  <c r="J1704" i="9"/>
  <c r="F1704" i="9" s="1"/>
  <c r="J1705" i="9"/>
  <c r="F1705" i="9" s="1"/>
  <c r="J1706" i="9"/>
  <c r="F1706" i="9" s="1"/>
  <c r="J1707" i="9"/>
  <c r="F1707" i="9" s="1"/>
  <c r="J1708" i="9"/>
  <c r="F1708" i="9" s="1"/>
  <c r="J1709" i="9"/>
  <c r="F1709" i="9" s="1"/>
  <c r="J1710" i="9"/>
  <c r="F1710" i="9" s="1"/>
  <c r="J1711" i="9"/>
  <c r="F1711" i="9" s="1"/>
  <c r="J1712" i="9"/>
  <c r="F1712" i="9" s="1"/>
  <c r="J1713" i="9"/>
  <c r="F1713" i="9" s="1"/>
  <c r="J1714" i="9"/>
  <c r="F1714" i="9" s="1"/>
  <c r="J1715" i="9"/>
  <c r="F1715" i="9" s="1"/>
  <c r="J1716" i="9"/>
  <c r="F1716" i="9" s="1"/>
  <c r="J1717" i="9"/>
  <c r="F1717" i="9" s="1"/>
  <c r="J1718" i="9"/>
  <c r="F1718" i="9" s="1"/>
  <c r="J1719" i="9"/>
  <c r="F1719" i="9" s="1"/>
  <c r="J1720" i="9"/>
  <c r="F1720" i="9" s="1"/>
  <c r="J1721" i="9"/>
  <c r="F1721" i="9" s="1"/>
  <c r="J1722" i="9"/>
  <c r="F1722" i="9" s="1"/>
  <c r="J1723" i="9"/>
  <c r="F1723" i="9" s="1"/>
  <c r="J1724" i="9"/>
  <c r="F1724" i="9" s="1"/>
  <c r="J1725" i="9"/>
  <c r="F1725" i="9" s="1"/>
  <c r="J1726" i="9"/>
  <c r="F1726" i="9" s="1"/>
  <c r="J1727" i="9"/>
  <c r="F1727" i="9" s="1"/>
  <c r="J1728" i="9"/>
  <c r="F1728" i="9" s="1"/>
  <c r="J1729" i="9"/>
  <c r="F1729" i="9" s="1"/>
  <c r="J1730" i="9"/>
  <c r="F1730" i="9" s="1"/>
  <c r="J1731" i="9"/>
  <c r="F1731" i="9" s="1"/>
  <c r="J1732" i="9"/>
  <c r="F1732" i="9" s="1"/>
  <c r="J1733" i="9"/>
  <c r="F1733" i="9" s="1"/>
  <c r="J1734" i="9"/>
  <c r="F1734" i="9" s="1"/>
  <c r="J1735" i="9"/>
  <c r="F1735" i="9" s="1"/>
  <c r="J1736" i="9"/>
  <c r="F1736" i="9" s="1"/>
  <c r="J1737" i="9"/>
  <c r="F1737" i="9" s="1"/>
  <c r="J1738" i="9"/>
  <c r="F1738" i="9" s="1"/>
  <c r="J1739" i="9"/>
  <c r="F1739" i="9" s="1"/>
  <c r="J1740" i="9"/>
  <c r="F1740" i="9" s="1"/>
  <c r="J1741" i="9"/>
  <c r="F1741" i="9" s="1"/>
  <c r="J1742" i="9"/>
  <c r="F1742" i="9" s="1"/>
  <c r="J1743" i="9"/>
  <c r="F1743" i="9" s="1"/>
  <c r="J1744" i="9"/>
  <c r="F1744" i="9" s="1"/>
  <c r="J1745" i="9"/>
  <c r="F1745" i="9" s="1"/>
  <c r="J1746" i="9"/>
  <c r="F1746" i="9" s="1"/>
  <c r="J1747" i="9"/>
  <c r="F1747" i="9" s="1"/>
  <c r="J1748" i="9"/>
  <c r="F1748" i="9" s="1"/>
  <c r="J1749" i="9"/>
  <c r="F1749" i="9" s="1"/>
  <c r="J1750" i="9"/>
  <c r="F1750" i="9" s="1"/>
  <c r="J1751" i="9"/>
  <c r="F1751" i="9" s="1"/>
  <c r="J1752" i="9"/>
  <c r="F1752" i="9" s="1"/>
  <c r="J1753" i="9"/>
  <c r="F1753" i="9" s="1"/>
  <c r="J1754" i="9"/>
  <c r="F1754" i="9" s="1"/>
  <c r="J1755" i="9"/>
  <c r="F1755" i="9" s="1"/>
  <c r="J1756" i="9"/>
  <c r="F1756" i="9" s="1"/>
  <c r="J1757" i="9"/>
  <c r="F1757" i="9" s="1"/>
  <c r="J1758" i="9"/>
  <c r="F1758" i="9" s="1"/>
  <c r="J1759" i="9"/>
  <c r="F1759" i="9" s="1"/>
  <c r="J1760" i="9"/>
  <c r="F1760" i="9" s="1"/>
  <c r="J1761" i="9"/>
  <c r="F1761" i="9" s="1"/>
  <c r="J1762" i="9"/>
  <c r="F1762" i="9" s="1"/>
  <c r="J1763" i="9"/>
  <c r="F1763" i="9" s="1"/>
  <c r="J1764" i="9"/>
  <c r="F1764" i="9" s="1"/>
  <c r="J1765" i="9"/>
  <c r="F1765" i="9" s="1"/>
  <c r="J1766" i="9"/>
  <c r="F1766" i="9" s="1"/>
  <c r="J1767" i="9"/>
  <c r="F1767" i="9" s="1"/>
  <c r="J1768" i="9"/>
  <c r="F1768" i="9" s="1"/>
  <c r="J1769" i="9"/>
  <c r="F1769" i="9" s="1"/>
  <c r="J1770" i="9"/>
  <c r="F1770" i="9" s="1"/>
  <c r="J1771" i="9"/>
  <c r="F1771" i="9" s="1"/>
  <c r="J1772" i="9"/>
  <c r="F1772" i="9" s="1"/>
  <c r="J1773" i="9"/>
  <c r="F1773" i="9" s="1"/>
  <c r="J1774" i="9"/>
  <c r="F1774" i="9" s="1"/>
  <c r="J1775" i="9"/>
  <c r="F1775" i="9" s="1"/>
  <c r="J1776" i="9"/>
  <c r="F1776" i="9" s="1"/>
  <c r="J1777" i="9"/>
  <c r="F1777" i="9" s="1"/>
  <c r="J1778" i="9"/>
  <c r="F1778" i="9" s="1"/>
  <c r="J1779" i="9"/>
  <c r="F1779" i="9" s="1"/>
  <c r="J1780" i="9"/>
  <c r="F1780" i="9" s="1"/>
  <c r="J1781" i="9"/>
  <c r="F1781" i="9" s="1"/>
  <c r="J1782" i="9"/>
  <c r="F1782" i="9" s="1"/>
  <c r="J1783" i="9"/>
  <c r="F1783" i="9" s="1"/>
  <c r="J1784" i="9"/>
  <c r="F1784" i="9" s="1"/>
  <c r="J1785" i="9"/>
  <c r="F1785" i="9" s="1"/>
  <c r="J1786" i="9"/>
  <c r="F1786" i="9" s="1"/>
  <c r="J1787" i="9"/>
  <c r="F1787" i="9" s="1"/>
  <c r="J1788" i="9"/>
  <c r="F1788" i="9" s="1"/>
  <c r="J1789" i="9"/>
  <c r="F1789" i="9" s="1"/>
  <c r="J1790" i="9"/>
  <c r="F1790" i="9" s="1"/>
  <c r="J1791" i="9"/>
  <c r="F1791" i="9" s="1"/>
  <c r="J1792" i="9"/>
  <c r="F1792" i="9" s="1"/>
  <c r="J1793" i="9"/>
  <c r="F1793" i="9" s="1"/>
  <c r="J1794" i="9"/>
  <c r="F1794" i="9" s="1"/>
  <c r="J1795" i="9"/>
  <c r="F1795" i="9" s="1"/>
  <c r="J1796" i="9"/>
  <c r="F1796" i="9" s="1"/>
  <c r="J1797" i="9"/>
  <c r="F1797" i="9" s="1"/>
  <c r="J1798" i="9"/>
  <c r="F1798" i="9" s="1"/>
  <c r="J1799" i="9"/>
  <c r="F1799" i="9" s="1"/>
  <c r="J1800" i="9"/>
  <c r="F1800" i="9" s="1"/>
  <c r="J1801" i="9"/>
  <c r="F1801" i="9" s="1"/>
  <c r="J1802" i="9"/>
  <c r="F1802" i="9" s="1"/>
  <c r="J1803" i="9"/>
  <c r="F1803" i="9" s="1"/>
  <c r="J1804" i="9"/>
  <c r="F1804" i="9" s="1"/>
  <c r="J1805" i="9"/>
  <c r="F1805" i="9" s="1"/>
  <c r="J1806" i="9"/>
  <c r="F1806" i="9" s="1"/>
  <c r="J1807" i="9"/>
  <c r="F1807" i="9" s="1"/>
  <c r="J1808" i="9"/>
  <c r="F1808" i="9" s="1"/>
  <c r="J1809" i="9"/>
  <c r="F1809" i="9" s="1"/>
  <c r="J1810" i="9"/>
  <c r="F1810" i="9" s="1"/>
  <c r="J1811" i="9"/>
  <c r="F1811" i="9" s="1"/>
  <c r="J1812" i="9"/>
  <c r="F1812" i="9" s="1"/>
  <c r="J1813" i="9"/>
  <c r="F1813" i="9" s="1"/>
  <c r="J1814" i="9"/>
  <c r="F1814" i="9" s="1"/>
  <c r="J1815" i="9"/>
  <c r="F1815" i="9" s="1"/>
  <c r="J1816" i="9"/>
  <c r="F1816" i="9" s="1"/>
  <c r="J1817" i="9"/>
  <c r="F1817" i="9" s="1"/>
  <c r="J1818" i="9"/>
  <c r="F1818" i="9" s="1"/>
  <c r="J1819" i="9"/>
  <c r="F1819" i="9" s="1"/>
  <c r="J1820" i="9"/>
  <c r="F1820" i="9" s="1"/>
  <c r="J1821" i="9"/>
  <c r="F1821" i="9" s="1"/>
  <c r="J1822" i="9"/>
  <c r="F1822" i="9" s="1"/>
  <c r="J1823" i="9"/>
  <c r="F1823" i="9" s="1"/>
  <c r="J1824" i="9"/>
  <c r="F1824" i="9" s="1"/>
  <c r="J1825" i="9"/>
  <c r="F1825" i="9" s="1"/>
  <c r="J1826" i="9"/>
  <c r="F1826" i="9" s="1"/>
  <c r="J1827" i="9"/>
  <c r="F1827" i="9" s="1"/>
  <c r="J1828" i="9"/>
  <c r="F1828" i="9" s="1"/>
  <c r="J1829" i="9"/>
  <c r="F1829" i="9" s="1"/>
  <c r="J1830" i="9"/>
  <c r="F1830" i="9" s="1"/>
  <c r="J1831" i="9"/>
  <c r="F1831" i="9" s="1"/>
  <c r="J1832" i="9"/>
  <c r="F1832" i="9" s="1"/>
  <c r="J1833" i="9"/>
  <c r="F1833" i="9" s="1"/>
  <c r="J1834" i="9"/>
  <c r="F1834" i="9" s="1"/>
  <c r="J1835" i="9"/>
  <c r="F1835" i="9" s="1"/>
  <c r="J1836" i="9"/>
  <c r="F1836" i="9" s="1"/>
  <c r="J1837" i="9"/>
  <c r="F1837" i="9" s="1"/>
  <c r="J1838" i="9"/>
  <c r="F1838" i="9" s="1"/>
  <c r="J1839" i="9"/>
  <c r="F1839" i="9" s="1"/>
  <c r="J1840" i="9"/>
  <c r="F1840" i="9" s="1"/>
  <c r="J1841" i="9"/>
  <c r="F1841" i="9" s="1"/>
  <c r="J1842" i="9"/>
  <c r="F1842" i="9" s="1"/>
  <c r="J1843" i="9"/>
  <c r="F1843" i="9" s="1"/>
  <c r="J1844" i="9"/>
  <c r="F1844" i="9" s="1"/>
  <c r="J1845" i="9"/>
  <c r="F1845" i="9" s="1"/>
  <c r="J1846" i="9"/>
  <c r="F1846" i="9" s="1"/>
  <c r="J1847" i="9"/>
  <c r="F1847" i="9" s="1"/>
  <c r="J1848" i="9"/>
  <c r="F1848" i="9" s="1"/>
  <c r="J1849" i="9"/>
  <c r="F1849" i="9" s="1"/>
  <c r="J1850" i="9"/>
  <c r="F1850" i="9" s="1"/>
  <c r="J1851" i="9"/>
  <c r="F1851" i="9" s="1"/>
  <c r="J1852" i="9"/>
  <c r="F1852" i="9" s="1"/>
  <c r="J1853" i="9"/>
  <c r="F1853" i="9" s="1"/>
  <c r="J1854" i="9"/>
  <c r="F1854" i="9" s="1"/>
  <c r="J1855" i="9"/>
  <c r="F1855" i="9" s="1"/>
  <c r="J1856" i="9"/>
  <c r="F1856" i="9" s="1"/>
  <c r="J1857" i="9"/>
  <c r="F1857" i="9" s="1"/>
  <c r="J1858" i="9"/>
  <c r="F1858" i="9" s="1"/>
  <c r="J1859" i="9"/>
  <c r="F1859" i="9" s="1"/>
  <c r="J1860" i="9"/>
  <c r="F1860" i="9" s="1"/>
  <c r="J1861" i="9"/>
  <c r="F1861" i="9" s="1"/>
  <c r="J1862" i="9"/>
  <c r="F1862" i="9" s="1"/>
  <c r="J1863" i="9"/>
  <c r="F1863" i="9" s="1"/>
  <c r="J1864" i="9"/>
  <c r="F1864" i="9" s="1"/>
  <c r="J1865" i="9"/>
  <c r="F1865" i="9" s="1"/>
  <c r="J1866" i="9"/>
  <c r="F1866" i="9" s="1"/>
  <c r="J1867" i="9"/>
  <c r="F1867" i="9" s="1"/>
  <c r="J1868" i="9"/>
  <c r="F1868" i="9" s="1"/>
  <c r="J1869" i="9"/>
  <c r="F1869" i="9" s="1"/>
  <c r="J1870" i="9"/>
  <c r="F1870" i="9" s="1"/>
  <c r="J1871" i="9"/>
  <c r="F1871" i="9" s="1"/>
  <c r="J1872" i="9"/>
  <c r="F1872" i="9" s="1"/>
  <c r="J1873" i="9"/>
  <c r="F1873" i="9" s="1"/>
  <c r="J1874" i="9"/>
  <c r="F1874" i="9" s="1"/>
  <c r="J1875" i="9"/>
  <c r="F1875" i="9" s="1"/>
  <c r="J1876" i="9"/>
  <c r="F1876" i="9" s="1"/>
  <c r="J1877" i="9"/>
  <c r="F1877" i="9" s="1"/>
  <c r="J1878" i="9"/>
  <c r="F1878" i="9" s="1"/>
  <c r="J1879" i="9"/>
  <c r="F1879" i="9" s="1"/>
  <c r="J1880" i="9"/>
  <c r="F1880" i="9" s="1"/>
  <c r="J1881" i="9"/>
  <c r="F1881" i="9" s="1"/>
  <c r="J1882" i="9"/>
  <c r="F1882" i="9" s="1"/>
  <c r="J1883" i="9"/>
  <c r="F1883" i="9" s="1"/>
  <c r="J1884" i="9"/>
  <c r="F1884" i="9" s="1"/>
  <c r="J1885" i="9"/>
  <c r="F1885" i="9" s="1"/>
  <c r="J1886" i="9"/>
  <c r="F1886" i="9" s="1"/>
  <c r="J1887" i="9"/>
  <c r="F1887" i="9" s="1"/>
  <c r="J1888" i="9"/>
  <c r="F1888" i="9" s="1"/>
  <c r="J1889" i="9"/>
  <c r="F1889" i="9" s="1"/>
  <c r="J1890" i="9"/>
  <c r="F1890" i="9" s="1"/>
  <c r="J1891" i="9"/>
  <c r="F1891" i="9" s="1"/>
  <c r="J1892" i="9"/>
  <c r="F1892" i="9" s="1"/>
  <c r="J1893" i="9"/>
  <c r="F1893" i="9" s="1"/>
  <c r="J1894" i="9"/>
  <c r="F1894" i="9" s="1"/>
  <c r="J1895" i="9"/>
  <c r="F1895" i="9" s="1"/>
  <c r="J1896" i="9"/>
  <c r="F1896" i="9" s="1"/>
  <c r="J1897" i="9"/>
  <c r="F1897" i="9" s="1"/>
  <c r="J1898" i="9"/>
  <c r="F1898" i="9" s="1"/>
  <c r="J1899" i="9"/>
  <c r="F1899" i="9" s="1"/>
  <c r="J1900" i="9"/>
  <c r="F1900" i="9" s="1"/>
  <c r="J1901" i="9"/>
  <c r="F1901" i="9" s="1"/>
  <c r="J1902" i="9"/>
  <c r="F1902" i="9" s="1"/>
  <c r="J1903" i="9"/>
  <c r="F1903" i="9" s="1"/>
  <c r="J1904" i="9"/>
  <c r="F1904" i="9" s="1"/>
  <c r="J1905" i="9"/>
  <c r="F1905" i="9" s="1"/>
  <c r="J1906" i="9"/>
  <c r="F1906" i="9" s="1"/>
  <c r="J1907" i="9"/>
  <c r="F1907" i="9" s="1"/>
  <c r="J1908" i="9"/>
  <c r="F1908" i="9" s="1"/>
  <c r="J1909" i="9"/>
  <c r="F1909" i="9" s="1"/>
  <c r="J1910" i="9"/>
  <c r="F1910" i="9" s="1"/>
  <c r="J1911" i="9"/>
  <c r="F1911" i="9" s="1"/>
  <c r="J1912" i="9"/>
  <c r="F1912" i="9" s="1"/>
  <c r="J1913" i="9"/>
  <c r="F1913" i="9" s="1"/>
  <c r="J1914" i="9"/>
  <c r="F1914" i="9" s="1"/>
  <c r="J1915" i="9"/>
  <c r="F1915" i="9" s="1"/>
  <c r="J1916" i="9"/>
  <c r="F1916" i="9" s="1"/>
  <c r="J1917" i="9"/>
  <c r="F1917" i="9" s="1"/>
  <c r="J1918" i="9"/>
  <c r="F1918" i="9" s="1"/>
  <c r="J1919" i="9"/>
  <c r="F1919" i="9" s="1"/>
  <c r="J1920" i="9"/>
  <c r="F1920" i="9" s="1"/>
  <c r="J1921" i="9"/>
  <c r="F1921" i="9" s="1"/>
  <c r="J1922" i="9"/>
  <c r="F1922" i="9" s="1"/>
  <c r="J1923" i="9"/>
  <c r="F1923" i="9" s="1"/>
  <c r="J1924" i="9"/>
  <c r="F1924" i="9" s="1"/>
  <c r="J1925" i="9"/>
  <c r="F1925" i="9" s="1"/>
  <c r="J1926" i="9"/>
  <c r="F1926" i="9" s="1"/>
  <c r="J1927" i="9"/>
  <c r="F1927" i="9" s="1"/>
  <c r="J1928" i="9"/>
  <c r="F1928" i="9" s="1"/>
  <c r="J1929" i="9"/>
  <c r="F1929" i="9" s="1"/>
  <c r="J1930" i="9"/>
  <c r="F1930" i="9" s="1"/>
  <c r="J1931" i="9"/>
  <c r="F1931" i="9" s="1"/>
  <c r="J1932" i="9"/>
  <c r="F1932" i="9" s="1"/>
  <c r="J1933" i="9"/>
  <c r="F1933" i="9" s="1"/>
  <c r="J1934" i="9"/>
  <c r="F1934" i="9" s="1"/>
  <c r="J1935" i="9"/>
  <c r="F1935" i="9" s="1"/>
  <c r="J1936" i="9"/>
  <c r="F1936" i="9" s="1"/>
  <c r="J1937" i="9"/>
  <c r="F1937" i="9" s="1"/>
  <c r="J1938" i="9"/>
  <c r="F1938" i="9" s="1"/>
  <c r="J1939" i="9"/>
  <c r="F1939" i="9" s="1"/>
  <c r="J1940" i="9"/>
  <c r="F1940" i="9" s="1"/>
  <c r="J1941" i="9"/>
  <c r="F1941" i="9" s="1"/>
  <c r="J1942" i="9"/>
  <c r="F1942" i="9" s="1"/>
  <c r="J1943" i="9"/>
  <c r="F1943" i="9" s="1"/>
  <c r="J1944" i="9"/>
  <c r="F1944" i="9" s="1"/>
  <c r="J1945" i="9"/>
  <c r="F1945" i="9" s="1"/>
  <c r="J1946" i="9"/>
  <c r="F1946" i="9" s="1"/>
  <c r="J1947" i="9"/>
  <c r="F1947" i="9" s="1"/>
  <c r="J1948" i="9"/>
  <c r="F1948" i="9" s="1"/>
  <c r="J1949" i="9"/>
  <c r="F1949" i="9" s="1"/>
  <c r="J1950" i="9"/>
  <c r="F1950" i="9" s="1"/>
  <c r="J1951" i="9"/>
  <c r="F1951" i="9" s="1"/>
  <c r="J1952" i="9"/>
  <c r="F1952" i="9" s="1"/>
  <c r="J1953" i="9"/>
  <c r="F1953" i="9" s="1"/>
  <c r="J1954" i="9"/>
  <c r="F1954" i="9" s="1"/>
  <c r="J1955" i="9"/>
  <c r="F1955" i="9" s="1"/>
  <c r="J1956" i="9"/>
  <c r="F1956" i="9" s="1"/>
  <c r="J1957" i="9"/>
  <c r="F1957" i="9" s="1"/>
  <c r="J1958" i="9"/>
  <c r="F1958" i="9" s="1"/>
  <c r="J1959" i="9"/>
  <c r="F1959" i="9" s="1"/>
  <c r="J1960" i="9"/>
  <c r="F1960" i="9" s="1"/>
  <c r="J1961" i="9"/>
  <c r="F1961" i="9" s="1"/>
  <c r="J1962" i="9"/>
  <c r="F1962" i="9" s="1"/>
  <c r="J1963" i="9"/>
  <c r="F1963" i="9" s="1"/>
  <c r="J1964" i="9"/>
  <c r="F1964" i="9" s="1"/>
  <c r="J1965" i="9"/>
  <c r="F1965" i="9" s="1"/>
  <c r="J1966" i="9"/>
  <c r="F1966" i="9" s="1"/>
  <c r="J1967" i="9"/>
  <c r="F1967" i="9" s="1"/>
  <c r="J1968" i="9"/>
  <c r="F1968" i="9" s="1"/>
  <c r="J1969" i="9"/>
  <c r="F1969" i="9" s="1"/>
  <c r="J1970" i="9"/>
  <c r="F1970" i="9" s="1"/>
  <c r="J1971" i="9"/>
  <c r="F1971" i="9" s="1"/>
  <c r="J1972" i="9"/>
  <c r="F1972" i="9" s="1"/>
  <c r="J1973" i="9"/>
  <c r="F1973" i="9" s="1"/>
  <c r="J1974" i="9"/>
  <c r="F1974" i="9" s="1"/>
  <c r="J1975" i="9"/>
  <c r="F1975" i="9" s="1"/>
  <c r="J1976" i="9"/>
  <c r="F1976" i="9" s="1"/>
  <c r="J1977" i="9"/>
  <c r="F1977" i="9" s="1"/>
  <c r="J1978" i="9"/>
  <c r="F1978" i="9" s="1"/>
  <c r="J1979" i="9"/>
  <c r="F1979" i="9" s="1"/>
  <c r="J1980" i="9"/>
  <c r="F1980" i="9" s="1"/>
  <c r="J1981" i="9"/>
  <c r="F1981" i="9" s="1"/>
  <c r="J1982" i="9"/>
  <c r="F1982" i="9" s="1"/>
  <c r="J1983" i="9"/>
  <c r="F1983" i="9" s="1"/>
  <c r="J1984" i="9"/>
  <c r="F1984" i="9" s="1"/>
  <c r="J1985" i="9"/>
  <c r="F1985" i="9" s="1"/>
  <c r="J1986" i="9"/>
  <c r="F1986" i="9" s="1"/>
  <c r="J1987" i="9"/>
  <c r="F1987" i="9" s="1"/>
  <c r="J1988" i="9"/>
  <c r="F1988" i="9" s="1"/>
  <c r="J1989" i="9"/>
  <c r="F1989" i="9" s="1"/>
  <c r="J1990" i="9"/>
  <c r="F1990" i="9" s="1"/>
  <c r="J1991" i="9"/>
  <c r="F1991" i="9" s="1"/>
  <c r="J1992" i="9"/>
  <c r="F1992" i="9" s="1"/>
  <c r="J1993" i="9"/>
  <c r="F1993" i="9" s="1"/>
  <c r="J1994" i="9"/>
  <c r="F1994" i="9" s="1"/>
  <c r="J1995" i="9"/>
  <c r="F1995" i="9" s="1"/>
  <c r="J1996" i="9"/>
  <c r="F1996" i="9" s="1"/>
  <c r="J1997" i="9"/>
  <c r="F1997" i="9" s="1"/>
  <c r="J1998" i="9"/>
  <c r="F1998" i="9" s="1"/>
  <c r="J1999" i="9"/>
  <c r="F1999" i="9" s="1"/>
  <c r="J2000" i="9"/>
  <c r="F2000" i="9" s="1"/>
  <c r="J2001" i="9"/>
  <c r="F2001" i="9" s="1"/>
  <c r="J2002" i="9"/>
  <c r="F2002" i="9" s="1"/>
  <c r="J2003" i="9"/>
  <c r="F2003" i="9" s="1"/>
  <c r="J2004" i="9"/>
  <c r="F2004" i="9" s="1"/>
  <c r="J2005" i="9"/>
  <c r="F2005" i="9" s="1"/>
  <c r="J2006" i="9"/>
  <c r="F2006" i="9" s="1"/>
  <c r="J2007" i="9"/>
  <c r="F2007" i="9" s="1"/>
  <c r="J2008" i="9"/>
  <c r="F2008" i="9" s="1"/>
  <c r="J2009" i="9"/>
  <c r="F2009" i="9" s="1"/>
  <c r="J2010" i="9"/>
  <c r="F2010" i="9" s="1"/>
  <c r="J2011" i="9"/>
  <c r="F2011" i="9" s="1"/>
  <c r="J2012" i="9"/>
  <c r="F2012" i="9" s="1"/>
  <c r="J2013" i="9"/>
  <c r="F2013" i="9" s="1"/>
  <c r="J2014" i="9"/>
  <c r="F2014" i="9" s="1"/>
  <c r="J2015" i="9"/>
  <c r="F2015" i="9" s="1"/>
  <c r="J2016" i="9"/>
  <c r="F2016" i="9" s="1"/>
  <c r="J2017" i="9"/>
  <c r="F2017" i="9" s="1"/>
  <c r="J2018" i="9"/>
  <c r="F2018" i="9" s="1"/>
  <c r="J2019" i="9"/>
  <c r="F2019" i="9" s="1"/>
  <c r="J2020" i="9"/>
  <c r="F2020" i="9" s="1"/>
  <c r="J2021" i="9"/>
  <c r="F2021" i="9" s="1"/>
  <c r="J2022" i="9"/>
  <c r="F2022" i="9" s="1"/>
  <c r="J2023" i="9"/>
  <c r="F2023" i="9" s="1"/>
  <c r="J2024" i="9"/>
  <c r="F2024" i="9" s="1"/>
  <c r="J2025" i="9"/>
  <c r="F2025" i="9" s="1"/>
  <c r="J2026" i="9"/>
  <c r="F2026" i="9" s="1"/>
  <c r="J2027" i="9"/>
  <c r="F2027" i="9" s="1"/>
  <c r="J2028" i="9"/>
  <c r="F2028" i="9" s="1"/>
  <c r="J2029" i="9"/>
  <c r="F2029" i="9" s="1"/>
  <c r="J2030" i="9"/>
  <c r="F2030" i="9" s="1"/>
  <c r="J2031" i="9"/>
  <c r="F2031" i="9" s="1"/>
  <c r="J2032" i="9"/>
  <c r="F2032" i="9" s="1"/>
  <c r="J2033" i="9"/>
  <c r="F2033" i="9" s="1"/>
  <c r="J2034" i="9"/>
  <c r="F2034" i="9" s="1"/>
  <c r="J2035" i="9"/>
  <c r="F2035" i="9" s="1"/>
  <c r="J2036" i="9"/>
  <c r="F2036" i="9" s="1"/>
  <c r="J2037" i="9"/>
  <c r="F2037" i="9" s="1"/>
  <c r="J2038" i="9"/>
  <c r="F2038" i="9" s="1"/>
  <c r="J2039" i="9"/>
  <c r="F2039" i="9" s="1"/>
  <c r="J2040" i="9"/>
  <c r="F2040" i="9" s="1"/>
  <c r="J2041" i="9"/>
  <c r="F2041" i="9" s="1"/>
  <c r="J2042" i="9"/>
  <c r="F2042" i="9" s="1"/>
  <c r="J2043" i="9"/>
  <c r="F2043" i="9" s="1"/>
  <c r="J2044" i="9"/>
  <c r="F2044" i="9" s="1"/>
  <c r="J2045" i="9"/>
  <c r="F2045" i="9" s="1"/>
  <c r="J2046" i="9"/>
  <c r="F2046" i="9" s="1"/>
  <c r="J2047" i="9"/>
  <c r="F2047" i="9" s="1"/>
  <c r="J2048" i="9"/>
  <c r="F2048" i="9" s="1"/>
  <c r="J2049" i="9"/>
  <c r="F2049" i="9" s="1"/>
  <c r="J2050" i="9"/>
  <c r="F2050" i="9" s="1"/>
  <c r="J2051" i="9"/>
  <c r="F2051" i="9" s="1"/>
  <c r="J2052" i="9"/>
  <c r="F2052" i="9" s="1"/>
  <c r="J2053" i="9"/>
  <c r="F2053" i="9" s="1"/>
  <c r="J2054" i="9"/>
  <c r="F2054" i="9" s="1"/>
  <c r="J2055" i="9"/>
  <c r="F2055" i="9" s="1"/>
  <c r="J2056" i="9"/>
  <c r="F2056" i="9" s="1"/>
  <c r="J2057" i="9"/>
  <c r="F2057" i="9" s="1"/>
  <c r="J2058" i="9"/>
  <c r="F2058" i="9" s="1"/>
  <c r="J2059" i="9"/>
  <c r="F2059" i="9" s="1"/>
  <c r="J2060" i="9"/>
  <c r="F2060" i="9" s="1"/>
  <c r="J2061" i="9"/>
  <c r="F2061" i="9" s="1"/>
  <c r="J2062" i="9"/>
  <c r="F2062" i="9" s="1"/>
  <c r="J2063" i="9"/>
  <c r="F2063" i="9" s="1"/>
  <c r="J2064" i="9"/>
  <c r="F2064" i="9" s="1"/>
  <c r="J2065" i="9"/>
  <c r="F2065" i="9" s="1"/>
  <c r="J2066" i="9"/>
  <c r="F2066" i="9" s="1"/>
  <c r="J2067" i="9"/>
  <c r="F2067" i="9" s="1"/>
  <c r="J2068" i="9"/>
  <c r="F2068" i="9" s="1"/>
  <c r="J2069" i="9"/>
  <c r="F2069" i="9" s="1"/>
  <c r="J2070" i="9"/>
  <c r="F2070" i="9" s="1"/>
  <c r="J2071" i="9"/>
  <c r="F2071" i="9" s="1"/>
  <c r="J2072" i="9"/>
  <c r="F2072" i="9" s="1"/>
  <c r="J2073" i="9"/>
  <c r="F2073" i="9" s="1"/>
  <c r="J2074" i="9"/>
  <c r="F2074" i="9" s="1"/>
  <c r="J2075" i="9"/>
  <c r="F2075" i="9" s="1"/>
  <c r="J2076" i="9"/>
  <c r="F2076" i="9" s="1"/>
  <c r="J2077" i="9"/>
  <c r="F2077" i="9" s="1"/>
  <c r="J2078" i="9"/>
  <c r="F2078" i="9" s="1"/>
  <c r="J2079" i="9"/>
  <c r="F2079" i="9" s="1"/>
  <c r="J2080" i="9"/>
  <c r="F2080" i="9" s="1"/>
  <c r="J2081" i="9"/>
  <c r="F2081" i="9" s="1"/>
  <c r="J2082" i="9"/>
  <c r="F2082" i="9" s="1"/>
  <c r="J2083" i="9"/>
  <c r="F2083" i="9" s="1"/>
  <c r="J2084" i="9"/>
  <c r="F2084" i="9" s="1"/>
  <c r="J2085" i="9"/>
  <c r="F2085" i="9" s="1"/>
  <c r="J2086" i="9"/>
  <c r="F2086" i="9" s="1"/>
  <c r="J2087" i="9"/>
  <c r="F2087" i="9" s="1"/>
  <c r="J2088" i="9"/>
  <c r="F2088" i="9" s="1"/>
  <c r="J2089" i="9"/>
  <c r="F2089" i="9" s="1"/>
  <c r="J2090" i="9"/>
  <c r="F2090" i="9" s="1"/>
  <c r="J2091" i="9"/>
  <c r="F2091" i="9" s="1"/>
  <c r="J2092" i="9"/>
  <c r="F2092" i="9" s="1"/>
  <c r="J2093" i="9"/>
  <c r="F2093" i="9" s="1"/>
  <c r="J2094" i="9"/>
  <c r="F2094" i="9" s="1"/>
  <c r="J2095" i="9"/>
  <c r="F2095" i="9" s="1"/>
  <c r="J2096" i="9"/>
  <c r="F2096" i="9" s="1"/>
  <c r="J2097" i="9"/>
  <c r="F2097" i="9" s="1"/>
  <c r="J2098" i="9"/>
  <c r="F2098" i="9" s="1"/>
  <c r="J2099" i="9"/>
  <c r="F2099" i="9" s="1"/>
  <c r="J2100" i="9"/>
  <c r="F2100" i="9" s="1"/>
  <c r="J2101" i="9"/>
  <c r="F2101" i="9" s="1"/>
  <c r="J2102" i="9"/>
  <c r="F2102" i="9" s="1"/>
  <c r="J2103" i="9"/>
  <c r="F2103" i="9" s="1"/>
  <c r="J2104" i="9"/>
  <c r="F2104" i="9" s="1"/>
  <c r="J2105" i="9"/>
  <c r="F2105" i="9" s="1"/>
  <c r="J2106" i="9"/>
  <c r="F2106" i="9" s="1"/>
  <c r="J2107" i="9"/>
  <c r="F2107" i="9" s="1"/>
  <c r="J2108" i="9"/>
  <c r="F2108" i="9" s="1"/>
  <c r="J2109" i="9"/>
  <c r="F2109" i="9" s="1"/>
  <c r="J2110" i="9"/>
  <c r="F2110" i="9" s="1"/>
  <c r="J2111" i="9"/>
  <c r="F2111" i="9" s="1"/>
  <c r="J2112" i="9"/>
  <c r="F2112" i="9" s="1"/>
  <c r="J2113" i="9"/>
  <c r="F2113" i="9" s="1"/>
  <c r="J2114" i="9"/>
  <c r="F2114" i="9" s="1"/>
  <c r="J2115" i="9"/>
  <c r="F2115" i="9" s="1"/>
  <c r="J2116" i="9"/>
  <c r="F2116" i="9" s="1"/>
  <c r="J2117" i="9"/>
  <c r="F2117" i="9" s="1"/>
  <c r="J2118" i="9"/>
  <c r="F2118" i="9" s="1"/>
  <c r="J2119" i="9"/>
  <c r="F2119" i="9" s="1"/>
  <c r="J2120" i="9"/>
  <c r="F2120" i="9" s="1"/>
  <c r="J2121" i="9"/>
  <c r="F2121" i="9" s="1"/>
  <c r="J2122" i="9"/>
  <c r="F2122" i="9" s="1"/>
  <c r="J2123" i="9"/>
  <c r="F2123" i="9" s="1"/>
  <c r="J2124" i="9"/>
  <c r="F2124" i="9" s="1"/>
  <c r="J2125" i="9"/>
  <c r="F2125" i="9" s="1"/>
  <c r="J2126" i="9"/>
  <c r="F2126" i="9" s="1"/>
  <c r="J2127" i="9"/>
  <c r="F2127" i="9" s="1"/>
  <c r="J2128" i="9"/>
  <c r="F2128" i="9" s="1"/>
  <c r="J2129" i="9"/>
  <c r="F2129" i="9" s="1"/>
  <c r="J2130" i="9"/>
  <c r="F2130" i="9" s="1"/>
  <c r="J2131" i="9"/>
  <c r="F2131" i="9" s="1"/>
  <c r="J2132" i="9"/>
  <c r="F2132" i="9" s="1"/>
  <c r="J2133" i="9"/>
  <c r="F2133" i="9" s="1"/>
  <c r="J2134" i="9"/>
  <c r="F2134" i="9" s="1"/>
  <c r="J2135" i="9"/>
  <c r="F2135" i="9" s="1"/>
  <c r="J2136" i="9"/>
  <c r="F2136" i="9" s="1"/>
  <c r="J2137" i="9"/>
  <c r="F2137" i="9" s="1"/>
  <c r="Y24" i="7"/>
  <c r="Z24" i="7" s="1"/>
  <c r="Y33" i="7"/>
  <c r="W16" i="7"/>
  <c r="Z33" i="7"/>
  <c r="X16" i="7"/>
  <c r="Y16" i="7"/>
  <c r="Z16" i="7"/>
  <c r="B94" i="15" l="1"/>
  <c r="N22" i="15"/>
  <c r="F29" i="9"/>
  <c r="T27" i="9"/>
  <c r="T31" i="9" s="1"/>
  <c r="B95" i="15" l="1"/>
  <c r="N23" i="15"/>
  <c r="M7" i="13"/>
  <c r="T25" i="9"/>
  <c r="B96" i="15" l="1"/>
  <c r="N24" i="15"/>
  <c r="D11" i="14"/>
  <c r="M4" i="13"/>
  <c r="B97" i="15" l="1"/>
  <c r="N25" i="15"/>
  <c r="B98" i="15" l="1"/>
  <c r="N26" i="15"/>
  <c r="B99" i="15" l="1"/>
  <c r="N27" i="15"/>
  <c r="B100" i="15" l="1"/>
  <c r="N28" i="15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D14" i="13" s="1"/>
  <c r="D76" i="6"/>
  <c r="E10" i="8"/>
  <c r="D9" i="8"/>
  <c r="D10" i="8"/>
  <c r="D8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E7" i="8"/>
  <c r="D7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E5" i="8"/>
  <c r="D5" i="8"/>
  <c r="M31" i="7"/>
  <c r="N31" i="7"/>
  <c r="O31" i="7"/>
  <c r="P31" i="7"/>
  <c r="Q31" i="7"/>
  <c r="R31" i="7"/>
  <c r="S31" i="7"/>
  <c r="T31" i="7"/>
  <c r="U31" i="7"/>
  <c r="L31" i="7"/>
  <c r="F31" i="7"/>
  <c r="S28" i="7"/>
  <c r="Q28" i="7"/>
  <c r="P28" i="7"/>
  <c r="M28" i="7"/>
  <c r="N28" i="7"/>
  <c r="L28" i="7"/>
  <c r="D30" i="7"/>
  <c r="E30" i="7"/>
  <c r="E34" i="7" s="1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C30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6" i="7"/>
  <c r="C26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0" i="7"/>
  <c r="I21" i="9"/>
  <c r="R4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D53" i="6"/>
  <c r="W47" i="6"/>
  <c r="X47" i="6" s="1"/>
  <c r="Y47" i="6" s="1"/>
  <c r="M46" i="6"/>
  <c r="N46" i="6"/>
  <c r="O46" i="6"/>
  <c r="P46" i="6"/>
  <c r="Q46" i="6"/>
  <c r="R46" i="6"/>
  <c r="S46" i="6"/>
  <c r="T46" i="6"/>
  <c r="U46" i="6"/>
  <c r="V46" i="6"/>
  <c r="L46" i="6"/>
  <c r="W45" i="6"/>
  <c r="X45" i="6" s="1"/>
  <c r="Y45" i="6" s="1"/>
  <c r="Z45" i="6" s="1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E37" i="6"/>
  <c r="V19" i="7"/>
  <c r="W19" i="7"/>
  <c r="X19" i="7"/>
  <c r="Y19" i="7"/>
  <c r="W27" i="7" l="1"/>
  <c r="AE4" i="8"/>
  <c r="AH35" i="6"/>
  <c r="AE3" i="8"/>
  <c r="B101" i="15"/>
  <c r="N29" i="15"/>
  <c r="X5" i="8"/>
  <c r="Y5" i="8"/>
  <c r="Z5" i="8"/>
  <c r="W5" i="8"/>
  <c r="W4" i="8" s="1"/>
  <c r="AA5" i="8"/>
  <c r="X7" i="8"/>
  <c r="Y7" i="8"/>
  <c r="Z7" i="8"/>
  <c r="AA7" i="8"/>
  <c r="W7" i="8"/>
  <c r="W6" i="8" s="1"/>
  <c r="AE10" i="7"/>
  <c r="J34" i="7"/>
  <c r="I34" i="7"/>
  <c r="T34" i="7"/>
  <c r="H34" i="7"/>
  <c r="G34" i="7"/>
  <c r="X60" i="6"/>
  <c r="D10" i="14"/>
  <c r="AH30" i="6"/>
  <c r="Z60" i="6"/>
  <c r="Y60" i="6"/>
  <c r="W60" i="6"/>
  <c r="AA60" i="6"/>
  <c r="W46" i="6"/>
  <c r="X46" i="6" s="1"/>
  <c r="Y46" i="6" s="1"/>
  <c r="K34" i="7"/>
  <c r="Q34" i="7"/>
  <c r="U34" i="7"/>
  <c r="L34" i="7"/>
  <c r="S34" i="7"/>
  <c r="N34" i="7"/>
  <c r="R34" i="7"/>
  <c r="P34" i="7"/>
  <c r="F34" i="7"/>
  <c r="D34" i="7"/>
  <c r="M34" i="7"/>
  <c r="O34" i="7"/>
  <c r="W26" i="7"/>
  <c r="X26" i="7"/>
  <c r="Y26" i="7"/>
  <c r="Z26" i="7"/>
  <c r="V26" i="7"/>
  <c r="V25" i="7" s="1"/>
  <c r="W25" i="7" s="1"/>
  <c r="X25" i="7" s="1"/>
  <c r="Y25" i="7" s="1"/>
  <c r="Z25" i="7" s="1"/>
  <c r="V30" i="7"/>
  <c r="W30" i="7" s="1"/>
  <c r="X30" i="7" s="1"/>
  <c r="V27" i="7"/>
  <c r="C34" i="7"/>
  <c r="Z27" i="7"/>
  <c r="Y27" i="7"/>
  <c r="X27" i="7"/>
  <c r="AE7" i="7"/>
  <c r="X10" i="7" s="1"/>
  <c r="Z47" i="6"/>
  <c r="AA47" i="6" s="1"/>
  <c r="AA45" i="6"/>
  <c r="B24" i="5"/>
  <c r="M8" i="13" s="1"/>
  <c r="Z19" i="7"/>
  <c r="X6" i="8" l="1"/>
  <c r="Y6" i="8" s="1"/>
  <c r="Z6" i="8" s="1"/>
  <c r="AA6" i="8" s="1"/>
  <c r="B102" i="15"/>
  <c r="N30" i="15"/>
  <c r="W8" i="8"/>
  <c r="X4" i="8"/>
  <c r="Y53" i="6"/>
  <c r="Z53" i="6"/>
  <c r="AA53" i="6"/>
  <c r="W53" i="6"/>
  <c r="X53" i="6"/>
  <c r="Z37" i="6"/>
  <c r="AA37" i="6"/>
  <c r="Y37" i="6"/>
  <c r="W37" i="6"/>
  <c r="W36" i="6" s="1"/>
  <c r="X37" i="6"/>
  <c r="Z46" i="6"/>
  <c r="AA46" i="6" s="1"/>
  <c r="Z10" i="7"/>
  <c r="Y10" i="7"/>
  <c r="W10" i="7"/>
  <c r="V10" i="7"/>
  <c r="V9" i="7" s="1"/>
  <c r="W9" i="7" s="1"/>
  <c r="Y30" i="7"/>
  <c r="Z30" i="7" s="1"/>
  <c r="B103" i="15" l="1"/>
  <c r="N31" i="15"/>
  <c r="Y4" i="8"/>
  <c r="X8" i="8"/>
  <c r="W9" i="8"/>
  <c r="W74" i="6" s="1"/>
  <c r="W73" i="6"/>
  <c r="X36" i="6"/>
  <c r="Y36" i="6" s="1"/>
  <c r="Z36" i="6" s="1"/>
  <c r="AA36" i="6" s="1"/>
  <c r="X9" i="7"/>
  <c r="B104" i="15" l="1"/>
  <c r="N32" i="15"/>
  <c r="X73" i="6"/>
  <c r="X10" i="8"/>
  <c r="F16" i="13" s="1"/>
  <c r="Z4" i="8"/>
  <c r="Y8" i="8"/>
  <c r="Y9" i="7"/>
  <c r="M33" i="10"/>
  <c r="M32" i="10"/>
  <c r="M31" i="10"/>
  <c r="C3" i="10"/>
  <c r="C8" i="10"/>
  <c r="C15" i="10" s="1"/>
  <c r="B29" i="10" s="1"/>
  <c r="C7" i="10"/>
  <c r="C6" i="10"/>
  <c r="C5" i="10"/>
  <c r="C36" i="10" s="1"/>
  <c r="C4" i="10"/>
  <c r="D2" i="14" s="1"/>
  <c r="C2" i="10"/>
  <c r="B105" i="15" l="1"/>
  <c r="N33" i="15"/>
  <c r="D3" i="14"/>
  <c r="D4" i="14" s="1"/>
  <c r="B36" i="10"/>
  <c r="B37" i="10" s="1"/>
  <c r="C37" i="10" s="1"/>
  <c r="Y10" i="8"/>
  <c r="G16" i="13" s="1"/>
  <c r="Y73" i="6"/>
  <c r="AA4" i="8"/>
  <c r="AA8" i="8" s="1"/>
  <c r="Z8" i="8"/>
  <c r="C9" i="10"/>
  <c r="Q15" i="9"/>
  <c r="Q14" i="9"/>
  <c r="Q13" i="9"/>
  <c r="Q12" i="9"/>
  <c r="Q11" i="9"/>
  <c r="Q10" i="9"/>
  <c r="Q9" i="9"/>
  <c r="Q8" i="9"/>
  <c r="Q7" i="9"/>
  <c r="K17" i="9"/>
  <c r="K16" i="9"/>
  <c r="K15" i="9"/>
  <c r="K14" i="9"/>
  <c r="K13" i="9"/>
  <c r="K12" i="9"/>
  <c r="K11" i="9"/>
  <c r="K10" i="9"/>
  <c r="K9" i="9"/>
  <c r="K8" i="9"/>
  <c r="K7" i="9"/>
  <c r="E17" i="9"/>
  <c r="E16" i="9"/>
  <c r="E15" i="9"/>
  <c r="E14" i="9"/>
  <c r="E13" i="9"/>
  <c r="E12" i="9"/>
  <c r="E11" i="9"/>
  <c r="E10" i="9"/>
  <c r="E9" i="9"/>
  <c r="E8" i="9"/>
  <c r="E7" i="9"/>
  <c r="Z9" i="7"/>
  <c r="N31" i="10"/>
  <c r="N32" i="10"/>
  <c r="N33" i="10"/>
  <c r="N34" i="10"/>
  <c r="B106" i="15" l="1"/>
  <c r="N34" i="15"/>
  <c r="Y5" i="7"/>
  <c r="Y7" i="7" s="1"/>
  <c r="G15" i="10"/>
  <c r="F29" i="10" s="1"/>
  <c r="X5" i="7"/>
  <c r="X7" i="7" s="1"/>
  <c r="F15" i="10"/>
  <c r="E29" i="10" s="1"/>
  <c r="W5" i="7"/>
  <c r="W7" i="7" s="1"/>
  <c r="E15" i="10"/>
  <c r="D29" i="10" s="1"/>
  <c r="V5" i="7"/>
  <c r="V7" i="7" s="1"/>
  <c r="D15" i="10"/>
  <c r="C29" i="10" s="1"/>
  <c r="Q16" i="9"/>
  <c r="Z73" i="6"/>
  <c r="Z10" i="8"/>
  <c r="H16" i="13" s="1"/>
  <c r="H2" i="10"/>
  <c r="AA73" i="6"/>
  <c r="AA10" i="8"/>
  <c r="I16" i="13" s="1"/>
  <c r="W10" i="9"/>
  <c r="W9" i="9"/>
  <c r="W8" i="9"/>
  <c r="W7" i="9"/>
  <c r="Q17" i="9"/>
  <c r="H4" i="9"/>
  <c r="N4" i="9"/>
  <c r="N35" i="10"/>
  <c r="B107" i="15" l="1"/>
  <c r="N35" i="15"/>
  <c r="T4" i="9"/>
  <c r="O20" i="13" s="1"/>
  <c r="W15" i="9"/>
  <c r="W14" i="9"/>
  <c r="W13" i="9"/>
  <c r="W12" i="9"/>
  <c r="W11" i="9"/>
  <c r="H15" i="10"/>
  <c r="G29" i="10" s="1"/>
  <c r="Z5" i="7"/>
  <c r="Z7" i="7" s="1"/>
  <c r="H4" i="10"/>
  <c r="C13" i="10"/>
  <c r="N20" i="13"/>
  <c r="N21" i="13" s="1"/>
  <c r="M20" i="13"/>
  <c r="B108" i="15" l="1"/>
  <c r="N36" i="15"/>
  <c r="AC15" i="9"/>
  <c r="AC14" i="9"/>
  <c r="AC13" i="9"/>
  <c r="AC12" i="9"/>
  <c r="AC11" i="9"/>
  <c r="AC10" i="9"/>
  <c r="AC9" i="9"/>
  <c r="AC8" i="9"/>
  <c r="AC7" i="9"/>
  <c r="W17" i="9"/>
  <c r="W16" i="9"/>
  <c r="B27" i="10"/>
  <c r="C16" i="10"/>
  <c r="M21" i="13"/>
  <c r="O21" i="13"/>
  <c r="AC16" i="9"/>
  <c r="Y2" i="6"/>
  <c r="X2" i="6"/>
  <c r="W2" i="6"/>
  <c r="D74" i="6"/>
  <c r="D11" i="6"/>
  <c r="E9" i="8"/>
  <c r="E74" i="6" s="1"/>
  <c r="F8" i="8"/>
  <c r="F73" i="6" s="1"/>
  <c r="G8" i="8"/>
  <c r="G73" i="6" s="1"/>
  <c r="H8" i="8"/>
  <c r="H73" i="6" s="1"/>
  <c r="I8" i="8"/>
  <c r="I73" i="6" s="1"/>
  <c r="J8" i="8"/>
  <c r="J73" i="6" s="1"/>
  <c r="K8" i="8"/>
  <c r="K73" i="6" s="1"/>
  <c r="L8" i="8"/>
  <c r="L73" i="6" s="1"/>
  <c r="M8" i="8"/>
  <c r="M73" i="6" s="1"/>
  <c r="N8" i="8"/>
  <c r="N73" i="6" s="1"/>
  <c r="O8" i="8"/>
  <c r="O73" i="6" s="1"/>
  <c r="P8" i="8"/>
  <c r="P73" i="6" s="1"/>
  <c r="Q8" i="8"/>
  <c r="Q73" i="6" s="1"/>
  <c r="R8" i="8"/>
  <c r="R73" i="6" s="1"/>
  <c r="S8" i="8"/>
  <c r="S73" i="6" s="1"/>
  <c r="T8" i="8"/>
  <c r="T73" i="6" s="1"/>
  <c r="U8" i="8"/>
  <c r="V8" i="8"/>
  <c r="E8" i="8"/>
  <c r="E73" i="6" s="1"/>
  <c r="D7" i="7"/>
  <c r="D20" i="7" s="1"/>
  <c r="E7" i="7"/>
  <c r="E20" i="7" s="1"/>
  <c r="F7" i="7"/>
  <c r="F20" i="7" s="1"/>
  <c r="G7" i="7"/>
  <c r="G20" i="7" s="1"/>
  <c r="H7" i="7"/>
  <c r="H20" i="7" s="1"/>
  <c r="I7" i="7"/>
  <c r="I20" i="7" s="1"/>
  <c r="J7" i="7"/>
  <c r="J20" i="7" s="1"/>
  <c r="K7" i="7"/>
  <c r="K20" i="7" s="1"/>
  <c r="L7" i="7"/>
  <c r="L20" i="7" s="1"/>
  <c r="M7" i="7"/>
  <c r="M20" i="7" s="1"/>
  <c r="N7" i="7"/>
  <c r="N20" i="7" s="1"/>
  <c r="O7" i="7"/>
  <c r="O20" i="7" s="1"/>
  <c r="P7" i="7"/>
  <c r="P20" i="7" s="1"/>
  <c r="Q7" i="7"/>
  <c r="Q20" i="7" s="1"/>
  <c r="R7" i="7"/>
  <c r="R20" i="7" s="1"/>
  <c r="S7" i="7"/>
  <c r="S20" i="7" s="1"/>
  <c r="T7" i="7"/>
  <c r="T20" i="7" s="1"/>
  <c r="U7" i="7"/>
  <c r="U20" i="7" s="1"/>
  <c r="C7" i="7"/>
  <c r="C20" i="7" s="1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V7" i="6"/>
  <c r="D3" i="13" s="1"/>
  <c r="U7" i="6"/>
  <c r="C3" i="13" s="1"/>
  <c r="T7" i="6"/>
  <c r="T12" i="6" s="1"/>
  <c r="S7" i="6"/>
  <c r="S12" i="6" s="1"/>
  <c r="R7" i="6"/>
  <c r="R12" i="6" s="1"/>
  <c r="Q7" i="6"/>
  <c r="Q12" i="6" s="1"/>
  <c r="P7" i="6"/>
  <c r="P12" i="6" s="1"/>
  <c r="O7" i="6"/>
  <c r="O12" i="6" s="1"/>
  <c r="N7" i="6"/>
  <c r="N12" i="6" s="1"/>
  <c r="M7" i="6"/>
  <c r="M12" i="6" s="1"/>
  <c r="L7" i="6"/>
  <c r="L12" i="6" s="1"/>
  <c r="K7" i="6"/>
  <c r="K12" i="6" s="1"/>
  <c r="J7" i="6"/>
  <c r="J12" i="6" s="1"/>
  <c r="I7" i="6"/>
  <c r="I12" i="6" s="1"/>
  <c r="H7" i="6"/>
  <c r="H12" i="6" s="1"/>
  <c r="G7" i="6"/>
  <c r="G12" i="6" s="1"/>
  <c r="F7" i="6"/>
  <c r="F12" i="6" s="1"/>
  <c r="E7" i="6"/>
  <c r="E12" i="6" s="1"/>
  <c r="W6" i="6"/>
  <c r="X6" i="6"/>
  <c r="Y6" i="6"/>
  <c r="Z6" i="6" s="1"/>
  <c r="N9" i="8" l="1"/>
  <c r="N74" i="6" s="1"/>
  <c r="P9" i="8"/>
  <c r="P74" i="6" s="1"/>
  <c r="O9" i="8"/>
  <c r="O74" i="6" s="1"/>
  <c r="M9" i="8"/>
  <c r="M74" i="6" s="1"/>
  <c r="L9" i="8"/>
  <c r="L74" i="6" s="1"/>
  <c r="K9" i="8"/>
  <c r="K74" i="6" s="1"/>
  <c r="Z4" i="9"/>
  <c r="B109" i="15"/>
  <c r="N37" i="15"/>
  <c r="H7" i="5"/>
  <c r="B31" i="10"/>
  <c r="H4" i="13"/>
  <c r="G4" i="13"/>
  <c r="F4" i="13"/>
  <c r="E4" i="13"/>
  <c r="AC17" i="9"/>
  <c r="AF4" i="9" s="1"/>
  <c r="U73" i="6"/>
  <c r="U10" i="8"/>
  <c r="I10" i="8"/>
  <c r="T10" i="8"/>
  <c r="H10" i="8"/>
  <c r="S10" i="8"/>
  <c r="G10" i="8"/>
  <c r="R10" i="8"/>
  <c r="Q10" i="8"/>
  <c r="P10" i="8"/>
  <c r="J10" i="8"/>
  <c r="U9" i="8"/>
  <c r="U74" i="6" s="1"/>
  <c r="I9" i="8"/>
  <c r="I74" i="6" s="1"/>
  <c r="O10" i="8"/>
  <c r="V73" i="6"/>
  <c r="W10" i="8"/>
  <c r="E16" i="13" s="1"/>
  <c r="V9" i="8"/>
  <c r="V74" i="6" s="1"/>
  <c r="T9" i="8"/>
  <c r="T74" i="6" s="1"/>
  <c r="H9" i="8"/>
  <c r="H74" i="6" s="1"/>
  <c r="N10" i="8"/>
  <c r="J9" i="8"/>
  <c r="J74" i="6" s="1"/>
  <c r="S9" i="8"/>
  <c r="S74" i="6" s="1"/>
  <c r="G9" i="8"/>
  <c r="G74" i="6" s="1"/>
  <c r="M10" i="8"/>
  <c r="V10" i="8"/>
  <c r="D16" i="13" s="1"/>
  <c r="F9" i="8"/>
  <c r="F74" i="6" s="1"/>
  <c r="L10" i="8"/>
  <c r="R9" i="8"/>
  <c r="R74" i="6" s="1"/>
  <c r="Q9" i="8"/>
  <c r="Q74" i="6" s="1"/>
  <c r="F10" i="8"/>
  <c r="K10" i="8"/>
  <c r="U12" i="6"/>
  <c r="V12" i="6"/>
  <c r="AA9" i="8"/>
  <c r="AA74" i="6" s="1"/>
  <c r="Z9" i="8"/>
  <c r="Z74" i="6" s="1"/>
  <c r="Y9" i="8"/>
  <c r="Y74" i="6" s="1"/>
  <c r="X9" i="8"/>
  <c r="X74" i="6" s="1"/>
  <c r="E63" i="6"/>
  <c r="D12" i="7"/>
  <c r="D18" i="7"/>
  <c r="E55" i="6"/>
  <c r="D29" i="7"/>
  <c r="D32" i="7"/>
  <c r="N18" i="7"/>
  <c r="O63" i="6"/>
  <c r="N12" i="7"/>
  <c r="O55" i="6"/>
  <c r="N32" i="7"/>
  <c r="N29" i="7"/>
  <c r="M63" i="6"/>
  <c r="L12" i="7"/>
  <c r="L18" i="7"/>
  <c r="M55" i="6"/>
  <c r="L29" i="7"/>
  <c r="L32" i="7"/>
  <c r="R63" i="6"/>
  <c r="Q18" i="7"/>
  <c r="Q12" i="7"/>
  <c r="Q29" i="7"/>
  <c r="R55" i="6"/>
  <c r="Q32" i="7"/>
  <c r="O12" i="7"/>
  <c r="O18" i="7"/>
  <c r="P63" i="6"/>
  <c r="O32" i="7"/>
  <c r="O29" i="7"/>
  <c r="P55" i="6"/>
  <c r="I32" i="7"/>
  <c r="I29" i="7"/>
  <c r="J55" i="6"/>
  <c r="I12" i="7"/>
  <c r="I18" i="7"/>
  <c r="J63" i="6"/>
  <c r="U29" i="7"/>
  <c r="V55" i="6"/>
  <c r="U12" i="7"/>
  <c r="U18" i="7"/>
  <c r="V63" i="6"/>
  <c r="U32" i="7"/>
  <c r="U55" i="6"/>
  <c r="T18" i="7"/>
  <c r="U63" i="6"/>
  <c r="T12" i="7"/>
  <c r="T29" i="7"/>
  <c r="T32" i="7"/>
  <c r="I55" i="6"/>
  <c r="H29" i="7"/>
  <c r="H32" i="7"/>
  <c r="H18" i="7"/>
  <c r="I63" i="6"/>
  <c r="H12" i="7"/>
  <c r="E29" i="7"/>
  <c r="E18" i="7"/>
  <c r="F55" i="6"/>
  <c r="F63" i="6"/>
  <c r="E12" i="7"/>
  <c r="E32" i="7"/>
  <c r="K55" i="6"/>
  <c r="J32" i="7"/>
  <c r="J29" i="7"/>
  <c r="J12" i="7"/>
  <c r="K63" i="6"/>
  <c r="J18" i="7"/>
  <c r="T55" i="6"/>
  <c r="S18" i="7"/>
  <c r="T63" i="6"/>
  <c r="S29" i="7"/>
  <c r="S12" i="7"/>
  <c r="S32" i="7"/>
  <c r="H55" i="6"/>
  <c r="G29" i="7"/>
  <c r="G32" i="7"/>
  <c r="G18" i="7"/>
  <c r="H63" i="6"/>
  <c r="G12" i="7"/>
  <c r="C29" i="7"/>
  <c r="D55" i="6"/>
  <c r="C32" i="7"/>
  <c r="D63" i="6"/>
  <c r="C12" i="7"/>
  <c r="C18" i="7"/>
  <c r="Q63" i="6"/>
  <c r="P12" i="7"/>
  <c r="P18" i="7"/>
  <c r="P32" i="7"/>
  <c r="Q55" i="6"/>
  <c r="P29" i="7"/>
  <c r="M18" i="7"/>
  <c r="N63" i="6"/>
  <c r="M12" i="7"/>
  <c r="N55" i="6"/>
  <c r="M29" i="7"/>
  <c r="M32" i="7"/>
  <c r="K12" i="7"/>
  <c r="L55" i="6"/>
  <c r="K32" i="7"/>
  <c r="L63" i="6"/>
  <c r="K29" i="7"/>
  <c r="K18" i="7"/>
  <c r="S55" i="6"/>
  <c r="S63" i="6"/>
  <c r="R18" i="7"/>
  <c r="R32" i="7"/>
  <c r="R12" i="7"/>
  <c r="R29" i="7"/>
  <c r="G55" i="6"/>
  <c r="F29" i="7"/>
  <c r="G63" i="6"/>
  <c r="F18" i="7"/>
  <c r="F12" i="7"/>
  <c r="F32" i="7"/>
  <c r="N36" i="7"/>
  <c r="N37" i="7" s="1"/>
  <c r="R36" i="7"/>
  <c r="R37" i="7" s="1"/>
  <c r="Q36" i="7"/>
  <c r="E36" i="7"/>
  <c r="E37" i="7" s="1"/>
  <c r="M44" i="6"/>
  <c r="M39" i="6"/>
  <c r="M49" i="6"/>
  <c r="M51" i="6"/>
  <c r="L39" i="6"/>
  <c r="L51" i="6"/>
  <c r="L49" i="6"/>
  <c r="L44" i="6"/>
  <c r="J51" i="6"/>
  <c r="J39" i="6"/>
  <c r="J49" i="6"/>
  <c r="J44" i="6"/>
  <c r="V51" i="6"/>
  <c r="V39" i="6"/>
  <c r="V44" i="6"/>
  <c r="V49" i="6"/>
  <c r="T49" i="6"/>
  <c r="T44" i="6"/>
  <c r="T51" i="6"/>
  <c r="T39" i="6"/>
  <c r="N44" i="6"/>
  <c r="N39" i="6"/>
  <c r="N51" i="6"/>
  <c r="N49" i="6"/>
  <c r="I39" i="6"/>
  <c r="I49" i="6"/>
  <c r="I51" i="6"/>
  <c r="I44" i="6"/>
  <c r="K39" i="6"/>
  <c r="K51" i="6"/>
  <c r="K49" i="6"/>
  <c r="K44" i="6"/>
  <c r="D51" i="6"/>
  <c r="D44" i="6"/>
  <c r="D39" i="6"/>
  <c r="D49" i="6"/>
  <c r="U44" i="6"/>
  <c r="U49" i="6"/>
  <c r="U51" i="6"/>
  <c r="U39" i="6"/>
  <c r="G49" i="6"/>
  <c r="G39" i="6"/>
  <c r="G51" i="6"/>
  <c r="G44" i="6"/>
  <c r="Q49" i="6"/>
  <c r="Q44" i="6"/>
  <c r="Q39" i="6"/>
  <c r="Q51" i="6"/>
  <c r="O51" i="6"/>
  <c r="O44" i="6"/>
  <c r="O39" i="6"/>
  <c r="O49" i="6"/>
  <c r="H51" i="6"/>
  <c r="H49" i="6"/>
  <c r="H44" i="6"/>
  <c r="H39" i="6"/>
  <c r="S51" i="6"/>
  <c r="S49" i="6"/>
  <c r="S44" i="6"/>
  <c r="S39" i="6"/>
  <c r="R44" i="6"/>
  <c r="R49" i="6"/>
  <c r="R39" i="6"/>
  <c r="R51" i="6"/>
  <c r="F49" i="6"/>
  <c r="F44" i="6"/>
  <c r="F39" i="6"/>
  <c r="F51" i="6"/>
  <c r="E49" i="6"/>
  <c r="E39" i="6"/>
  <c r="E44" i="6"/>
  <c r="E51" i="6"/>
  <c r="P49" i="6"/>
  <c r="P44" i="6"/>
  <c r="P39" i="6"/>
  <c r="P51" i="6"/>
  <c r="K22" i="6"/>
  <c r="K26" i="6"/>
  <c r="M22" i="6"/>
  <c r="M26" i="6"/>
  <c r="L22" i="6"/>
  <c r="L26" i="6"/>
  <c r="I26" i="6"/>
  <c r="I22" i="6"/>
  <c r="V22" i="6"/>
  <c r="V26" i="6"/>
  <c r="T26" i="6"/>
  <c r="T22" i="6"/>
  <c r="F26" i="6"/>
  <c r="F22" i="6"/>
  <c r="D22" i="6"/>
  <c r="D26" i="6"/>
  <c r="D30" i="6"/>
  <c r="H26" i="6"/>
  <c r="H22" i="6"/>
  <c r="G26" i="6"/>
  <c r="G22" i="6"/>
  <c r="R26" i="6"/>
  <c r="R22" i="6"/>
  <c r="Q26" i="6"/>
  <c r="Q22" i="6"/>
  <c r="N22" i="6"/>
  <c r="N26" i="6"/>
  <c r="J22" i="6"/>
  <c r="J26" i="6"/>
  <c r="S26" i="6"/>
  <c r="S22" i="6"/>
  <c r="E26" i="6"/>
  <c r="E22" i="6"/>
  <c r="E30" i="6"/>
  <c r="P22" i="6"/>
  <c r="P26" i="6"/>
  <c r="U22" i="6"/>
  <c r="U26" i="6"/>
  <c r="O26" i="6"/>
  <c r="O22" i="6"/>
  <c r="S17" i="6"/>
  <c r="S40" i="6" s="1"/>
  <c r="S24" i="6"/>
  <c r="S30" i="6" s="1"/>
  <c r="F17" i="6"/>
  <c r="F40" i="6" s="1"/>
  <c r="F24" i="6"/>
  <c r="F30" i="6" s="1"/>
  <c r="G17" i="6"/>
  <c r="G24" i="6"/>
  <c r="G30" i="6" s="1"/>
  <c r="D16" i="6"/>
  <c r="D24" i="6"/>
  <c r="Q17" i="6"/>
  <c r="Q40" i="6" s="1"/>
  <c r="Q24" i="6"/>
  <c r="Q30" i="6" s="1"/>
  <c r="P17" i="6"/>
  <c r="P24" i="6"/>
  <c r="P30" i="6" s="1"/>
  <c r="O16" i="6"/>
  <c r="O24" i="6"/>
  <c r="O30" i="6" s="1"/>
  <c r="M16" i="6"/>
  <c r="M24" i="6"/>
  <c r="M30" i="6" s="1"/>
  <c r="L16" i="6"/>
  <c r="L24" i="6"/>
  <c r="L30" i="6" s="1"/>
  <c r="K16" i="6"/>
  <c r="K24" i="6"/>
  <c r="K30" i="6" s="1"/>
  <c r="J17" i="6"/>
  <c r="J24" i="6"/>
  <c r="J30" i="6" s="1"/>
  <c r="U16" i="6"/>
  <c r="U24" i="6"/>
  <c r="U30" i="6" s="1"/>
  <c r="I16" i="6"/>
  <c r="I24" i="6"/>
  <c r="I30" i="6" s="1"/>
  <c r="R17" i="6"/>
  <c r="R40" i="6" s="1"/>
  <c r="R24" i="6"/>
  <c r="R30" i="6" s="1"/>
  <c r="E17" i="6"/>
  <c r="E24" i="6"/>
  <c r="N16" i="6"/>
  <c r="N24" i="6"/>
  <c r="N30" i="6" s="1"/>
  <c r="V16" i="6"/>
  <c r="V24" i="6"/>
  <c r="V30" i="6" s="1"/>
  <c r="T17" i="6"/>
  <c r="T40" i="6" s="1"/>
  <c r="T24" i="6"/>
  <c r="T30" i="6" s="1"/>
  <c r="H17" i="6"/>
  <c r="H40" i="6" s="1"/>
  <c r="H24" i="6"/>
  <c r="H30" i="6" s="1"/>
  <c r="L77" i="6"/>
  <c r="K77" i="6"/>
  <c r="I77" i="6"/>
  <c r="H77" i="6"/>
  <c r="J77" i="6"/>
  <c r="V77" i="6"/>
  <c r="U77" i="6"/>
  <c r="T77" i="6"/>
  <c r="Z11" i="6"/>
  <c r="Z52" i="6" s="1"/>
  <c r="Y11" i="6"/>
  <c r="Y52" i="6" s="1"/>
  <c r="X11" i="6"/>
  <c r="X52" i="6" s="1"/>
  <c r="W11" i="6"/>
  <c r="W52" i="6" s="1"/>
  <c r="S77" i="6"/>
  <c r="G77" i="6"/>
  <c r="R77" i="6"/>
  <c r="F77" i="6"/>
  <c r="Q77" i="6"/>
  <c r="E77" i="6"/>
  <c r="D77" i="6"/>
  <c r="O77" i="6"/>
  <c r="P77" i="6"/>
  <c r="N77" i="6"/>
  <c r="M77" i="6"/>
  <c r="W7" i="6"/>
  <c r="E3" i="13" s="1"/>
  <c r="F36" i="7"/>
  <c r="F37" i="7" s="1"/>
  <c r="K36" i="7"/>
  <c r="S36" i="7"/>
  <c r="G36" i="7"/>
  <c r="P36" i="7"/>
  <c r="D36" i="7"/>
  <c r="D37" i="7" s="1"/>
  <c r="O36" i="7"/>
  <c r="M36" i="7"/>
  <c r="L36" i="7"/>
  <c r="C36" i="7"/>
  <c r="J36" i="7"/>
  <c r="U36" i="7"/>
  <c r="I36" i="7"/>
  <c r="T36" i="7"/>
  <c r="H36" i="7"/>
  <c r="N17" i="6"/>
  <c r="N40" i="6" s="1"/>
  <c r="I28" i="6"/>
  <c r="J16" i="6"/>
  <c r="H16" i="6"/>
  <c r="U17" i="6"/>
  <c r="U40" i="6" s="1"/>
  <c r="J28" i="6"/>
  <c r="H28" i="6"/>
  <c r="L28" i="6"/>
  <c r="I17" i="6"/>
  <c r="I40" i="6" s="1"/>
  <c r="V28" i="6"/>
  <c r="U28" i="6"/>
  <c r="P28" i="6"/>
  <c r="T28" i="6"/>
  <c r="O28" i="6"/>
  <c r="S16" i="6"/>
  <c r="N28" i="6"/>
  <c r="G16" i="6"/>
  <c r="M28" i="6"/>
  <c r="D17" i="6"/>
  <c r="D40" i="6" s="1"/>
  <c r="V17" i="6"/>
  <c r="V40" i="6" s="1"/>
  <c r="F28" i="6"/>
  <c r="K28" i="6"/>
  <c r="O17" i="6"/>
  <c r="S28" i="6"/>
  <c r="L17" i="6"/>
  <c r="L40" i="6" s="1"/>
  <c r="R28" i="6"/>
  <c r="M17" i="6"/>
  <c r="M40" i="6" s="1"/>
  <c r="G28" i="6"/>
  <c r="T16" i="6"/>
  <c r="K17" i="6"/>
  <c r="K40" i="6" s="1"/>
  <c r="Q28" i="6"/>
  <c r="F16" i="6"/>
  <c r="E16" i="6"/>
  <c r="P16" i="6"/>
  <c r="R16" i="6"/>
  <c r="Q16" i="6"/>
  <c r="AA6" i="6"/>
  <c r="AH3" i="6"/>
  <c r="AG3" i="6"/>
  <c r="AF4" i="6"/>
  <c r="AF3" i="6"/>
  <c r="AE3" i="6"/>
  <c r="AE4" i="6"/>
  <c r="AH4" i="6"/>
  <c r="AG4" i="6"/>
  <c r="I4" i="13" l="1"/>
  <c r="AA11" i="6"/>
  <c r="AA52" i="6" s="1"/>
  <c r="P20" i="13"/>
  <c r="P21" i="13" s="1"/>
  <c r="D13" i="14"/>
  <c r="D12" i="14" s="1"/>
  <c r="D5" i="14"/>
  <c r="B33" i="10"/>
  <c r="B34" i="10" s="1"/>
  <c r="D8" i="14"/>
  <c r="B110" i="15"/>
  <c r="N38" i="15"/>
  <c r="Q20" i="13"/>
  <c r="AH38" i="6"/>
  <c r="AH37" i="6"/>
  <c r="X63" i="6" s="1"/>
  <c r="AH36" i="6"/>
  <c r="AH34" i="6"/>
  <c r="AH33" i="6"/>
  <c r="AH32" i="6"/>
  <c r="AH31" i="6"/>
  <c r="W38" i="6" s="1"/>
  <c r="AH29" i="6"/>
  <c r="AH28" i="6"/>
  <c r="AH27" i="6"/>
  <c r="AH26" i="6"/>
  <c r="AH25" i="6"/>
  <c r="F19" i="6"/>
  <c r="R19" i="6"/>
  <c r="E19" i="6"/>
  <c r="E40" i="6"/>
  <c r="E56" i="6" s="1"/>
  <c r="P40" i="6"/>
  <c r="P56" i="6" s="1"/>
  <c r="J40" i="6"/>
  <c r="J56" i="6" s="1"/>
  <c r="G40" i="6"/>
  <c r="G56" i="6" s="1"/>
  <c r="O31" i="6"/>
  <c r="O40" i="6"/>
  <c r="O56" i="6" s="1"/>
  <c r="W12" i="6"/>
  <c r="AE12" i="7"/>
  <c r="X31" i="7" s="1"/>
  <c r="X32" i="7" s="1"/>
  <c r="S18" i="6"/>
  <c r="S19" i="6"/>
  <c r="G18" i="6"/>
  <c r="G19" i="6"/>
  <c r="S41" i="6"/>
  <c r="S56" i="6"/>
  <c r="AE11" i="7"/>
  <c r="R41" i="6"/>
  <c r="R56" i="6"/>
  <c r="H41" i="6"/>
  <c r="H56" i="6"/>
  <c r="AE9" i="7"/>
  <c r="AE8" i="7"/>
  <c r="W11" i="7" s="1"/>
  <c r="T41" i="6"/>
  <c r="T56" i="6"/>
  <c r="H19" i="6"/>
  <c r="R18" i="6"/>
  <c r="C39" i="7"/>
  <c r="D70" i="6" s="1"/>
  <c r="F18" i="6"/>
  <c r="F56" i="6"/>
  <c r="Q56" i="6"/>
  <c r="Q19" i="6"/>
  <c r="H18" i="6"/>
  <c r="J19" i="6"/>
  <c r="K31" i="6"/>
  <c r="K33" i="6" s="1"/>
  <c r="M31" i="6"/>
  <c r="M33" i="6" s="1"/>
  <c r="L31" i="6"/>
  <c r="I31" i="6"/>
  <c r="I33" i="6" s="1"/>
  <c r="J31" i="6"/>
  <c r="J33" i="6" s="1"/>
  <c r="D31" i="6"/>
  <c r="S31" i="6"/>
  <c r="S33" i="6" s="1"/>
  <c r="Q31" i="6"/>
  <c r="Q33" i="6" s="1"/>
  <c r="P19" i="6"/>
  <c r="T18" i="6"/>
  <c r="T19" i="6"/>
  <c r="E31" i="6"/>
  <c r="E33" i="6" s="1"/>
  <c r="G31" i="6"/>
  <c r="P31" i="6"/>
  <c r="P33" i="6" s="1"/>
  <c r="Q18" i="6"/>
  <c r="U31" i="6"/>
  <c r="R31" i="6"/>
  <c r="F31" i="6"/>
  <c r="T31" i="6"/>
  <c r="N31" i="6"/>
  <c r="H31" i="6"/>
  <c r="V31" i="6"/>
  <c r="X7" i="6"/>
  <c r="F3" i="13" s="1"/>
  <c r="Y7" i="6"/>
  <c r="G3" i="13" s="1"/>
  <c r="E39" i="7"/>
  <c r="F70" i="6" s="1"/>
  <c r="J37" i="7"/>
  <c r="I39" i="7"/>
  <c r="J70" i="6" s="1"/>
  <c r="L37" i="7"/>
  <c r="K39" i="7"/>
  <c r="L70" i="6" s="1"/>
  <c r="U37" i="7"/>
  <c r="T39" i="7"/>
  <c r="U70" i="6" s="1"/>
  <c r="M37" i="7"/>
  <c r="L39" i="7"/>
  <c r="M70" i="6" s="1"/>
  <c r="O37" i="7"/>
  <c r="N39" i="7"/>
  <c r="O70" i="6" s="1"/>
  <c r="P37" i="7"/>
  <c r="O39" i="7"/>
  <c r="P70" i="6" s="1"/>
  <c r="G37" i="7"/>
  <c r="F39" i="7"/>
  <c r="G70" i="6" s="1"/>
  <c r="K37" i="7"/>
  <c r="J39" i="7"/>
  <c r="K70" i="6" s="1"/>
  <c r="H37" i="7"/>
  <c r="G39" i="7"/>
  <c r="H70" i="6" s="1"/>
  <c r="S37" i="7"/>
  <c r="R39" i="7"/>
  <c r="S70" i="6" s="1"/>
  <c r="Q37" i="7"/>
  <c r="Q39" i="7"/>
  <c r="R70" i="6" s="1"/>
  <c r="P39" i="7"/>
  <c r="Q70" i="6" s="1"/>
  <c r="T37" i="7"/>
  <c r="S39" i="7"/>
  <c r="T70" i="6" s="1"/>
  <c r="M39" i="7"/>
  <c r="N70" i="6" s="1"/>
  <c r="I37" i="7"/>
  <c r="H39" i="7"/>
  <c r="I70" i="6" s="1"/>
  <c r="D39" i="7"/>
  <c r="E70" i="6" s="1"/>
  <c r="C37" i="7"/>
  <c r="N19" i="6"/>
  <c r="U18" i="6"/>
  <c r="I18" i="6"/>
  <c r="J18" i="6"/>
  <c r="M19" i="6"/>
  <c r="U19" i="6"/>
  <c r="L19" i="6"/>
  <c r="K19" i="6"/>
  <c r="P41" i="6"/>
  <c r="I19" i="6"/>
  <c r="I56" i="6"/>
  <c r="O19" i="6"/>
  <c r="P18" i="6"/>
  <c r="M18" i="6"/>
  <c r="M56" i="6"/>
  <c r="O18" i="6"/>
  <c r="L18" i="6"/>
  <c r="L56" i="6"/>
  <c r="V19" i="6"/>
  <c r="V56" i="6"/>
  <c r="V18" i="6"/>
  <c r="D19" i="6"/>
  <c r="D56" i="6"/>
  <c r="E18" i="6"/>
  <c r="N18" i="6"/>
  <c r="K18" i="6"/>
  <c r="K56" i="6"/>
  <c r="AI4" i="6"/>
  <c r="AI3" i="6"/>
  <c r="D6" i="14" l="1"/>
  <c r="D7" i="14"/>
  <c r="D14" i="14"/>
  <c r="Y63" i="6"/>
  <c r="B111" i="15"/>
  <c r="N39" i="15"/>
  <c r="H5" i="10"/>
  <c r="B32" i="10"/>
  <c r="C17" i="10" s="1"/>
  <c r="B43" i="10"/>
  <c r="B44" i="10" s="1"/>
  <c r="W63" i="6"/>
  <c r="AA63" i="6"/>
  <c r="AA62" i="6" s="1"/>
  <c r="Q21" i="13"/>
  <c r="Z63" i="6"/>
  <c r="Z62" i="6" s="1"/>
  <c r="Y38" i="6"/>
  <c r="X38" i="6"/>
  <c r="Y77" i="6"/>
  <c r="Y76" i="6" s="1"/>
  <c r="G14" i="13" s="1"/>
  <c r="AA77" i="6"/>
  <c r="AA76" i="6" s="1"/>
  <c r="W77" i="6"/>
  <c r="W76" i="6" s="1"/>
  <c r="E14" i="13" s="1"/>
  <c r="Z77" i="6"/>
  <c r="X77" i="6"/>
  <c r="X76" i="6" s="1"/>
  <c r="F14" i="13" s="1"/>
  <c r="Z38" i="6"/>
  <c r="AA38" i="6"/>
  <c r="Y54" i="6"/>
  <c r="Y55" i="6" s="1"/>
  <c r="AA54" i="6"/>
  <c r="AA55" i="6" s="1"/>
  <c r="X54" i="6"/>
  <c r="X55" i="6" s="1"/>
  <c r="W54" i="6"/>
  <c r="W55" i="6" s="1"/>
  <c r="Z54" i="6"/>
  <c r="Z55" i="6" s="1"/>
  <c r="Y51" i="6"/>
  <c r="Z51" i="6"/>
  <c r="X51" i="6"/>
  <c r="X50" i="6" s="1"/>
  <c r="W51" i="6"/>
  <c r="W50" i="6" s="1"/>
  <c r="AA51" i="6"/>
  <c r="AA50" i="6" s="1"/>
  <c r="W48" i="6"/>
  <c r="W49" i="6" s="1"/>
  <c r="Y48" i="6"/>
  <c r="Y49" i="6" s="1"/>
  <c r="Z48" i="6"/>
  <c r="Z49" i="6" s="1"/>
  <c r="AA48" i="6"/>
  <c r="AA49" i="6" s="1"/>
  <c r="X48" i="6"/>
  <c r="X49" i="6" s="1"/>
  <c r="Y43" i="6"/>
  <c r="Y44" i="6" s="1"/>
  <c r="W43" i="6"/>
  <c r="W44" i="6" s="1"/>
  <c r="X43" i="6"/>
  <c r="X44" i="6" s="1"/>
  <c r="Z43" i="6"/>
  <c r="Z44" i="6" s="1"/>
  <c r="AA43" i="6"/>
  <c r="AA44" i="6" s="1"/>
  <c r="Y26" i="6"/>
  <c r="Y25" i="6" s="1"/>
  <c r="G9" i="13" s="1"/>
  <c r="Z26" i="6"/>
  <c r="Z25" i="6" s="1"/>
  <c r="H9" i="13" s="1"/>
  <c r="AA26" i="6"/>
  <c r="AA25" i="6" s="1"/>
  <c r="I9" i="13" s="1"/>
  <c r="W26" i="6"/>
  <c r="W25" i="6" s="1"/>
  <c r="E9" i="13" s="1"/>
  <c r="X26" i="6"/>
  <c r="X25" i="6" s="1"/>
  <c r="F9" i="13" s="1"/>
  <c r="Y24" i="6"/>
  <c r="Y23" i="6" s="1"/>
  <c r="W24" i="6"/>
  <c r="W23" i="6" s="1"/>
  <c r="Z24" i="6"/>
  <c r="Z23" i="6" s="1"/>
  <c r="AA24" i="6"/>
  <c r="AA23" i="6" s="1"/>
  <c r="X24" i="6"/>
  <c r="X23" i="6" s="1"/>
  <c r="J41" i="6"/>
  <c r="Y22" i="6"/>
  <c r="Y21" i="6" s="1"/>
  <c r="G7" i="13" s="1"/>
  <c r="Z22" i="6"/>
  <c r="Z21" i="6" s="1"/>
  <c r="H7" i="13" s="1"/>
  <c r="AA22" i="6"/>
  <c r="AA21" i="6" s="1"/>
  <c r="I7" i="13" s="1"/>
  <c r="W22" i="6"/>
  <c r="W21" i="6" s="1"/>
  <c r="E7" i="13" s="1"/>
  <c r="X22" i="6"/>
  <c r="X21" i="6" s="1"/>
  <c r="F7" i="13" s="1"/>
  <c r="W28" i="6"/>
  <c r="W27" i="6" s="1"/>
  <c r="E10" i="13" s="1"/>
  <c r="X28" i="6"/>
  <c r="X27" i="6" s="1"/>
  <c r="F10" i="13" s="1"/>
  <c r="Y28" i="6"/>
  <c r="Y27" i="6" s="1"/>
  <c r="G10" i="13" s="1"/>
  <c r="Z28" i="6"/>
  <c r="Z27" i="6" s="1"/>
  <c r="H10" i="13" s="1"/>
  <c r="AA28" i="6"/>
  <c r="AA27" i="6" s="1"/>
  <c r="I10" i="13" s="1"/>
  <c r="G41" i="6"/>
  <c r="W16" i="6"/>
  <c r="W15" i="6" s="1"/>
  <c r="Z16" i="6"/>
  <c r="Z15" i="6" s="1"/>
  <c r="H5" i="13" s="1"/>
  <c r="H6" i="13" s="1"/>
  <c r="AA16" i="6"/>
  <c r="AA15" i="6" s="1"/>
  <c r="I5" i="13" s="1"/>
  <c r="I6" i="13" s="1"/>
  <c r="X16" i="6"/>
  <c r="X15" i="6" s="1"/>
  <c r="F5" i="13" s="1"/>
  <c r="F6" i="13" s="1"/>
  <c r="Y16" i="6"/>
  <c r="Y15" i="6" s="1"/>
  <c r="G5" i="13" s="1"/>
  <c r="G6" i="13" s="1"/>
  <c r="E41" i="6"/>
  <c r="Y31" i="7"/>
  <c r="Y32" i="7" s="1"/>
  <c r="V31" i="7"/>
  <c r="V32" i="7" s="1"/>
  <c r="Y39" i="6"/>
  <c r="W31" i="7"/>
  <c r="W32" i="7" s="1"/>
  <c r="Y12" i="6"/>
  <c r="X12" i="6"/>
  <c r="Z31" i="7"/>
  <c r="Z32" i="7" s="1"/>
  <c r="Z76" i="6"/>
  <c r="H14" i="13" s="1"/>
  <c r="F41" i="6"/>
  <c r="Q41" i="6"/>
  <c r="X11" i="7"/>
  <c r="X12" i="7" s="1"/>
  <c r="Y11" i="7"/>
  <c r="Y14" i="7" s="1"/>
  <c r="V11" i="7"/>
  <c r="N41" i="6"/>
  <c r="N56" i="6"/>
  <c r="W12" i="7"/>
  <c r="W14" i="7"/>
  <c r="W62" i="6"/>
  <c r="X62" i="6"/>
  <c r="Y62" i="6"/>
  <c r="U41" i="6"/>
  <c r="U56" i="6"/>
  <c r="Y18" i="7"/>
  <c r="Y17" i="7" s="1"/>
  <c r="W18" i="7"/>
  <c r="W17" i="7" s="1"/>
  <c r="Z18" i="7"/>
  <c r="Z17" i="7" s="1"/>
  <c r="X18" i="7"/>
  <c r="X17" i="7" s="1"/>
  <c r="V18" i="7"/>
  <c r="V17" i="7" s="1"/>
  <c r="Z29" i="7"/>
  <c r="Z28" i="7" s="1"/>
  <c r="X29" i="7"/>
  <c r="X28" i="7" s="1"/>
  <c r="X34" i="7" s="1"/>
  <c r="W29" i="7"/>
  <c r="W28" i="7" s="1"/>
  <c r="V29" i="7"/>
  <c r="V28" i="7" s="1"/>
  <c r="Y29" i="7"/>
  <c r="Y28" i="7" s="1"/>
  <c r="M32" i="6"/>
  <c r="Z11" i="7"/>
  <c r="C40" i="7"/>
  <c r="K71" i="6"/>
  <c r="J40" i="7"/>
  <c r="J71" i="6"/>
  <c r="I40" i="7"/>
  <c r="H71" i="6"/>
  <c r="G40" i="7"/>
  <c r="I71" i="6"/>
  <c r="H40" i="7"/>
  <c r="L71" i="6"/>
  <c r="K40" i="7"/>
  <c r="G71" i="6"/>
  <c r="F40" i="7"/>
  <c r="M71" i="6"/>
  <c r="L40" i="7"/>
  <c r="P71" i="6"/>
  <c r="O40" i="7"/>
  <c r="U71" i="6"/>
  <c r="T40" i="7"/>
  <c r="R71" i="6"/>
  <c r="Q40" i="7"/>
  <c r="T71" i="6"/>
  <c r="S40" i="7"/>
  <c r="Q71" i="6"/>
  <c r="P40" i="7"/>
  <c r="S71" i="6"/>
  <c r="R40" i="7"/>
  <c r="N71" i="6"/>
  <c r="M40" i="7"/>
  <c r="O71" i="6"/>
  <c r="N40" i="7"/>
  <c r="F71" i="6"/>
  <c r="E40" i="7"/>
  <c r="E71" i="6"/>
  <c r="D40" i="7"/>
  <c r="Y50" i="6"/>
  <c r="Z50" i="6"/>
  <c r="V32" i="6"/>
  <c r="N32" i="6"/>
  <c r="I32" i="6"/>
  <c r="L33" i="6"/>
  <c r="L32" i="6"/>
  <c r="V33" i="6"/>
  <c r="J32" i="6"/>
  <c r="N33" i="6"/>
  <c r="K32" i="6"/>
  <c r="P32" i="6"/>
  <c r="R33" i="6"/>
  <c r="R32" i="6"/>
  <c r="S32" i="6"/>
  <c r="T32" i="6"/>
  <c r="T33" i="6"/>
  <c r="Q32" i="6"/>
  <c r="G33" i="6"/>
  <c r="G32" i="6"/>
  <c r="H32" i="6"/>
  <c r="H33" i="6"/>
  <c r="F33" i="6"/>
  <c r="F32" i="6"/>
  <c r="O32" i="6"/>
  <c r="O33" i="6"/>
  <c r="Z7" i="6"/>
  <c r="H3" i="13" s="1"/>
  <c r="AA7" i="6"/>
  <c r="I3" i="13" s="1"/>
  <c r="S57" i="6"/>
  <c r="R59" i="6"/>
  <c r="R65" i="6" s="1"/>
  <c r="R79" i="6" s="1"/>
  <c r="H59" i="6"/>
  <c r="H65" i="6" s="1"/>
  <c r="H79" i="6" s="1"/>
  <c r="T59" i="6"/>
  <c r="T65" i="6" s="1"/>
  <c r="T79" i="6" s="1"/>
  <c r="T80" i="6" s="1"/>
  <c r="S59" i="6"/>
  <c r="S65" i="6" s="1"/>
  <c r="S79" i="6" s="1"/>
  <c r="R57" i="6"/>
  <c r="H57" i="6"/>
  <c r="D33" i="6"/>
  <c r="E32" i="6"/>
  <c r="U33" i="6"/>
  <c r="U32" i="6"/>
  <c r="T57" i="6"/>
  <c r="F57" i="6"/>
  <c r="F59" i="6"/>
  <c r="F65" i="6" s="1"/>
  <c r="F79" i="6" s="1"/>
  <c r="Q57" i="6"/>
  <c r="Q59" i="6"/>
  <c r="Q65" i="6" s="1"/>
  <c r="Q79" i="6" s="1"/>
  <c r="K41" i="6"/>
  <c r="M41" i="6"/>
  <c r="J59" i="6"/>
  <c r="J65" i="6" s="1"/>
  <c r="J79" i="6" s="1"/>
  <c r="J57" i="6"/>
  <c r="P59" i="6"/>
  <c r="P65" i="6" s="1"/>
  <c r="P79" i="6" s="1"/>
  <c r="P57" i="6"/>
  <c r="O41" i="6"/>
  <c r="E57" i="6"/>
  <c r="E59" i="6"/>
  <c r="E65" i="6" s="1"/>
  <c r="E79" i="6" s="1"/>
  <c r="D41" i="6"/>
  <c r="I41" i="6"/>
  <c r="V41" i="6"/>
  <c r="G57" i="6"/>
  <c r="G59" i="6"/>
  <c r="G65" i="6" s="1"/>
  <c r="G79" i="6" s="1"/>
  <c r="L41" i="6"/>
  <c r="H8" i="13" l="1"/>
  <c r="Z29" i="6"/>
  <c r="E8" i="13"/>
  <c r="W29" i="6"/>
  <c r="G8" i="13"/>
  <c r="Y29" i="6"/>
  <c r="Y30" i="6" s="1"/>
  <c r="I8" i="13"/>
  <c r="I11" i="13" s="1"/>
  <c r="I13" i="13" s="1"/>
  <c r="AA29" i="6"/>
  <c r="G11" i="13"/>
  <c r="Q80" i="6"/>
  <c r="F8" i="13"/>
  <c r="F11" i="13" s="1"/>
  <c r="X29" i="6"/>
  <c r="X30" i="6" s="1"/>
  <c r="H11" i="13"/>
  <c r="B112" i="15"/>
  <c r="N40" i="15"/>
  <c r="H3" i="10"/>
  <c r="W17" i="6"/>
  <c r="W19" i="6" s="1"/>
  <c r="E5" i="13"/>
  <c r="E6" i="13" s="1"/>
  <c r="E11" i="13" s="1"/>
  <c r="I14" i="13"/>
  <c r="H80" i="6"/>
  <c r="F80" i="6"/>
  <c r="R80" i="6"/>
  <c r="G80" i="6"/>
  <c r="S80" i="6"/>
  <c r="Y12" i="7"/>
  <c r="Y34" i="7"/>
  <c r="V34" i="7"/>
  <c r="W34" i="7"/>
  <c r="W18" i="6"/>
  <c r="Z39" i="6"/>
  <c r="W39" i="6"/>
  <c r="W40" i="6"/>
  <c r="X39" i="6"/>
  <c r="AA39" i="6"/>
  <c r="AA12" i="6"/>
  <c r="Z34" i="7"/>
  <c r="Z12" i="6"/>
  <c r="AA17" i="6"/>
  <c r="AA40" i="6" s="1"/>
  <c r="Z17" i="6"/>
  <c r="Z40" i="6" s="1"/>
  <c r="Y17" i="6"/>
  <c r="X17" i="6"/>
  <c r="X18" i="6" s="1"/>
  <c r="X14" i="7"/>
  <c r="X20" i="7" s="1"/>
  <c r="X36" i="7" s="1"/>
  <c r="D71" i="6"/>
  <c r="Z12" i="7"/>
  <c r="Z14" i="7"/>
  <c r="Z20" i="7" s="1"/>
  <c r="W20" i="7"/>
  <c r="V14" i="7"/>
  <c r="V20" i="7" s="1"/>
  <c r="V12" i="7"/>
  <c r="Y20" i="7"/>
  <c r="U59" i="6"/>
  <c r="U65" i="6" s="1"/>
  <c r="U79" i="6" s="1"/>
  <c r="U80" i="6" s="1"/>
  <c r="U57" i="6"/>
  <c r="F67" i="6"/>
  <c r="F66" i="6"/>
  <c r="S66" i="6"/>
  <c r="S67" i="6"/>
  <c r="J67" i="6"/>
  <c r="E67" i="6"/>
  <c r="G66" i="6"/>
  <c r="G67" i="6"/>
  <c r="R67" i="6"/>
  <c r="R66" i="6"/>
  <c r="Q67" i="6"/>
  <c r="Q66" i="6"/>
  <c r="P67" i="6"/>
  <c r="H66" i="6"/>
  <c r="H67" i="6"/>
  <c r="T66" i="6"/>
  <c r="T67" i="6"/>
  <c r="N57" i="6"/>
  <c r="N59" i="6"/>
  <c r="N65" i="6" s="1"/>
  <c r="N79" i="6" s="1"/>
  <c r="K59" i="6"/>
  <c r="K65" i="6" s="1"/>
  <c r="K79" i="6" s="1"/>
  <c r="K80" i="6" s="1"/>
  <c r="K57" i="6"/>
  <c r="M59" i="6"/>
  <c r="M65" i="6" s="1"/>
  <c r="M79" i="6" s="1"/>
  <c r="M57" i="6"/>
  <c r="V57" i="6"/>
  <c r="V59" i="6"/>
  <c r="V65" i="6" s="1"/>
  <c r="D59" i="6"/>
  <c r="D65" i="6" s="1"/>
  <c r="D79" i="6" s="1"/>
  <c r="E80" i="6" s="1"/>
  <c r="D57" i="6"/>
  <c r="L59" i="6"/>
  <c r="L65" i="6" s="1"/>
  <c r="L79" i="6" s="1"/>
  <c r="L57" i="6"/>
  <c r="I59" i="6"/>
  <c r="I65" i="6" s="1"/>
  <c r="I79" i="6" s="1"/>
  <c r="I80" i="6" s="1"/>
  <c r="I57" i="6"/>
  <c r="O57" i="6"/>
  <c r="O59" i="6"/>
  <c r="O65" i="6" s="1"/>
  <c r="O79" i="6" s="1"/>
  <c r="M80" i="6" l="1"/>
  <c r="O80" i="6"/>
  <c r="W31" i="6"/>
  <c r="I3" i="5" s="1"/>
  <c r="I8" i="5" s="1"/>
  <c r="B113" i="15"/>
  <c r="N41" i="15"/>
  <c r="F13" i="13"/>
  <c r="G13" i="13"/>
  <c r="H13" i="13"/>
  <c r="E13" i="13"/>
  <c r="N80" i="6"/>
  <c r="P80" i="6"/>
  <c r="Y36" i="7"/>
  <c r="Y37" i="7" s="1"/>
  <c r="J80" i="6"/>
  <c r="L80" i="6"/>
  <c r="V36" i="7"/>
  <c r="U39" i="7" s="1"/>
  <c r="W36" i="7"/>
  <c r="W39" i="7" s="1"/>
  <c r="Z19" i="6"/>
  <c r="AA19" i="6"/>
  <c r="AA31" i="6"/>
  <c r="X31" i="6"/>
  <c r="X19" i="6"/>
  <c r="Y18" i="6"/>
  <c r="Y31" i="6"/>
  <c r="Y40" i="6"/>
  <c r="X40" i="6"/>
  <c r="Y19" i="6"/>
  <c r="AA18" i="6"/>
  <c r="Z36" i="7"/>
  <c r="Z37" i="7" s="1"/>
  <c r="Z18" i="6"/>
  <c r="Z31" i="6"/>
  <c r="Z33" i="6" s="1"/>
  <c r="W30" i="6"/>
  <c r="X37" i="7"/>
  <c r="AA30" i="6"/>
  <c r="Z30" i="6"/>
  <c r="I5" i="5"/>
  <c r="I6" i="5" s="1"/>
  <c r="I7" i="5" s="1"/>
  <c r="J3" i="5" s="1"/>
  <c r="J5" i="5" s="1"/>
  <c r="I4" i="5"/>
  <c r="D67" i="6"/>
  <c r="J66" i="6"/>
  <c r="M66" i="6"/>
  <c r="M67" i="6"/>
  <c r="O67" i="6"/>
  <c r="O66" i="6"/>
  <c r="P66" i="6"/>
  <c r="N67" i="6"/>
  <c r="N66" i="6"/>
  <c r="K66" i="6"/>
  <c r="K67" i="6"/>
  <c r="L66" i="6"/>
  <c r="L67" i="6"/>
  <c r="U66" i="6"/>
  <c r="U67" i="6"/>
  <c r="E66" i="6"/>
  <c r="V66" i="6"/>
  <c r="V67" i="6"/>
  <c r="I66" i="6"/>
  <c r="I67" i="6"/>
  <c r="AQ39" i="4"/>
  <c r="AQ40" i="4"/>
  <c r="AQ35" i="4"/>
  <c r="AQ36" i="4"/>
  <c r="AQ37" i="4"/>
  <c r="AQ38" i="4"/>
  <c r="X70" i="6" l="1"/>
  <c r="F15" i="13"/>
  <c r="F17" i="13" s="1"/>
  <c r="W32" i="6"/>
  <c r="V70" i="6"/>
  <c r="V79" i="6" s="1"/>
  <c r="D15" i="13"/>
  <c r="D17" i="13" s="1"/>
  <c r="W33" i="6"/>
  <c r="B114" i="15"/>
  <c r="N42" i="15"/>
  <c r="X39" i="7"/>
  <c r="V37" i="7"/>
  <c r="AQ41" i="4"/>
  <c r="V39" i="7"/>
  <c r="W37" i="7"/>
  <c r="AA33" i="6"/>
  <c r="X33" i="6"/>
  <c r="X32" i="6"/>
  <c r="Y39" i="7"/>
  <c r="AA32" i="6"/>
  <c r="Z32" i="6"/>
  <c r="Y32" i="6"/>
  <c r="Y33" i="6"/>
  <c r="W40" i="7"/>
  <c r="X71" i="6"/>
  <c r="X40" i="7"/>
  <c r="U40" i="7"/>
  <c r="J4" i="5"/>
  <c r="J8" i="5"/>
  <c r="J6" i="5"/>
  <c r="J7" i="5" s="1"/>
  <c r="K3" i="5" s="1"/>
  <c r="K5" i="5" s="1"/>
  <c r="I9" i="5"/>
  <c r="AR25" i="4"/>
  <c r="AQ25" i="4"/>
  <c r="AP25" i="4"/>
  <c r="AO25" i="4"/>
  <c r="AR24" i="4"/>
  <c r="AQ24" i="4"/>
  <c r="AP24" i="4"/>
  <c r="AO24" i="4"/>
  <c r="AQ23" i="4"/>
  <c r="AP23" i="4"/>
  <c r="AO23" i="4"/>
  <c r="AM23" i="4"/>
  <c r="AR23" i="4" s="1"/>
  <c r="AQ22" i="4"/>
  <c r="AP22" i="4"/>
  <c r="AO22" i="4"/>
  <c r="AM22" i="4"/>
  <c r="AR22" i="4" s="1"/>
  <c r="AQ21" i="4"/>
  <c r="AP21" i="4"/>
  <c r="AO21" i="4"/>
  <c r="AM21" i="4"/>
  <c r="AR21" i="4" s="1"/>
  <c r="AR20" i="4"/>
  <c r="AQ20" i="4"/>
  <c r="AP20" i="4"/>
  <c r="AO20" i="4"/>
  <c r="AQ9" i="4"/>
  <c r="AQ8" i="4"/>
  <c r="AQ7" i="4"/>
  <c r="AQ6" i="4"/>
  <c r="Z70" i="6" l="1"/>
  <c r="H15" i="13"/>
  <c r="H17" i="13" s="1"/>
  <c r="V80" i="6"/>
  <c r="D12" i="13"/>
  <c r="D19" i="13" s="1"/>
  <c r="AH39" i="6"/>
  <c r="W70" i="6"/>
  <c r="Z39" i="7"/>
  <c r="E15" i="13"/>
  <c r="E17" i="13" s="1"/>
  <c r="Y70" i="6"/>
  <c r="Y71" i="6" s="1"/>
  <c r="G15" i="13"/>
  <c r="G17" i="13" s="1"/>
  <c r="B115" i="15"/>
  <c r="N43" i="15"/>
  <c r="M5" i="13"/>
  <c r="M6" i="13" s="1"/>
  <c r="F23" i="10"/>
  <c r="G14" i="10" s="1"/>
  <c r="E23" i="10"/>
  <c r="F14" i="10" s="1"/>
  <c r="D23" i="10"/>
  <c r="E14" i="10" s="1"/>
  <c r="G23" i="10"/>
  <c r="H14" i="10" s="1"/>
  <c r="C23" i="10"/>
  <c r="D14" i="10" s="1"/>
  <c r="D13" i="10" s="1"/>
  <c r="C27" i="10" s="1"/>
  <c r="V40" i="7"/>
  <c r="Z71" i="6"/>
  <c r="Y40" i="7"/>
  <c r="V71" i="6"/>
  <c r="K4" i="5"/>
  <c r="K8" i="5"/>
  <c r="K6" i="5"/>
  <c r="K7" i="5" s="1"/>
  <c r="L3" i="5" s="1"/>
  <c r="L5" i="5" s="1"/>
  <c r="AQ27" i="4"/>
  <c r="AP27" i="4"/>
  <c r="AO27" i="4"/>
  <c r="AO26" i="4"/>
  <c r="AP26" i="4"/>
  <c r="AR27" i="4"/>
  <c r="AR26" i="4"/>
  <c r="AQ26" i="4"/>
  <c r="AA70" i="6" l="1"/>
  <c r="AA71" i="6" s="1"/>
  <c r="I15" i="13"/>
  <c r="I17" i="13" s="1"/>
  <c r="Z40" i="7"/>
  <c r="W71" i="6"/>
  <c r="B116" i="15"/>
  <c r="N44" i="15"/>
  <c r="E13" i="10"/>
  <c r="D27" i="10" s="1"/>
  <c r="N22" i="13"/>
  <c r="M22" i="13"/>
  <c r="M9" i="13" s="1"/>
  <c r="O22" i="13"/>
  <c r="P22" i="13"/>
  <c r="Q22" i="13"/>
  <c r="L4" i="5"/>
  <c r="L8" i="5"/>
  <c r="L6" i="5"/>
  <c r="L7" i="5" s="1"/>
  <c r="M3" i="5" s="1"/>
  <c r="M5" i="5" s="1"/>
  <c r="J9" i="5"/>
  <c r="C45" i="15" l="1"/>
  <c r="Y3" i="15"/>
  <c r="N53" i="15" s="1"/>
  <c r="B117" i="15"/>
  <c r="N45" i="15"/>
  <c r="F13" i="10"/>
  <c r="M4" i="5"/>
  <c r="M8" i="5"/>
  <c r="M6" i="5"/>
  <c r="M7" i="5" s="1"/>
  <c r="N3" i="5" s="1"/>
  <c r="N5" i="5" s="1"/>
  <c r="B118" i="15" l="1"/>
  <c r="N46" i="15"/>
  <c r="G13" i="10"/>
  <c r="E27" i="10"/>
  <c r="N4" i="5"/>
  <c r="N8" i="5"/>
  <c r="N6" i="5"/>
  <c r="N7" i="5" s="1"/>
  <c r="O3" i="5" s="1"/>
  <c r="O5" i="5" s="1"/>
  <c r="K9" i="5"/>
  <c r="N54" i="15" l="1"/>
  <c r="C44" i="15"/>
  <c r="C46" i="15"/>
  <c r="B119" i="15"/>
  <c r="N47" i="15"/>
  <c r="H13" i="10"/>
  <c r="G27" i="10" s="1"/>
  <c r="F27" i="10"/>
  <c r="O8" i="5"/>
  <c r="O4" i="5"/>
  <c r="O6" i="5"/>
  <c r="O7" i="5" s="1"/>
  <c r="P3" i="5" s="1"/>
  <c r="P5" i="5" s="1"/>
  <c r="C47" i="15" l="1"/>
  <c r="C43" i="15"/>
  <c r="N55" i="15"/>
  <c r="B120" i="15"/>
  <c r="P4" i="5"/>
  <c r="P8" i="5"/>
  <c r="P6" i="5"/>
  <c r="P7" i="5" s="1"/>
  <c r="Q3" i="5" s="1"/>
  <c r="Q5" i="5" s="1"/>
  <c r="L9" i="5"/>
  <c r="N56" i="15" l="1"/>
  <c r="C42" i="15"/>
  <c r="C48" i="15"/>
  <c r="B121" i="15"/>
  <c r="Q4" i="5"/>
  <c r="Q8" i="5"/>
  <c r="Q6" i="5"/>
  <c r="Q7" i="5" s="1"/>
  <c r="R3" i="5" s="1"/>
  <c r="R5" i="5" s="1"/>
  <c r="N57" i="15" l="1"/>
  <c r="B122" i="15"/>
  <c r="R4" i="5"/>
  <c r="R8" i="5"/>
  <c r="R6" i="5"/>
  <c r="R7" i="5" s="1"/>
  <c r="M9" i="5"/>
  <c r="E27" i="13" l="1"/>
  <c r="E28" i="13" s="1"/>
  <c r="E30" i="13" s="1"/>
  <c r="N58" i="15"/>
  <c r="B123" i="15"/>
  <c r="E39" i="13"/>
  <c r="N59" i="15" l="1"/>
  <c r="B124" i="15"/>
  <c r="N60" i="15" l="1"/>
  <c r="B125" i="15"/>
  <c r="W41" i="6"/>
  <c r="W56" i="6"/>
  <c r="N9" i="5"/>
  <c r="N61" i="15" l="1"/>
  <c r="B126" i="15"/>
  <c r="AA41" i="6"/>
  <c r="AA56" i="6"/>
  <c r="W57" i="6"/>
  <c r="W59" i="6"/>
  <c r="W65" i="6" s="1"/>
  <c r="W79" i="6" s="1"/>
  <c r="E12" i="13" l="1"/>
  <c r="E19" i="13" s="1"/>
  <c r="N62" i="15"/>
  <c r="B127" i="15"/>
  <c r="W80" i="6"/>
  <c r="W67" i="6"/>
  <c r="W66" i="6"/>
  <c r="AA59" i="6"/>
  <c r="AA65" i="6" s="1"/>
  <c r="AA79" i="6" s="1"/>
  <c r="AA57" i="6"/>
  <c r="O9" i="5"/>
  <c r="I12" i="13" l="1"/>
  <c r="I18" i="13" s="1"/>
  <c r="O44" i="15"/>
  <c r="P44" i="15" s="1"/>
  <c r="R44" i="15" s="1"/>
  <c r="O45" i="15"/>
  <c r="P45" i="15" s="1"/>
  <c r="R45" i="15" s="1"/>
  <c r="O10" i="15"/>
  <c r="P10" i="15" s="1"/>
  <c r="R10" i="15" s="1"/>
  <c r="O22" i="15"/>
  <c r="P22" i="15" s="1"/>
  <c r="R22" i="15" s="1"/>
  <c r="O34" i="15"/>
  <c r="P34" i="15" s="1"/>
  <c r="R34" i="15" s="1"/>
  <c r="O11" i="15"/>
  <c r="P11" i="15" s="1"/>
  <c r="R11" i="15" s="1"/>
  <c r="O23" i="15"/>
  <c r="P23" i="15" s="1"/>
  <c r="R23" i="15" s="1"/>
  <c r="O35" i="15"/>
  <c r="P35" i="15" s="1"/>
  <c r="R35" i="15" s="1"/>
  <c r="O24" i="15"/>
  <c r="P24" i="15" s="1"/>
  <c r="R24" i="15" s="1"/>
  <c r="O38" i="15"/>
  <c r="P38" i="15" s="1"/>
  <c r="R38" i="15" s="1"/>
  <c r="O39" i="15"/>
  <c r="P39" i="15" s="1"/>
  <c r="R39" i="15" s="1"/>
  <c r="O16" i="15"/>
  <c r="P16" i="15" s="1"/>
  <c r="R16" i="15" s="1"/>
  <c r="O40" i="15"/>
  <c r="P40" i="15" s="1"/>
  <c r="R40" i="15" s="1"/>
  <c r="O29" i="15"/>
  <c r="P29" i="15" s="1"/>
  <c r="R29" i="15" s="1"/>
  <c r="O18" i="15"/>
  <c r="P18" i="15" s="1"/>
  <c r="R18" i="15" s="1"/>
  <c r="O31" i="15"/>
  <c r="P31" i="15" s="1"/>
  <c r="R31" i="15" s="1"/>
  <c r="O32" i="15"/>
  <c r="P32" i="15" s="1"/>
  <c r="R32" i="15" s="1"/>
  <c r="O21" i="15"/>
  <c r="P21" i="15" s="1"/>
  <c r="R21" i="15" s="1"/>
  <c r="O36" i="15"/>
  <c r="P36" i="15" s="1"/>
  <c r="R36" i="15" s="1"/>
  <c r="O25" i="15"/>
  <c r="P25" i="15" s="1"/>
  <c r="R25" i="15" s="1"/>
  <c r="O12" i="15"/>
  <c r="P12" i="15" s="1"/>
  <c r="R12" i="15" s="1"/>
  <c r="O37" i="15"/>
  <c r="P37" i="15" s="1"/>
  <c r="R37" i="15" s="1"/>
  <c r="O2" i="15"/>
  <c r="P2" i="15" s="1"/>
  <c r="R2" i="15" s="1"/>
  <c r="O14" i="15"/>
  <c r="P14" i="15" s="1"/>
  <c r="R14" i="15" s="1"/>
  <c r="O26" i="15"/>
  <c r="P26" i="15" s="1"/>
  <c r="R26" i="15" s="1"/>
  <c r="O3" i="15"/>
  <c r="P3" i="15" s="1"/>
  <c r="R3" i="15" s="1"/>
  <c r="O30" i="15"/>
  <c r="P30" i="15" s="1"/>
  <c r="R30" i="15" s="1"/>
  <c r="O8" i="15"/>
  <c r="P8" i="15" s="1"/>
  <c r="R8" i="15" s="1"/>
  <c r="O13" i="15"/>
  <c r="P13" i="15" s="1"/>
  <c r="R13" i="15" s="1"/>
  <c r="O27" i="15"/>
  <c r="P27" i="15" s="1"/>
  <c r="R27" i="15" s="1"/>
  <c r="O4" i="15"/>
  <c r="P4" i="15" s="1"/>
  <c r="R4" i="15" s="1"/>
  <c r="O28" i="15"/>
  <c r="P28" i="15" s="1"/>
  <c r="R28" i="15" s="1"/>
  <c r="O5" i="15"/>
  <c r="P5" i="15" s="1"/>
  <c r="R5" i="15" s="1"/>
  <c r="O17" i="15"/>
  <c r="P17" i="15" s="1"/>
  <c r="R17" i="15" s="1"/>
  <c r="O41" i="15"/>
  <c r="P41" i="15" s="1"/>
  <c r="R41" i="15" s="1"/>
  <c r="O42" i="15"/>
  <c r="P42" i="15" s="1"/>
  <c r="R42" i="15" s="1"/>
  <c r="O19" i="15"/>
  <c r="P19" i="15" s="1"/>
  <c r="R19" i="15" s="1"/>
  <c r="O9" i="15"/>
  <c r="P9" i="15" s="1"/>
  <c r="R9" i="15" s="1"/>
  <c r="O15" i="15"/>
  <c r="P15" i="15" s="1"/>
  <c r="R15" i="15" s="1"/>
  <c r="O6" i="15"/>
  <c r="P6" i="15" s="1"/>
  <c r="R6" i="15" s="1"/>
  <c r="O43" i="15"/>
  <c r="P43" i="15" s="1"/>
  <c r="R43" i="15" s="1"/>
  <c r="O20" i="15"/>
  <c r="P20" i="15" s="1"/>
  <c r="R20" i="15" s="1"/>
  <c r="O33" i="15"/>
  <c r="P33" i="15" s="1"/>
  <c r="R33" i="15" s="1"/>
  <c r="O7" i="15"/>
  <c r="P7" i="15" s="1"/>
  <c r="R7" i="15" s="1"/>
  <c r="O46" i="15"/>
  <c r="P46" i="15" s="1"/>
  <c r="R46" i="15" s="1"/>
  <c r="O47" i="15"/>
  <c r="P47" i="15" s="1"/>
  <c r="R47" i="15" s="1"/>
  <c r="N63" i="15"/>
  <c r="B128" i="15"/>
  <c r="AA67" i="6"/>
  <c r="X41" i="6"/>
  <c r="X56" i="6"/>
  <c r="N64" i="15" l="1"/>
  <c r="B129" i="15"/>
  <c r="X59" i="6"/>
  <c r="X65" i="6" s="1"/>
  <c r="X79" i="6" s="1"/>
  <c r="X57" i="6"/>
  <c r="P9" i="5"/>
  <c r="F12" i="13" l="1"/>
  <c r="F19" i="13" s="1"/>
  <c r="N65" i="15"/>
  <c r="B130" i="15"/>
  <c r="X80" i="6"/>
  <c r="X67" i="6"/>
  <c r="X66" i="6"/>
  <c r="Y41" i="6"/>
  <c r="Y56" i="6"/>
  <c r="Q9" i="5"/>
  <c r="N66" i="15" l="1"/>
  <c r="B131" i="15"/>
  <c r="Y59" i="6"/>
  <c r="Y65" i="6" s="1"/>
  <c r="Y79" i="6" s="1"/>
  <c r="Y57" i="6"/>
  <c r="R9" i="5"/>
  <c r="C130" i="15" s="1"/>
  <c r="G12" i="13" l="1"/>
  <c r="G19" i="13" s="1"/>
  <c r="E31" i="13"/>
  <c r="E32" i="13" s="1"/>
  <c r="C121" i="15"/>
  <c r="C85" i="15"/>
  <c r="C97" i="15"/>
  <c r="C109" i="15"/>
  <c r="C80" i="15"/>
  <c r="C117" i="15"/>
  <c r="C94" i="15"/>
  <c r="C107" i="15"/>
  <c r="C120" i="15"/>
  <c r="C74" i="15"/>
  <c r="C86" i="15"/>
  <c r="C98" i="15"/>
  <c r="C110" i="15"/>
  <c r="C101" i="15"/>
  <c r="C90" i="15"/>
  <c r="C103" i="15"/>
  <c r="C116" i="15"/>
  <c r="C81" i="15"/>
  <c r="C122" i="15"/>
  <c r="C83" i="15"/>
  <c r="C76" i="15"/>
  <c r="C87" i="15"/>
  <c r="C99" i="15"/>
  <c r="C111" i="15"/>
  <c r="C114" i="15"/>
  <c r="C104" i="15"/>
  <c r="C93" i="15"/>
  <c r="C84" i="15"/>
  <c r="C75" i="15"/>
  <c r="C88" i="15"/>
  <c r="C100" i="15"/>
  <c r="C112" i="15"/>
  <c r="C91" i="15"/>
  <c r="C118" i="15"/>
  <c r="C119" i="15"/>
  <c r="C77" i="15"/>
  <c r="C89" i="15"/>
  <c r="C113" i="15"/>
  <c r="C102" i="15"/>
  <c r="C115" i="15"/>
  <c r="C92" i="15"/>
  <c r="C105" i="15"/>
  <c r="C106" i="15"/>
  <c r="C78" i="15"/>
  <c r="C96" i="15"/>
  <c r="C79" i="15"/>
  <c r="C82" i="15"/>
  <c r="C95" i="15"/>
  <c r="C108" i="15"/>
  <c r="C123" i="15"/>
  <c r="C124" i="15"/>
  <c r="C125" i="15"/>
  <c r="C126" i="15"/>
  <c r="C127" i="15"/>
  <c r="C128" i="15"/>
  <c r="C129" i="15"/>
  <c r="N67" i="15"/>
  <c r="C131" i="15"/>
  <c r="B132" i="15"/>
  <c r="Y80" i="6"/>
  <c r="Y67" i="6"/>
  <c r="Y66" i="6"/>
  <c r="Z41" i="6"/>
  <c r="Z56" i="6"/>
  <c r="N68" i="15" l="1"/>
  <c r="C132" i="15"/>
  <c r="B133" i="15"/>
  <c r="Z59" i="6"/>
  <c r="Z65" i="6" s="1"/>
  <c r="Z79" i="6" s="1"/>
  <c r="D17" i="14" s="1"/>
  <c r="Z57" i="6"/>
  <c r="Q67" i="15" l="1"/>
  <c r="H12" i="13"/>
  <c r="H19" i="13" s="1"/>
  <c r="Q65" i="15"/>
  <c r="Q37" i="15"/>
  <c r="Q56" i="15"/>
  <c r="Q45" i="15"/>
  <c r="Q27" i="15"/>
  <c r="Q10" i="15"/>
  <c r="Q13" i="15"/>
  <c r="Q47" i="15"/>
  <c r="Q20" i="15"/>
  <c r="Q62" i="15"/>
  <c r="Q66" i="15"/>
  <c r="Q53" i="15"/>
  <c r="Q44" i="15"/>
  <c r="Q21" i="15"/>
  <c r="Q58" i="15"/>
  <c r="Q33" i="15"/>
  <c r="Q22" i="15"/>
  <c r="Q29" i="15"/>
  <c r="Q3" i="15"/>
  <c r="Q35" i="15"/>
  <c r="Q28" i="15"/>
  <c r="Q60" i="15"/>
  <c r="Q5" i="15"/>
  <c r="Q18" i="15"/>
  <c r="Q32" i="15"/>
  <c r="Q57" i="15"/>
  <c r="Q16" i="15"/>
  <c r="Q61" i="15"/>
  <c r="Q40" i="15"/>
  <c r="Q24" i="15"/>
  <c r="Q59" i="15"/>
  <c r="Q23" i="15"/>
  <c r="Q14" i="15"/>
  <c r="Q26" i="15"/>
  <c r="Q41" i="15"/>
  <c r="Q38" i="15"/>
  <c r="Q54" i="15"/>
  <c r="Q30" i="15"/>
  <c r="Q64" i="15"/>
  <c r="Q17" i="15"/>
  <c r="Q43" i="15"/>
  <c r="Q15" i="15"/>
  <c r="Q6" i="15"/>
  <c r="Q2" i="15"/>
  <c r="Q46" i="15"/>
  <c r="Q12" i="15"/>
  <c r="Q34" i="15"/>
  <c r="Q9" i="15"/>
  <c r="Q31" i="15"/>
  <c r="Q8" i="15"/>
  <c r="Q36" i="15"/>
  <c r="Q11" i="15"/>
  <c r="Q55" i="15"/>
  <c r="Q42" i="15"/>
  <c r="Q63" i="15"/>
  <c r="Q7" i="15"/>
  <c r="Q4" i="15"/>
  <c r="Q39" i="15"/>
  <c r="Q25" i="15"/>
  <c r="Q19" i="15"/>
  <c r="Q68" i="15"/>
  <c r="N69" i="15"/>
  <c r="C133" i="15"/>
  <c r="B134" i="15"/>
  <c r="Z80" i="6"/>
  <c r="AA80" i="6"/>
  <c r="Z67" i="6"/>
  <c r="Z66" i="6"/>
  <c r="AA66" i="6"/>
  <c r="D15" i="14" l="1"/>
  <c r="G41" i="15"/>
  <c r="I19" i="13"/>
  <c r="Q69" i="15"/>
  <c r="O69" i="15"/>
  <c r="N70" i="15"/>
  <c r="C134" i="15"/>
  <c r="B135" i="15"/>
  <c r="I20" i="13" l="1"/>
  <c r="E20" i="13"/>
  <c r="G20" i="13"/>
  <c r="E28" i="10" s="1"/>
  <c r="H20" i="13"/>
  <c r="F20" i="13"/>
  <c r="C45" i="13"/>
  <c r="H41" i="15"/>
  <c r="F41" i="15"/>
  <c r="G46" i="15"/>
  <c r="G43" i="15"/>
  <c r="G42" i="15"/>
  <c r="G45" i="15"/>
  <c r="G48" i="15"/>
  <c r="G47" i="15"/>
  <c r="G44" i="15"/>
  <c r="O61" i="15"/>
  <c r="O60" i="15"/>
  <c r="O54" i="15"/>
  <c r="O57" i="15"/>
  <c r="O59" i="15"/>
  <c r="O53" i="15"/>
  <c r="O62" i="15"/>
  <c r="O56" i="15"/>
  <c r="D16" i="14"/>
  <c r="D18" i="14" s="1"/>
  <c r="O58" i="15"/>
  <c r="O55" i="15"/>
  <c r="O63" i="15"/>
  <c r="O64" i="15"/>
  <c r="O65" i="15"/>
  <c r="O66" i="15"/>
  <c r="O67" i="15"/>
  <c r="O68" i="15"/>
  <c r="D28" i="10"/>
  <c r="F28" i="10"/>
  <c r="R69" i="15"/>
  <c r="P69" i="15"/>
  <c r="Q70" i="15"/>
  <c r="O70" i="15"/>
  <c r="N71" i="15"/>
  <c r="C135" i="15"/>
  <c r="B136" i="15"/>
  <c r="C28" i="10"/>
  <c r="G28" i="10"/>
  <c r="D19" i="14" l="1"/>
  <c r="P63" i="15"/>
  <c r="R63" i="15"/>
  <c r="P55" i="15"/>
  <c r="R55" i="15"/>
  <c r="R58" i="15"/>
  <c r="P58" i="15"/>
  <c r="P56" i="15"/>
  <c r="R56" i="15"/>
  <c r="P62" i="15"/>
  <c r="R62" i="15"/>
  <c r="P59" i="15"/>
  <c r="R59" i="15"/>
  <c r="R61" i="15"/>
  <c r="P61" i="15"/>
  <c r="E41" i="15"/>
  <c r="F46" i="15"/>
  <c r="F47" i="15"/>
  <c r="F44" i="15"/>
  <c r="F45" i="15"/>
  <c r="F43" i="15"/>
  <c r="F42" i="15"/>
  <c r="F48" i="15"/>
  <c r="P53" i="15"/>
  <c r="R53" i="15"/>
  <c r="R67" i="15"/>
  <c r="P67" i="15"/>
  <c r="R66" i="15"/>
  <c r="P66" i="15"/>
  <c r="P54" i="15"/>
  <c r="R54" i="15"/>
  <c r="I41" i="15"/>
  <c r="H42" i="15"/>
  <c r="H43" i="15"/>
  <c r="H47" i="15"/>
  <c r="H48" i="15"/>
  <c r="H45" i="15"/>
  <c r="H44" i="15"/>
  <c r="H46" i="15"/>
  <c r="R64" i="15"/>
  <c r="P64" i="15"/>
  <c r="P68" i="15"/>
  <c r="R68" i="15"/>
  <c r="R57" i="15"/>
  <c r="P57" i="15"/>
  <c r="P65" i="15"/>
  <c r="R65" i="15"/>
  <c r="R60" i="15"/>
  <c r="P60" i="15"/>
  <c r="D16" i="10"/>
  <c r="C31" i="10"/>
  <c r="Q71" i="15"/>
  <c r="O71" i="15"/>
  <c r="N72" i="15"/>
  <c r="R70" i="15"/>
  <c r="P70" i="15"/>
  <c r="C136" i="15"/>
  <c r="B137" i="15"/>
  <c r="D41" i="15" l="1"/>
  <c r="E47" i="15"/>
  <c r="E48" i="15"/>
  <c r="E45" i="15"/>
  <c r="E43" i="15"/>
  <c r="E46" i="15"/>
  <c r="E44" i="15"/>
  <c r="E42" i="15"/>
  <c r="J41" i="15"/>
  <c r="I45" i="15"/>
  <c r="I47" i="15"/>
  <c r="I43" i="15"/>
  <c r="I46" i="15"/>
  <c r="I44" i="15"/>
  <c r="I48" i="15"/>
  <c r="I42" i="15"/>
  <c r="D31" i="10"/>
  <c r="C33" i="10"/>
  <c r="C43" i="10" s="1"/>
  <c r="C44" i="10" s="1"/>
  <c r="C38" i="10"/>
  <c r="C39" i="10" s="1"/>
  <c r="D36" i="10" s="1"/>
  <c r="M14" i="13"/>
  <c r="H17" i="5"/>
  <c r="I13" i="5" s="1"/>
  <c r="E16" i="10"/>
  <c r="N73" i="15"/>
  <c r="O72" i="15"/>
  <c r="Q72" i="15"/>
  <c r="R71" i="15"/>
  <c r="P71" i="15"/>
  <c r="C137" i="15"/>
  <c r="B138" i="15"/>
  <c r="J46" i="15" l="1"/>
  <c r="J42" i="15"/>
  <c r="J47" i="15"/>
  <c r="J45" i="15"/>
  <c r="J48" i="15"/>
  <c r="J43" i="15"/>
  <c r="J44" i="15"/>
  <c r="D42" i="15"/>
  <c r="D43" i="15"/>
  <c r="D45" i="15"/>
  <c r="D48" i="15"/>
  <c r="D46" i="15"/>
  <c r="D44" i="15"/>
  <c r="D47" i="15"/>
  <c r="F16" i="10"/>
  <c r="G16" i="10" s="1"/>
  <c r="H16" i="10" s="1"/>
  <c r="N14" i="13"/>
  <c r="H27" i="5"/>
  <c r="I23" i="5" s="1"/>
  <c r="I18" i="5"/>
  <c r="I15" i="5"/>
  <c r="I16" i="5" s="1"/>
  <c r="I17" i="5" s="1"/>
  <c r="J13" i="5" s="1"/>
  <c r="I14" i="5"/>
  <c r="E31" i="10"/>
  <c r="D33" i="10"/>
  <c r="D34" i="10" s="1"/>
  <c r="C40" i="10"/>
  <c r="D37" i="10" s="1"/>
  <c r="D38" i="10" s="1"/>
  <c r="D39" i="10" s="1"/>
  <c r="E36" i="10" s="1"/>
  <c r="C32" i="10"/>
  <c r="D17" i="10" s="1"/>
  <c r="C34" i="10"/>
  <c r="P72" i="15"/>
  <c r="R72" i="15"/>
  <c r="O73" i="15"/>
  <c r="N74" i="15"/>
  <c r="Q73" i="15"/>
  <c r="C138" i="15"/>
  <c r="B139" i="15"/>
  <c r="H37" i="5" l="1"/>
  <c r="I33" i="5" s="1"/>
  <c r="O14" i="13"/>
  <c r="D43" i="10"/>
  <c r="D44" i="10" s="1"/>
  <c r="D40" i="10"/>
  <c r="E37" i="10" s="1"/>
  <c r="D32" i="10"/>
  <c r="E17" i="10" s="1"/>
  <c r="F31" i="10"/>
  <c r="F33" i="10" s="1"/>
  <c r="E34" i="10"/>
  <c r="J15" i="5"/>
  <c r="J16" i="5" s="1"/>
  <c r="J17" i="5" s="1"/>
  <c r="K13" i="5" s="1"/>
  <c r="J18" i="5"/>
  <c r="J14" i="5"/>
  <c r="I19" i="5"/>
  <c r="I38" i="5"/>
  <c r="I25" i="5"/>
  <c r="I26" i="5" s="1"/>
  <c r="I27" i="5" s="1"/>
  <c r="J23" i="5" s="1"/>
  <c r="I24" i="5"/>
  <c r="I28" i="5"/>
  <c r="E33" i="10"/>
  <c r="E32" i="10" s="1"/>
  <c r="F17" i="10" s="1"/>
  <c r="I35" i="5"/>
  <c r="I36" i="5" s="1"/>
  <c r="I34" i="5"/>
  <c r="E43" i="10"/>
  <c r="E44" i="10" s="1"/>
  <c r="E38" i="10"/>
  <c r="E39" i="10" s="1"/>
  <c r="N75" i="15"/>
  <c r="Q74" i="15"/>
  <c r="O74" i="15"/>
  <c r="R73" i="15"/>
  <c r="P73" i="15"/>
  <c r="C139" i="15"/>
  <c r="B140" i="15"/>
  <c r="P14" i="13"/>
  <c r="H47" i="5"/>
  <c r="I43" i="5" s="1"/>
  <c r="I29" i="5" l="1"/>
  <c r="J19" i="5"/>
  <c r="J28" i="5"/>
  <c r="J25" i="5"/>
  <c r="J26" i="5" s="1"/>
  <c r="J27" i="5" s="1"/>
  <c r="K23" i="5" s="1"/>
  <c r="J38" i="5"/>
  <c r="J24" i="5"/>
  <c r="K15" i="5"/>
  <c r="K16" i="5" s="1"/>
  <c r="K17" i="5" s="1"/>
  <c r="L13" i="5" s="1"/>
  <c r="K14" i="5"/>
  <c r="K18" i="5"/>
  <c r="G31" i="10"/>
  <c r="F34" i="10"/>
  <c r="F36" i="10"/>
  <c r="E40" i="10"/>
  <c r="F37" i="10" s="1"/>
  <c r="F38" i="10" s="1"/>
  <c r="I37" i="5"/>
  <c r="J33" i="5" s="1"/>
  <c r="I39" i="5"/>
  <c r="P74" i="15"/>
  <c r="R74" i="15"/>
  <c r="N76" i="15"/>
  <c r="O75" i="15"/>
  <c r="Q75" i="15"/>
  <c r="C140" i="15"/>
  <c r="B141" i="15"/>
  <c r="I44" i="5"/>
  <c r="I45" i="5"/>
  <c r="I46" i="5" s="1"/>
  <c r="I47" i="5" s="1"/>
  <c r="J43" i="5" s="1"/>
  <c r="I48" i="5"/>
  <c r="F39" i="10" l="1"/>
  <c r="G36" i="10" s="1"/>
  <c r="L18" i="5"/>
  <c r="L14" i="5"/>
  <c r="L15" i="5"/>
  <c r="L16" i="5" s="1"/>
  <c r="L17" i="5" s="1"/>
  <c r="M13" i="5" s="1"/>
  <c r="K28" i="5"/>
  <c r="K38" i="5"/>
  <c r="K25" i="5"/>
  <c r="K26" i="5" s="1"/>
  <c r="K27" i="5" s="1"/>
  <c r="L23" i="5" s="1"/>
  <c r="K24" i="5"/>
  <c r="K19" i="5"/>
  <c r="J29" i="5"/>
  <c r="I49" i="5"/>
  <c r="J34" i="5"/>
  <c r="J35" i="5"/>
  <c r="J36" i="5" s="1"/>
  <c r="R75" i="15"/>
  <c r="P75" i="15"/>
  <c r="N77" i="15"/>
  <c r="Q76" i="15"/>
  <c r="O76" i="15"/>
  <c r="C141" i="15"/>
  <c r="B142" i="15"/>
  <c r="F40" i="10"/>
  <c r="G37" i="10" s="1"/>
  <c r="F43" i="10"/>
  <c r="F44" i="10" s="1"/>
  <c r="F32" i="10"/>
  <c r="G17" i="10" s="1"/>
  <c r="J44" i="5"/>
  <c r="J45" i="5"/>
  <c r="J46" i="5" s="1"/>
  <c r="J47" i="5" s="1"/>
  <c r="K43" i="5" s="1"/>
  <c r="J48" i="5"/>
  <c r="K29" i="5" l="1"/>
  <c r="M18" i="5"/>
  <c r="M14" i="5"/>
  <c r="M15" i="5"/>
  <c r="M16" i="5" s="1"/>
  <c r="M17" i="5" s="1"/>
  <c r="N13" i="5" s="1"/>
  <c r="L28" i="5"/>
  <c r="L25" i="5"/>
  <c r="L26" i="5" s="1"/>
  <c r="L27" i="5" s="1"/>
  <c r="M23" i="5" s="1"/>
  <c r="L24" i="5"/>
  <c r="L38" i="5"/>
  <c r="L19" i="5"/>
  <c r="J49" i="5"/>
  <c r="J37" i="5"/>
  <c r="K33" i="5" s="1"/>
  <c r="J39" i="5"/>
  <c r="R76" i="15"/>
  <c r="P76" i="15"/>
  <c r="N78" i="15"/>
  <c r="O77" i="15"/>
  <c r="Q77" i="15"/>
  <c r="C142" i="15"/>
  <c r="B143" i="15"/>
  <c r="K45" i="5"/>
  <c r="K46" i="5" s="1"/>
  <c r="K47" i="5" s="1"/>
  <c r="L43" i="5" s="1"/>
  <c r="K44" i="5"/>
  <c r="K48" i="5"/>
  <c r="G33" i="10"/>
  <c r="G34" i="10" s="1"/>
  <c r="Q14" i="13"/>
  <c r="H142" i="15" s="1"/>
  <c r="G38" i="10"/>
  <c r="G39" i="10" s="1"/>
  <c r="L29" i="5" l="1"/>
  <c r="N15" i="5"/>
  <c r="N16" i="5" s="1"/>
  <c r="N17" i="5" s="1"/>
  <c r="O13" i="5" s="1"/>
  <c r="N18" i="5"/>
  <c r="N14" i="5"/>
  <c r="M24" i="5"/>
  <c r="M38" i="5"/>
  <c r="M28" i="5"/>
  <c r="M25" i="5"/>
  <c r="M26" i="5" s="1"/>
  <c r="M27" i="5" s="1"/>
  <c r="N23" i="5" s="1"/>
  <c r="M19" i="5"/>
  <c r="K34" i="5"/>
  <c r="K35" i="5"/>
  <c r="K36" i="5" s="1"/>
  <c r="K49" i="5"/>
  <c r="I29" i="13"/>
  <c r="H74" i="15"/>
  <c r="H76" i="15"/>
  <c r="H75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R77" i="15"/>
  <c r="P77" i="15"/>
  <c r="O78" i="15"/>
  <c r="N79" i="15"/>
  <c r="Q78" i="15"/>
  <c r="H143" i="15"/>
  <c r="C143" i="15"/>
  <c r="B144" i="15"/>
  <c r="H144" i="15" s="1"/>
  <c r="G32" i="10"/>
  <c r="H17" i="10" s="1"/>
  <c r="L45" i="5"/>
  <c r="L46" i="5" s="1"/>
  <c r="L47" i="5" s="1"/>
  <c r="M43" i="5" s="1"/>
  <c r="L44" i="5"/>
  <c r="L48" i="5"/>
  <c r="N19" i="5" l="1"/>
  <c r="M29" i="5"/>
  <c r="N38" i="5"/>
  <c r="N25" i="5"/>
  <c r="N26" i="5" s="1"/>
  <c r="N27" i="5" s="1"/>
  <c r="O23" i="5" s="1"/>
  <c r="N28" i="5"/>
  <c r="N24" i="5"/>
  <c r="O18" i="5"/>
  <c r="O15" i="5"/>
  <c r="O16" i="5" s="1"/>
  <c r="O17" i="5" s="1"/>
  <c r="P13" i="5" s="1"/>
  <c r="O14" i="5"/>
  <c r="K37" i="5"/>
  <c r="L33" i="5" s="1"/>
  <c r="K39" i="5"/>
  <c r="L49" i="5"/>
  <c r="P78" i="15"/>
  <c r="R78" i="15"/>
  <c r="N80" i="15"/>
  <c r="Q79" i="15"/>
  <c r="O79" i="15"/>
  <c r="C144" i="15"/>
  <c r="B145" i="15"/>
  <c r="H145" i="15" s="1"/>
  <c r="M45" i="5"/>
  <c r="M46" i="5" s="1"/>
  <c r="M47" i="5" s="1"/>
  <c r="N43" i="5" s="1"/>
  <c r="M44" i="5"/>
  <c r="M48" i="5"/>
  <c r="G43" i="10"/>
  <c r="G44" i="10" s="1"/>
  <c r="G40" i="10"/>
  <c r="M49" i="5" l="1"/>
  <c r="N29" i="5"/>
  <c r="P15" i="5"/>
  <c r="P16" i="5" s="1"/>
  <c r="P17" i="5" s="1"/>
  <c r="Q13" i="5" s="1"/>
  <c r="P18" i="5"/>
  <c r="P14" i="5"/>
  <c r="O19" i="5"/>
  <c r="O25" i="5"/>
  <c r="O26" i="5" s="1"/>
  <c r="O27" i="5" s="1"/>
  <c r="P23" i="5" s="1"/>
  <c r="O24" i="5"/>
  <c r="O28" i="5"/>
  <c r="O38" i="5"/>
  <c r="L35" i="5"/>
  <c r="L36" i="5" s="1"/>
  <c r="L34" i="5"/>
  <c r="R79" i="15"/>
  <c r="P79" i="15"/>
  <c r="N81" i="15"/>
  <c r="Q80" i="15"/>
  <c r="O80" i="15"/>
  <c r="C145" i="15"/>
  <c r="B146" i="15"/>
  <c r="H146" i="15" s="1"/>
  <c r="N48" i="5"/>
  <c r="N44" i="5"/>
  <c r="N45" i="5"/>
  <c r="N46" i="5" s="1"/>
  <c r="N47" i="5" s="1"/>
  <c r="O43" i="5" s="1"/>
  <c r="O29" i="5" l="1"/>
  <c r="P19" i="5"/>
  <c r="P28" i="5"/>
  <c r="P25" i="5"/>
  <c r="P26" i="5" s="1"/>
  <c r="P27" i="5" s="1"/>
  <c r="Q23" i="5" s="1"/>
  <c r="P24" i="5"/>
  <c r="P38" i="5"/>
  <c r="Q15" i="5"/>
  <c r="Q16" i="5" s="1"/>
  <c r="Q17" i="5" s="1"/>
  <c r="R13" i="5" s="1"/>
  <c r="Q18" i="5"/>
  <c r="Q14" i="5"/>
  <c r="L37" i="5"/>
  <c r="M33" i="5" s="1"/>
  <c r="L39" i="5"/>
  <c r="P80" i="15"/>
  <c r="R80" i="15"/>
  <c r="N82" i="15"/>
  <c r="Q81" i="15"/>
  <c r="O81" i="15"/>
  <c r="C146" i="15"/>
  <c r="B147" i="15"/>
  <c r="H147" i="15" s="1"/>
  <c r="O44" i="5"/>
  <c r="O48" i="5"/>
  <c r="O45" i="5"/>
  <c r="O46" i="5" s="1"/>
  <c r="O47" i="5" s="1"/>
  <c r="P43" i="5" s="1"/>
  <c r="N49" i="5"/>
  <c r="Q19" i="5" l="1"/>
  <c r="Q28" i="5"/>
  <c r="Q24" i="5"/>
  <c r="Q38" i="5"/>
  <c r="Q25" i="5"/>
  <c r="Q26" i="5" s="1"/>
  <c r="Q27" i="5" s="1"/>
  <c r="R23" i="5" s="1"/>
  <c r="R18" i="5"/>
  <c r="R14" i="5"/>
  <c r="R15" i="5"/>
  <c r="P29" i="5"/>
  <c r="M34" i="5"/>
  <c r="M35" i="5"/>
  <c r="M36" i="5" s="1"/>
  <c r="O49" i="5"/>
  <c r="R81" i="15"/>
  <c r="P81" i="15"/>
  <c r="O82" i="15"/>
  <c r="N83" i="15"/>
  <c r="Q82" i="15"/>
  <c r="C147" i="15"/>
  <c r="B148" i="15"/>
  <c r="H148" i="15" s="1"/>
  <c r="P45" i="5"/>
  <c r="P46" i="5" s="1"/>
  <c r="P47" i="5" s="1"/>
  <c r="Q43" i="5" s="1"/>
  <c r="P48" i="5"/>
  <c r="P44" i="5"/>
  <c r="P49" i="5" l="1"/>
  <c r="R16" i="5"/>
  <c r="R17" i="5" s="1"/>
  <c r="R25" i="5"/>
  <c r="R28" i="5"/>
  <c r="R38" i="5"/>
  <c r="R24" i="5"/>
  <c r="Q29" i="5"/>
  <c r="M37" i="5"/>
  <c r="N33" i="5" s="1"/>
  <c r="M39" i="5"/>
  <c r="O83" i="15"/>
  <c r="N84" i="15"/>
  <c r="Q83" i="15"/>
  <c r="R82" i="15"/>
  <c r="P82" i="15"/>
  <c r="C148" i="15"/>
  <c r="B149" i="15"/>
  <c r="H149" i="15" s="1"/>
  <c r="Q44" i="5"/>
  <c r="Q48" i="5"/>
  <c r="Q45" i="5"/>
  <c r="Q46" i="5" s="1"/>
  <c r="Q47" i="5" s="1"/>
  <c r="R43" i="5" s="1"/>
  <c r="F27" i="13" l="1"/>
  <c r="F28" i="13" s="1"/>
  <c r="F30" i="13" s="1"/>
  <c r="R26" i="5"/>
  <c r="R27" i="5" s="1"/>
  <c r="F39" i="13"/>
  <c r="R19" i="5"/>
  <c r="D83" i="15" s="1"/>
  <c r="N35" i="5"/>
  <c r="N36" i="5" s="1"/>
  <c r="N34" i="5"/>
  <c r="N85" i="15"/>
  <c r="Q84" i="15"/>
  <c r="O84" i="15"/>
  <c r="R83" i="15"/>
  <c r="P83" i="15"/>
  <c r="C149" i="15"/>
  <c r="B150" i="15"/>
  <c r="H150" i="15" s="1"/>
  <c r="R48" i="5"/>
  <c r="R45" i="5"/>
  <c r="R44" i="5"/>
  <c r="Q49" i="5"/>
  <c r="D130" i="15" l="1"/>
  <c r="D112" i="15"/>
  <c r="D93" i="15"/>
  <c r="D128" i="15"/>
  <c r="D125" i="15"/>
  <c r="D126" i="15"/>
  <c r="D79" i="15"/>
  <c r="D115" i="15"/>
  <c r="D87" i="15"/>
  <c r="D104" i="15"/>
  <c r="D95" i="15"/>
  <c r="D144" i="15"/>
  <c r="D116" i="15"/>
  <c r="D140" i="15"/>
  <c r="D98" i="15"/>
  <c r="D80" i="15"/>
  <c r="D74" i="15"/>
  <c r="D92" i="15"/>
  <c r="D76" i="15"/>
  <c r="D143" i="15"/>
  <c r="D142" i="15"/>
  <c r="D141" i="15"/>
  <c r="D132" i="15"/>
  <c r="D111" i="15"/>
  <c r="D129" i="15"/>
  <c r="D105" i="15"/>
  <c r="G39" i="13"/>
  <c r="D110" i="15"/>
  <c r="D100" i="15"/>
  <c r="D131" i="15"/>
  <c r="D102" i="15"/>
  <c r="D114" i="15"/>
  <c r="D97" i="15"/>
  <c r="D107" i="15"/>
  <c r="D121" i="15"/>
  <c r="D109" i="15"/>
  <c r="D75" i="15"/>
  <c r="D124" i="15"/>
  <c r="D77" i="15"/>
  <c r="F31" i="13"/>
  <c r="F32" i="13" s="1"/>
  <c r="D148" i="15"/>
  <c r="D127" i="15"/>
  <c r="D137" i="15"/>
  <c r="D149" i="15"/>
  <c r="D85" i="15"/>
  <c r="D89" i="15"/>
  <c r="D103" i="15"/>
  <c r="D101" i="15"/>
  <c r="D94" i="15"/>
  <c r="D86" i="15"/>
  <c r="G27" i="13"/>
  <c r="G28" i="13" s="1"/>
  <c r="G30" i="13" s="1"/>
  <c r="E100" i="15"/>
  <c r="E124" i="15"/>
  <c r="E110" i="15"/>
  <c r="E131" i="15"/>
  <c r="E114" i="15"/>
  <c r="E137" i="15"/>
  <c r="E142" i="15"/>
  <c r="D147" i="15"/>
  <c r="D135" i="15"/>
  <c r="D122" i="15"/>
  <c r="D117" i="15"/>
  <c r="D88" i="15"/>
  <c r="D108" i="15"/>
  <c r="D82" i="15"/>
  <c r="D123" i="15"/>
  <c r="D99" i="15"/>
  <c r="D90" i="15"/>
  <c r="D146" i="15"/>
  <c r="D106" i="15"/>
  <c r="D119" i="15"/>
  <c r="D118" i="15"/>
  <c r="D78" i="15"/>
  <c r="D139" i="15"/>
  <c r="D138" i="15"/>
  <c r="D84" i="15"/>
  <c r="D96" i="15"/>
  <c r="D136" i="15"/>
  <c r="D134" i="15"/>
  <c r="D145" i="15"/>
  <c r="D133" i="15"/>
  <c r="D113" i="15"/>
  <c r="D91" i="15"/>
  <c r="D81" i="15"/>
  <c r="D120" i="15"/>
  <c r="R29" i="5"/>
  <c r="E107" i="15" s="1"/>
  <c r="N37" i="5"/>
  <c r="O33" i="5" s="1"/>
  <c r="N39" i="5"/>
  <c r="R84" i="15"/>
  <c r="P84" i="15"/>
  <c r="N86" i="15"/>
  <c r="Q85" i="15"/>
  <c r="O85" i="15"/>
  <c r="C150" i="15"/>
  <c r="D150" i="15"/>
  <c r="B151" i="15"/>
  <c r="H151" i="15" s="1"/>
  <c r="R46" i="5"/>
  <c r="R47" i="5" s="1"/>
  <c r="E88" i="15" l="1"/>
  <c r="E96" i="15"/>
  <c r="E143" i="15"/>
  <c r="E94" i="15"/>
  <c r="E117" i="15"/>
  <c r="E126" i="15"/>
  <c r="E113" i="15"/>
  <c r="E98" i="15"/>
  <c r="E146" i="15"/>
  <c r="E79" i="15"/>
  <c r="E119" i="15"/>
  <c r="E74" i="15"/>
  <c r="E104" i="15"/>
  <c r="E90" i="15"/>
  <c r="E145" i="15"/>
  <c r="E144" i="15"/>
  <c r="E83" i="15"/>
  <c r="E78" i="15"/>
  <c r="E135" i="15"/>
  <c r="E122" i="15"/>
  <c r="E93" i="15"/>
  <c r="E89" i="15"/>
  <c r="E82" i="15"/>
  <c r="E134" i="15"/>
  <c r="E106" i="15"/>
  <c r="E129" i="15"/>
  <c r="E111" i="15"/>
  <c r="E133" i="15"/>
  <c r="E101" i="15"/>
  <c r="E92" i="15"/>
  <c r="E115" i="15"/>
  <c r="E80" i="15"/>
  <c r="E148" i="15"/>
  <c r="E132" i="15"/>
  <c r="E95" i="15"/>
  <c r="E118" i="15"/>
  <c r="E120" i="15"/>
  <c r="E136" i="15"/>
  <c r="E147" i="15"/>
  <c r="E128" i="15"/>
  <c r="E108" i="15"/>
  <c r="E123" i="15"/>
  <c r="E121" i="15"/>
  <c r="E97" i="15"/>
  <c r="E141" i="15"/>
  <c r="E105" i="15"/>
  <c r="E125" i="15"/>
  <c r="E109" i="15"/>
  <c r="E102" i="15"/>
  <c r="G31" i="13"/>
  <c r="G32" i="13" s="1"/>
  <c r="E149" i="15"/>
  <c r="E140" i="15"/>
  <c r="E127" i="15"/>
  <c r="E77" i="15"/>
  <c r="E87" i="15"/>
  <c r="E91" i="15"/>
  <c r="E76" i="15"/>
  <c r="E139" i="15"/>
  <c r="E86" i="15"/>
  <c r="E103" i="15"/>
  <c r="E75" i="15"/>
  <c r="E112" i="15"/>
  <c r="E130" i="15"/>
  <c r="E150" i="15"/>
  <c r="E138" i="15"/>
  <c r="E81" i="15"/>
  <c r="E85" i="15"/>
  <c r="E84" i="15"/>
  <c r="E99" i="15"/>
  <c r="E116" i="15"/>
  <c r="R49" i="5"/>
  <c r="I31" i="13" s="1"/>
  <c r="I39" i="13"/>
  <c r="I40" i="13" s="1"/>
  <c r="O35" i="5"/>
  <c r="O36" i="5" s="1"/>
  <c r="O34" i="5"/>
  <c r="I27" i="13"/>
  <c r="I28" i="13" s="1"/>
  <c r="I30" i="13" s="1"/>
  <c r="R85" i="15"/>
  <c r="P85" i="15"/>
  <c r="N87" i="15"/>
  <c r="O86" i="15"/>
  <c r="Q86" i="15"/>
  <c r="C151" i="15"/>
  <c r="D151" i="15"/>
  <c r="E151" i="15"/>
  <c r="B152" i="15"/>
  <c r="H152" i="15" s="1"/>
  <c r="G142" i="15" l="1"/>
  <c r="G130" i="15"/>
  <c r="G107" i="15"/>
  <c r="G106" i="15"/>
  <c r="G105" i="15"/>
  <c r="G140" i="15"/>
  <c r="G151" i="15"/>
  <c r="G141" i="15"/>
  <c r="G108" i="15"/>
  <c r="G150" i="15"/>
  <c r="G94" i="15"/>
  <c r="G129" i="15"/>
  <c r="G123" i="15"/>
  <c r="G128" i="15"/>
  <c r="G92" i="15"/>
  <c r="G121" i="15"/>
  <c r="G145" i="15"/>
  <c r="G85" i="15"/>
  <c r="G122" i="15"/>
  <c r="G146" i="15"/>
  <c r="G86" i="15"/>
  <c r="G120" i="15"/>
  <c r="G144" i="15"/>
  <c r="G110" i="15"/>
  <c r="G74" i="15"/>
  <c r="G93" i="15"/>
  <c r="G87" i="15"/>
  <c r="G143" i="15"/>
  <c r="G109" i="15"/>
  <c r="I32" i="13"/>
  <c r="G98" i="15"/>
  <c r="G82" i="15"/>
  <c r="G99" i="15"/>
  <c r="G133" i="15"/>
  <c r="G97" i="15"/>
  <c r="G81" i="15"/>
  <c r="G119" i="15"/>
  <c r="G118" i="15"/>
  <c r="G132" i="15"/>
  <c r="G80" i="15"/>
  <c r="G104" i="15"/>
  <c r="G84" i="15"/>
  <c r="G135" i="15"/>
  <c r="G83" i="15"/>
  <c r="G134" i="15"/>
  <c r="G117" i="15"/>
  <c r="G116" i="15"/>
  <c r="G96" i="15"/>
  <c r="G147" i="15"/>
  <c r="G131" i="15"/>
  <c r="G111" i="15"/>
  <c r="G95" i="15"/>
  <c r="G76" i="15"/>
  <c r="G115" i="15"/>
  <c r="G103" i="15"/>
  <c r="G91" i="15"/>
  <c r="G79" i="15"/>
  <c r="G126" i="15"/>
  <c r="G114" i="15"/>
  <c r="G102" i="15"/>
  <c r="G90" i="15"/>
  <c r="G78" i="15"/>
  <c r="G139" i="15"/>
  <c r="G149" i="15"/>
  <c r="G125" i="15"/>
  <c r="G113" i="15"/>
  <c r="G101" i="15"/>
  <c r="G89" i="15"/>
  <c r="G77" i="15"/>
  <c r="G127" i="15"/>
  <c r="G138" i="15"/>
  <c r="G137" i="15"/>
  <c r="G148" i="15"/>
  <c r="G136" i="15"/>
  <c r="G124" i="15"/>
  <c r="G112" i="15"/>
  <c r="G100" i="15"/>
  <c r="G88" i="15"/>
  <c r="G75" i="15"/>
  <c r="O37" i="5"/>
  <c r="P33" i="5" s="1"/>
  <c r="O39" i="5"/>
  <c r="R86" i="15"/>
  <c r="P86" i="15"/>
  <c r="N88" i="15"/>
  <c r="Q87" i="15"/>
  <c r="O87" i="15"/>
  <c r="C152" i="15"/>
  <c r="G152" i="15"/>
  <c r="D152" i="15"/>
  <c r="E152" i="15"/>
  <c r="B153" i="15"/>
  <c r="H153" i="15" s="1"/>
  <c r="P34" i="5" l="1"/>
  <c r="P35" i="5"/>
  <c r="P36" i="5" s="1"/>
  <c r="R87" i="15"/>
  <c r="P87" i="15"/>
  <c r="N89" i="15"/>
  <c r="Q88" i="15"/>
  <c r="O88" i="15"/>
  <c r="E153" i="15"/>
  <c r="C153" i="15"/>
  <c r="G153" i="15"/>
  <c r="D153" i="15"/>
  <c r="B154" i="15"/>
  <c r="H154" i="15" s="1"/>
  <c r="P37" i="5" l="1"/>
  <c r="Q33" i="5" s="1"/>
  <c r="P39" i="5"/>
  <c r="P88" i="15"/>
  <c r="R88" i="15"/>
  <c r="N90" i="15"/>
  <c r="O89" i="15"/>
  <c r="Q89" i="15"/>
  <c r="E154" i="15"/>
  <c r="C154" i="15"/>
  <c r="G154" i="15"/>
  <c r="D154" i="15"/>
  <c r="B155" i="15"/>
  <c r="H155" i="15" s="1"/>
  <c r="Q34" i="5" l="1"/>
  <c r="Q35" i="5"/>
  <c r="Q36" i="5" s="1"/>
  <c r="P89" i="15"/>
  <c r="R89" i="15"/>
  <c r="Q90" i="15"/>
  <c r="N91" i="15"/>
  <c r="O90" i="15"/>
  <c r="E155" i="15"/>
  <c r="C155" i="15"/>
  <c r="G155" i="15"/>
  <c r="D155" i="15"/>
  <c r="B156" i="15"/>
  <c r="H156" i="15" s="1"/>
  <c r="Q37" i="5" l="1"/>
  <c r="R33" i="5" s="1"/>
  <c r="Q39" i="5"/>
  <c r="P90" i="15"/>
  <c r="R90" i="15"/>
  <c r="N92" i="15"/>
  <c r="O91" i="15"/>
  <c r="Q91" i="15"/>
  <c r="E156" i="15"/>
  <c r="C156" i="15"/>
  <c r="G156" i="15"/>
  <c r="D156" i="15"/>
  <c r="B157" i="15"/>
  <c r="H157" i="15" s="1"/>
  <c r="R34" i="5" l="1"/>
  <c r="R35" i="5"/>
  <c r="P91" i="15"/>
  <c r="R91" i="15"/>
  <c r="N93" i="15"/>
  <c r="Q92" i="15"/>
  <c r="O92" i="15"/>
  <c r="E157" i="15"/>
  <c r="C157" i="15"/>
  <c r="G157" i="15"/>
  <c r="D157" i="15"/>
  <c r="B158" i="15"/>
  <c r="H158" i="15" s="1"/>
  <c r="R36" i="5" l="1"/>
  <c r="H39" i="13"/>
  <c r="H40" i="13" s="1"/>
  <c r="G40" i="13" s="1"/>
  <c r="F40" i="13" s="1"/>
  <c r="E40" i="13" s="1"/>
  <c r="C47" i="13" s="1"/>
  <c r="R92" i="15"/>
  <c r="P92" i="15"/>
  <c r="N94" i="15"/>
  <c r="Q93" i="15"/>
  <c r="O93" i="15"/>
  <c r="G158" i="15"/>
  <c r="D158" i="15"/>
  <c r="E158" i="15"/>
  <c r="C158" i="15"/>
  <c r="B159" i="15"/>
  <c r="H159" i="15" s="1"/>
  <c r="R39" i="5" l="1"/>
  <c r="H31" i="13" s="1"/>
  <c r="R37" i="5"/>
  <c r="R93" i="15"/>
  <c r="P93" i="15"/>
  <c r="N95" i="15"/>
  <c r="O94" i="15"/>
  <c r="Q94" i="15"/>
  <c r="G159" i="15"/>
  <c r="D159" i="15"/>
  <c r="E159" i="15"/>
  <c r="C159" i="15"/>
  <c r="B160" i="15"/>
  <c r="H160" i="15" s="1"/>
  <c r="F130" i="15" l="1"/>
  <c r="I130" i="15" s="1"/>
  <c r="J130" i="15" s="1"/>
  <c r="F83" i="15"/>
  <c r="I83" i="15" s="1"/>
  <c r="J83" i="15" s="1"/>
  <c r="F95" i="15"/>
  <c r="I95" i="15" s="1"/>
  <c r="J95" i="15" s="1"/>
  <c r="F107" i="15"/>
  <c r="I107" i="15" s="1"/>
  <c r="J107" i="15" s="1"/>
  <c r="F119" i="15"/>
  <c r="I119" i="15" s="1"/>
  <c r="J119" i="15" s="1"/>
  <c r="F85" i="15"/>
  <c r="I85" i="15" s="1"/>
  <c r="J85" i="15" s="1"/>
  <c r="F121" i="15"/>
  <c r="I121" i="15" s="1"/>
  <c r="J121" i="15" s="1"/>
  <c r="F100" i="15"/>
  <c r="I100" i="15" s="1"/>
  <c r="J100" i="15" s="1"/>
  <c r="F80" i="15"/>
  <c r="I80" i="15" s="1"/>
  <c r="J80" i="15" s="1"/>
  <c r="F105" i="15"/>
  <c r="I105" i="15" s="1"/>
  <c r="J105" i="15" s="1"/>
  <c r="F106" i="15"/>
  <c r="I106" i="15" s="1"/>
  <c r="J106" i="15" s="1"/>
  <c r="F84" i="15"/>
  <c r="I84" i="15" s="1"/>
  <c r="J84" i="15" s="1"/>
  <c r="F96" i="15"/>
  <c r="I96" i="15" s="1"/>
  <c r="J96" i="15" s="1"/>
  <c r="F108" i="15"/>
  <c r="I108" i="15" s="1"/>
  <c r="J108" i="15" s="1"/>
  <c r="F120" i="15"/>
  <c r="I120" i="15" s="1"/>
  <c r="J120" i="15" s="1"/>
  <c r="F97" i="15"/>
  <c r="I97" i="15" s="1"/>
  <c r="J97" i="15" s="1"/>
  <c r="F88" i="15"/>
  <c r="I88" i="15" s="1"/>
  <c r="J88" i="15" s="1"/>
  <c r="F125" i="15"/>
  <c r="I125" i="15" s="1"/>
  <c r="J125" i="15" s="1"/>
  <c r="H27" i="13"/>
  <c r="H28" i="13" s="1"/>
  <c r="H30" i="13" s="1"/>
  <c r="H32" i="13" s="1"/>
  <c r="E33" i="13" s="1"/>
  <c r="C46" i="13" s="1"/>
  <c r="F109" i="15"/>
  <c r="I109" i="15" s="1"/>
  <c r="J109" i="15" s="1"/>
  <c r="F74" i="15"/>
  <c r="I74" i="15" s="1"/>
  <c r="J74" i="15" s="1"/>
  <c r="F86" i="15"/>
  <c r="I86" i="15" s="1"/>
  <c r="J86" i="15" s="1"/>
  <c r="F98" i="15"/>
  <c r="I98" i="15" s="1"/>
  <c r="J98" i="15" s="1"/>
  <c r="F110" i="15"/>
  <c r="I110" i="15" s="1"/>
  <c r="J110" i="15" s="1"/>
  <c r="F122" i="15"/>
  <c r="I122" i="15" s="1"/>
  <c r="J122" i="15" s="1"/>
  <c r="F124" i="15"/>
  <c r="I124" i="15" s="1"/>
  <c r="J124" i="15" s="1"/>
  <c r="F102" i="15"/>
  <c r="I102" i="15" s="1"/>
  <c r="J102" i="15" s="1"/>
  <c r="F103" i="15"/>
  <c r="I103" i="15" s="1"/>
  <c r="J103" i="15" s="1"/>
  <c r="F92" i="15"/>
  <c r="I92" i="15" s="1"/>
  <c r="J92" i="15" s="1"/>
  <c r="F129" i="15"/>
  <c r="I129" i="15" s="1"/>
  <c r="J129" i="15" s="1"/>
  <c r="F94" i="15"/>
  <c r="I94" i="15" s="1"/>
  <c r="J94" i="15" s="1"/>
  <c r="F76" i="15"/>
  <c r="I76" i="15" s="1"/>
  <c r="J76" i="15" s="1"/>
  <c r="F87" i="15"/>
  <c r="I87" i="15" s="1"/>
  <c r="J87" i="15" s="1"/>
  <c r="F99" i="15"/>
  <c r="I99" i="15" s="1"/>
  <c r="J99" i="15" s="1"/>
  <c r="F111" i="15"/>
  <c r="I111" i="15" s="1"/>
  <c r="J111" i="15" s="1"/>
  <c r="F123" i="15"/>
  <c r="I123" i="15" s="1"/>
  <c r="J123" i="15" s="1"/>
  <c r="F113" i="15"/>
  <c r="I113" i="15" s="1"/>
  <c r="J113" i="15" s="1"/>
  <c r="F131" i="15"/>
  <c r="I131" i="15" s="1"/>
  <c r="J131" i="15" s="1"/>
  <c r="F128" i="15"/>
  <c r="I128" i="15" s="1"/>
  <c r="J128" i="15" s="1"/>
  <c r="F117" i="15"/>
  <c r="I117" i="15" s="1"/>
  <c r="J117" i="15" s="1"/>
  <c r="F75" i="15"/>
  <c r="I75" i="15" s="1"/>
  <c r="J75" i="15" s="1"/>
  <c r="F112" i="15"/>
  <c r="I112" i="15" s="1"/>
  <c r="J112" i="15" s="1"/>
  <c r="F114" i="15"/>
  <c r="I114" i="15" s="1"/>
  <c r="J114" i="15" s="1"/>
  <c r="F115" i="15"/>
  <c r="I115" i="15" s="1"/>
  <c r="J115" i="15" s="1"/>
  <c r="F81" i="15"/>
  <c r="I81" i="15" s="1"/>
  <c r="J81" i="15" s="1"/>
  <c r="F77" i="15"/>
  <c r="I77" i="15" s="1"/>
  <c r="J77" i="15" s="1"/>
  <c r="F89" i="15"/>
  <c r="I89" i="15" s="1"/>
  <c r="J89" i="15" s="1"/>
  <c r="F101" i="15"/>
  <c r="I101" i="15" s="1"/>
  <c r="J101" i="15" s="1"/>
  <c r="F91" i="15"/>
  <c r="I91" i="15" s="1"/>
  <c r="J91" i="15" s="1"/>
  <c r="F104" i="15"/>
  <c r="I104" i="15" s="1"/>
  <c r="J104" i="15" s="1"/>
  <c r="F78" i="15"/>
  <c r="I78" i="15" s="1"/>
  <c r="J78" i="15" s="1"/>
  <c r="F90" i="15"/>
  <c r="I90" i="15" s="1"/>
  <c r="J90" i="15" s="1"/>
  <c r="F126" i="15"/>
  <c r="I126" i="15" s="1"/>
  <c r="J126" i="15" s="1"/>
  <c r="F79" i="15"/>
  <c r="I79" i="15" s="1"/>
  <c r="J79" i="15" s="1"/>
  <c r="F127" i="15"/>
  <c r="I127" i="15" s="1"/>
  <c r="J127" i="15" s="1"/>
  <c r="F116" i="15"/>
  <c r="I116" i="15" s="1"/>
  <c r="J116" i="15" s="1"/>
  <c r="F93" i="15"/>
  <c r="I93" i="15" s="1"/>
  <c r="J93" i="15" s="1"/>
  <c r="F118" i="15"/>
  <c r="I118" i="15" s="1"/>
  <c r="J118" i="15" s="1"/>
  <c r="F82" i="15"/>
  <c r="I82" i="15" s="1"/>
  <c r="J82" i="15" s="1"/>
  <c r="F132" i="15"/>
  <c r="I132" i="15" s="1"/>
  <c r="J132" i="15" s="1"/>
  <c r="F133" i="15"/>
  <c r="I133" i="15" s="1"/>
  <c r="J133" i="15" s="1"/>
  <c r="F134" i="15"/>
  <c r="I134" i="15" s="1"/>
  <c r="J134" i="15" s="1"/>
  <c r="F135" i="15"/>
  <c r="I135" i="15" s="1"/>
  <c r="J135" i="15" s="1"/>
  <c r="F136" i="15"/>
  <c r="I136" i="15" s="1"/>
  <c r="J136" i="15" s="1"/>
  <c r="F137" i="15"/>
  <c r="I137" i="15" s="1"/>
  <c r="J137" i="15" s="1"/>
  <c r="F138" i="15"/>
  <c r="I138" i="15" s="1"/>
  <c r="J138" i="15" s="1"/>
  <c r="F139" i="15"/>
  <c r="I139" i="15" s="1"/>
  <c r="J139" i="15" s="1"/>
  <c r="F140" i="15"/>
  <c r="I140" i="15" s="1"/>
  <c r="J140" i="15" s="1"/>
  <c r="F141" i="15"/>
  <c r="I141" i="15" s="1"/>
  <c r="J141" i="15" s="1"/>
  <c r="F142" i="15"/>
  <c r="I142" i="15" s="1"/>
  <c r="J142" i="15" s="1"/>
  <c r="F143" i="15"/>
  <c r="I143" i="15" s="1"/>
  <c r="J143" i="15" s="1"/>
  <c r="F144" i="15"/>
  <c r="I144" i="15" s="1"/>
  <c r="J144" i="15" s="1"/>
  <c r="F145" i="15"/>
  <c r="I145" i="15" s="1"/>
  <c r="J145" i="15" s="1"/>
  <c r="F146" i="15"/>
  <c r="I146" i="15" s="1"/>
  <c r="J146" i="15" s="1"/>
  <c r="F147" i="15"/>
  <c r="I147" i="15" s="1"/>
  <c r="J147" i="15" s="1"/>
  <c r="F148" i="15"/>
  <c r="I148" i="15" s="1"/>
  <c r="J148" i="15" s="1"/>
  <c r="F149" i="15"/>
  <c r="I149" i="15" s="1"/>
  <c r="J149" i="15" s="1"/>
  <c r="F150" i="15"/>
  <c r="I150" i="15" s="1"/>
  <c r="J150" i="15" s="1"/>
  <c r="F151" i="15"/>
  <c r="I151" i="15" s="1"/>
  <c r="J151" i="15" s="1"/>
  <c r="F152" i="15"/>
  <c r="I152" i="15" s="1"/>
  <c r="J152" i="15" s="1"/>
  <c r="F153" i="15"/>
  <c r="I153" i="15" s="1"/>
  <c r="J153" i="15" s="1"/>
  <c r="F154" i="15"/>
  <c r="I154" i="15" s="1"/>
  <c r="J154" i="15" s="1"/>
  <c r="F155" i="15"/>
  <c r="I155" i="15" s="1"/>
  <c r="J155" i="15" s="1"/>
  <c r="F156" i="15"/>
  <c r="I156" i="15" s="1"/>
  <c r="J156" i="15" s="1"/>
  <c r="F157" i="15"/>
  <c r="I157" i="15" s="1"/>
  <c r="J157" i="15" s="1"/>
  <c r="F158" i="15"/>
  <c r="I158" i="15" s="1"/>
  <c r="J158" i="15" s="1"/>
  <c r="F159" i="15"/>
  <c r="R94" i="15"/>
  <c r="P94" i="15"/>
  <c r="Q95" i="15"/>
  <c r="O95" i="15"/>
  <c r="N96" i="15"/>
  <c r="I159" i="15"/>
  <c r="J159" i="15" s="1"/>
  <c r="C160" i="15"/>
  <c r="G160" i="15"/>
  <c r="D160" i="15"/>
  <c r="E160" i="15"/>
  <c r="F160" i="15"/>
  <c r="B161" i="15"/>
  <c r="H161" i="15" s="1"/>
  <c r="S94" i="15" l="1"/>
  <c r="C48" i="13"/>
  <c r="S5" i="15"/>
  <c r="S59" i="15"/>
  <c r="S17" i="15"/>
  <c r="S23" i="15"/>
  <c r="S77" i="15"/>
  <c r="S83" i="15"/>
  <c r="S43" i="15"/>
  <c r="S35" i="15"/>
  <c r="S24" i="15"/>
  <c r="S36" i="15"/>
  <c r="S66" i="15"/>
  <c r="S84" i="15"/>
  <c r="S67" i="15"/>
  <c r="S37" i="15"/>
  <c r="S61" i="15"/>
  <c r="S85" i="15"/>
  <c r="S14" i="15"/>
  <c r="S8" i="15"/>
  <c r="S70" i="15"/>
  <c r="S53" i="15"/>
  <c r="S11" i="15"/>
  <c r="S65" i="15"/>
  <c r="S71" i="15"/>
  <c r="S29" i="15"/>
  <c r="S44" i="15"/>
  <c r="S45" i="15"/>
  <c r="S12" i="15"/>
  <c r="S46" i="15"/>
  <c r="S25" i="15"/>
  <c r="S47" i="15"/>
  <c r="S19" i="15"/>
  <c r="S38" i="15"/>
  <c r="S62" i="15"/>
  <c r="S86" i="15"/>
  <c r="S57" i="15"/>
  <c r="S39" i="15"/>
  <c r="S21" i="15"/>
  <c r="S3" i="15"/>
  <c r="S2" i="15"/>
  <c r="S6" i="15"/>
  <c r="S60" i="15"/>
  <c r="S18" i="15"/>
  <c r="S78" i="15"/>
  <c r="S30" i="15"/>
  <c r="S7" i="15"/>
  <c r="S79" i="15"/>
  <c r="S54" i="15"/>
  <c r="S31" i="15"/>
  <c r="S68" i="15"/>
  <c r="S27" i="15"/>
  <c r="S4" i="15"/>
  <c r="S58" i="15"/>
  <c r="S22" i="15"/>
  <c r="S55" i="15"/>
  <c r="S72" i="15"/>
  <c r="S73" i="15"/>
  <c r="S56" i="15"/>
  <c r="S80" i="15"/>
  <c r="S28" i="15"/>
  <c r="S34" i="15"/>
  <c r="S13" i="15"/>
  <c r="S20" i="15"/>
  <c r="S32" i="15"/>
  <c r="S75" i="15"/>
  <c r="S16" i="15"/>
  <c r="S76" i="15"/>
  <c r="S74" i="15"/>
  <c r="S15" i="15"/>
  <c r="S81" i="15"/>
  <c r="S63" i="15"/>
  <c r="S40" i="15"/>
  <c r="S82" i="15"/>
  <c r="S10" i="15"/>
  <c r="S26" i="15"/>
  <c r="S69" i="15"/>
  <c r="S33" i="15"/>
  <c r="S64" i="15"/>
  <c r="S9" i="15"/>
  <c r="S42" i="15"/>
  <c r="S41" i="15"/>
  <c r="S87" i="15"/>
  <c r="S88" i="15"/>
  <c r="S89" i="15"/>
  <c r="S90" i="15"/>
  <c r="S91" i="15"/>
  <c r="S92" i="15"/>
  <c r="S93" i="15"/>
  <c r="I160" i="15"/>
  <c r="J160" i="15" s="1"/>
  <c r="N97" i="15"/>
  <c r="O96" i="15"/>
  <c r="Q96" i="15"/>
  <c r="R95" i="15"/>
  <c r="S95" i="15" s="1"/>
  <c r="P95" i="15"/>
  <c r="C161" i="15"/>
  <c r="G161" i="15"/>
  <c r="D161" i="15"/>
  <c r="E161" i="15"/>
  <c r="F161" i="15"/>
  <c r="B162" i="15"/>
  <c r="H162" i="15" s="1"/>
  <c r="R96" i="15" l="1"/>
  <c r="S96" i="15" s="1"/>
  <c r="P96" i="15"/>
  <c r="O97" i="15"/>
  <c r="Q97" i="15"/>
  <c r="N98" i="15"/>
  <c r="I161" i="15"/>
  <c r="J161" i="15" s="1"/>
  <c r="F162" i="15"/>
  <c r="C162" i="15"/>
  <c r="G162" i="15"/>
  <c r="D162" i="15"/>
  <c r="E162" i="15"/>
  <c r="B163" i="15"/>
  <c r="H163" i="15" s="1"/>
  <c r="P97" i="15" l="1"/>
  <c r="R97" i="15"/>
  <c r="S97" i="15" s="1"/>
  <c r="O98" i="15"/>
  <c r="Q98" i="15"/>
  <c r="N99" i="15"/>
  <c r="I162" i="15"/>
  <c r="J162" i="15" s="1"/>
  <c r="F163" i="15"/>
  <c r="C163" i="15"/>
  <c r="G163" i="15"/>
  <c r="D163" i="15"/>
  <c r="E163" i="15"/>
  <c r="B164" i="15"/>
  <c r="H164" i="15" s="1"/>
  <c r="O99" i="15" l="1"/>
  <c r="Q99" i="15"/>
  <c r="N100" i="15"/>
  <c r="R98" i="15"/>
  <c r="S98" i="15" s="1"/>
  <c r="P98" i="15"/>
  <c r="I163" i="15"/>
  <c r="J163" i="15" s="1"/>
  <c r="F164" i="15"/>
  <c r="C164" i="15"/>
  <c r="G164" i="15"/>
  <c r="D164" i="15"/>
  <c r="E164" i="15"/>
  <c r="B165" i="15"/>
  <c r="H165" i="15" s="1"/>
  <c r="R99" i="15" l="1"/>
  <c r="P99" i="15"/>
  <c r="O100" i="15"/>
  <c r="Q100" i="15"/>
  <c r="N101" i="15"/>
  <c r="S99" i="15"/>
  <c r="I164" i="15"/>
  <c r="J164" i="15" s="1"/>
  <c r="E165" i="15"/>
  <c r="F165" i="15"/>
  <c r="C165" i="15"/>
  <c r="G165" i="15"/>
  <c r="D165" i="15"/>
  <c r="B166" i="15"/>
  <c r="H166" i="15" s="1"/>
  <c r="Q101" i="15" l="1"/>
  <c r="O101" i="15"/>
  <c r="N102" i="15"/>
  <c r="R100" i="15"/>
  <c r="S100" i="15" s="1"/>
  <c r="P100" i="15"/>
  <c r="I165" i="15"/>
  <c r="J165" i="15" s="1"/>
  <c r="E166" i="15"/>
  <c r="F166" i="15"/>
  <c r="C166" i="15"/>
  <c r="G166" i="15"/>
  <c r="D166" i="15"/>
  <c r="B167" i="15"/>
  <c r="H167" i="15" s="1"/>
  <c r="O102" i="15" l="1"/>
  <c r="Q102" i="15"/>
  <c r="N103" i="15"/>
  <c r="R101" i="15"/>
  <c r="S101" i="15" s="1"/>
  <c r="P101" i="15"/>
  <c r="I166" i="15"/>
  <c r="J166" i="15" s="1"/>
  <c r="E167" i="15"/>
  <c r="F167" i="15"/>
  <c r="C167" i="15"/>
  <c r="G167" i="15"/>
  <c r="D167" i="15"/>
  <c r="B168" i="15"/>
  <c r="H168" i="15" s="1"/>
  <c r="O103" i="15" l="1"/>
  <c r="Q103" i="15"/>
  <c r="R102" i="15"/>
  <c r="S102" i="15" s="1"/>
  <c r="P102" i="15"/>
  <c r="I167" i="15"/>
  <c r="J167" i="15" s="1"/>
  <c r="E168" i="15"/>
  <c r="F168" i="15"/>
  <c r="C168" i="15"/>
  <c r="G168" i="15"/>
  <c r="D168" i="15"/>
  <c r="B169" i="15"/>
  <c r="H169" i="15" s="1"/>
  <c r="P103" i="15" l="1"/>
  <c r="R103" i="15"/>
  <c r="S103" i="15" s="1"/>
  <c r="I168" i="15"/>
  <c r="J168" i="15" s="1"/>
  <c r="E169" i="15"/>
  <c r="F169" i="15"/>
  <c r="C169" i="15"/>
  <c r="D169" i="15"/>
  <c r="G169" i="15"/>
  <c r="B170" i="15"/>
  <c r="H170" i="15" s="1"/>
  <c r="I169" i="15" l="1"/>
  <c r="J169" i="15" s="1"/>
  <c r="G170" i="15"/>
  <c r="D170" i="15"/>
  <c r="E170" i="15"/>
  <c r="F170" i="15"/>
  <c r="C170" i="15"/>
  <c r="B171" i="15"/>
  <c r="H171" i="15" s="1"/>
  <c r="I170" i="15" l="1"/>
  <c r="J170" i="15" s="1"/>
  <c r="G171" i="15"/>
  <c r="D171" i="15"/>
  <c r="E171" i="15"/>
  <c r="F171" i="15"/>
  <c r="C171" i="15"/>
  <c r="B172" i="15"/>
  <c r="H172" i="15" s="1"/>
  <c r="I171" i="15" l="1"/>
  <c r="J171" i="15" s="1"/>
  <c r="C172" i="15"/>
  <c r="G172" i="15"/>
  <c r="D172" i="15"/>
  <c r="F172" i="15"/>
  <c r="E172" i="15"/>
  <c r="B173" i="15"/>
  <c r="H173" i="15" s="1"/>
  <c r="I172" i="15" l="1"/>
  <c r="J172" i="15" s="1"/>
  <c r="C173" i="15"/>
  <c r="G173" i="15"/>
  <c r="D173" i="15"/>
  <c r="E173" i="15"/>
  <c r="F173" i="15"/>
  <c r="B174" i="15"/>
  <c r="H174" i="15" s="1"/>
  <c r="I173" i="15" l="1"/>
  <c r="J173" i="15" s="1"/>
  <c r="F174" i="15"/>
  <c r="C174" i="15"/>
  <c r="G174" i="15"/>
  <c r="D174" i="15"/>
  <c r="E174" i="15"/>
  <c r="B175" i="15"/>
  <c r="H175" i="15" s="1"/>
  <c r="I174" i="15" l="1"/>
  <c r="J174" i="15" s="1"/>
  <c r="F175" i="15"/>
  <c r="C175" i="15"/>
  <c r="G175" i="15"/>
  <c r="D175" i="15"/>
  <c r="E175" i="15"/>
  <c r="B176" i="15"/>
  <c r="H176" i="15" s="1"/>
  <c r="I175" i="15" l="1"/>
  <c r="J175" i="15" s="1"/>
  <c r="F176" i="15"/>
  <c r="C176" i="15"/>
  <c r="G176" i="15"/>
  <c r="D176" i="15"/>
  <c r="E176" i="15"/>
  <c r="B177" i="15"/>
  <c r="H177" i="15" s="1"/>
  <c r="I176" i="15" l="1"/>
  <c r="J176" i="15" s="1"/>
  <c r="E177" i="15"/>
  <c r="F177" i="15"/>
  <c r="C177" i="15"/>
  <c r="G177" i="15"/>
  <c r="D177" i="15"/>
  <c r="B178" i="15"/>
  <c r="H178" i="15" s="1"/>
  <c r="I177" i="15" l="1"/>
  <c r="J177" i="15" s="1"/>
  <c r="E178" i="15"/>
  <c r="F178" i="15"/>
  <c r="C178" i="15"/>
  <c r="G178" i="15"/>
  <c r="D178" i="15"/>
  <c r="B179" i="15"/>
  <c r="H179" i="15" s="1"/>
  <c r="I178" i="15" l="1"/>
  <c r="J178" i="15" s="1"/>
  <c r="E179" i="15"/>
  <c r="F179" i="15"/>
  <c r="C179" i="15"/>
  <c r="G179" i="15"/>
  <c r="D179" i="15"/>
  <c r="B180" i="15"/>
  <c r="H180" i="15" s="1"/>
  <c r="I179" i="15" l="1"/>
  <c r="J179" i="15" s="1"/>
  <c r="E180" i="15"/>
  <c r="F180" i="15"/>
  <c r="C180" i="15"/>
  <c r="G180" i="15"/>
  <c r="D180" i="15"/>
  <c r="B181" i="15"/>
  <c r="H181" i="15" s="1"/>
  <c r="I180" i="15" l="1"/>
  <c r="J180" i="15" s="1"/>
  <c r="E181" i="15"/>
  <c r="F181" i="15"/>
  <c r="C181" i="15"/>
  <c r="D181" i="15"/>
  <c r="G181" i="15"/>
  <c r="B182" i="15"/>
  <c r="H182" i="15" s="1"/>
  <c r="I181" i="15" l="1"/>
  <c r="J181" i="15" s="1"/>
  <c r="G182" i="15"/>
  <c r="D182" i="15"/>
  <c r="E182" i="15"/>
  <c r="F182" i="15"/>
  <c r="C182" i="15"/>
  <c r="B183" i="15"/>
  <c r="H183" i="15" s="1"/>
  <c r="I182" i="15" l="1"/>
  <c r="J182" i="15" s="1"/>
  <c r="G183" i="15"/>
  <c r="D183" i="15"/>
  <c r="E183" i="15"/>
  <c r="F183" i="15"/>
  <c r="C183" i="15"/>
  <c r="B184" i="15"/>
  <c r="H184" i="15" s="1"/>
  <c r="I183" i="15" l="1"/>
  <c r="J183" i="15" s="1"/>
  <c r="C184" i="15"/>
  <c r="G184" i="15"/>
  <c r="D184" i="15"/>
  <c r="E184" i="15"/>
  <c r="F184" i="15"/>
  <c r="B185" i="15"/>
  <c r="H185" i="15" s="1"/>
  <c r="I184" i="15" l="1"/>
  <c r="J184" i="15" s="1"/>
  <c r="C185" i="15"/>
  <c r="G185" i="15"/>
  <c r="D185" i="15"/>
  <c r="E185" i="15"/>
  <c r="F185" i="15"/>
  <c r="B186" i="15"/>
  <c r="H186" i="15" s="1"/>
  <c r="I185" i="15" l="1"/>
  <c r="J185" i="15" s="1"/>
  <c r="F186" i="15"/>
  <c r="C186" i="15"/>
  <c r="G186" i="15"/>
  <c r="D186" i="15"/>
  <c r="E186" i="15"/>
  <c r="B187" i="15"/>
  <c r="H187" i="15" s="1"/>
  <c r="I186" i="15" l="1"/>
  <c r="J186" i="15" s="1"/>
  <c r="F187" i="15"/>
  <c r="C187" i="15"/>
  <c r="G187" i="15"/>
  <c r="D187" i="15"/>
  <c r="E187" i="15"/>
  <c r="B188" i="15"/>
  <c r="H188" i="15" s="1"/>
  <c r="I187" i="15" l="1"/>
  <c r="J187" i="15" s="1"/>
  <c r="F188" i="15"/>
  <c r="C188" i="15"/>
  <c r="G188" i="15"/>
  <c r="D188" i="15"/>
  <c r="E188" i="15"/>
  <c r="B189" i="15"/>
  <c r="H189" i="15" s="1"/>
  <c r="I188" i="15" l="1"/>
  <c r="J188" i="15" s="1"/>
  <c r="E189" i="15"/>
  <c r="F189" i="15"/>
  <c r="C189" i="15"/>
  <c r="G189" i="15"/>
  <c r="D189" i="15"/>
  <c r="B190" i="15"/>
  <c r="H190" i="15" s="1"/>
  <c r="I189" i="15" l="1"/>
  <c r="J189" i="15" s="1"/>
  <c r="E190" i="15"/>
  <c r="F190" i="15"/>
  <c r="C190" i="15"/>
  <c r="G190" i="15"/>
  <c r="D190" i="15"/>
  <c r="B191" i="15"/>
  <c r="H191" i="15" s="1"/>
  <c r="I190" i="15" l="1"/>
  <c r="J190" i="15" s="1"/>
  <c r="E191" i="15"/>
  <c r="F191" i="15"/>
  <c r="C191" i="15"/>
  <c r="G191" i="15"/>
  <c r="D191" i="15"/>
  <c r="B192" i="15"/>
  <c r="H192" i="15" s="1"/>
  <c r="I191" i="15" l="1"/>
  <c r="J191" i="15" s="1"/>
  <c r="E192" i="15"/>
  <c r="F192" i="15"/>
  <c r="C192" i="15"/>
  <c r="G192" i="15"/>
  <c r="D192" i="15"/>
  <c r="B193" i="15"/>
  <c r="H193" i="15" s="1"/>
  <c r="I192" i="15" l="1"/>
  <c r="J192" i="15" s="1"/>
  <c r="E193" i="15"/>
  <c r="F193" i="15"/>
  <c r="C193" i="15"/>
  <c r="D193" i="15"/>
  <c r="G193" i="15"/>
  <c r="B194" i="15"/>
  <c r="H194" i="15" s="1"/>
  <c r="I193" i="15" l="1"/>
  <c r="J193" i="15" s="1"/>
  <c r="G194" i="15"/>
  <c r="D194" i="15"/>
  <c r="E194" i="15"/>
  <c r="F194" i="15"/>
  <c r="C194" i="15"/>
  <c r="B195" i="15"/>
  <c r="H195" i="15" s="1"/>
  <c r="I194" i="15" l="1"/>
  <c r="J194" i="15" s="1"/>
  <c r="G195" i="15"/>
  <c r="D195" i="15"/>
  <c r="E195" i="15"/>
  <c r="F195" i="15"/>
  <c r="C195" i="15"/>
  <c r="B196" i="15"/>
  <c r="H196" i="15" s="1"/>
  <c r="I195" i="15" l="1"/>
  <c r="J195" i="15" s="1"/>
  <c r="C196" i="15"/>
  <c r="G196" i="15"/>
  <c r="D196" i="15"/>
  <c r="E196" i="15"/>
  <c r="F196" i="15"/>
  <c r="B197" i="15"/>
  <c r="H197" i="15" s="1"/>
  <c r="I196" i="15" l="1"/>
  <c r="J196" i="15" s="1"/>
  <c r="C197" i="15"/>
  <c r="G197" i="15"/>
  <c r="D197" i="15"/>
  <c r="E197" i="15"/>
  <c r="F197" i="15"/>
  <c r="B198" i="15"/>
  <c r="H198" i="15" s="1"/>
  <c r="I197" i="15" l="1"/>
  <c r="J197" i="15" s="1"/>
  <c r="F198" i="15"/>
  <c r="C198" i="15"/>
  <c r="G198" i="15"/>
  <c r="D198" i="15"/>
  <c r="E198" i="15"/>
  <c r="B199" i="15"/>
  <c r="H199" i="15" s="1"/>
  <c r="I198" i="15" l="1"/>
  <c r="J198" i="15" s="1"/>
  <c r="F199" i="15"/>
  <c r="C199" i="15"/>
  <c r="G199" i="15"/>
  <c r="D199" i="15"/>
  <c r="E199" i="15"/>
  <c r="B200" i="15"/>
  <c r="H200" i="15" s="1"/>
  <c r="I199" i="15" l="1"/>
  <c r="J199" i="15" s="1"/>
  <c r="F200" i="15"/>
  <c r="C200" i="15"/>
  <c r="G200" i="15"/>
  <c r="D200" i="15"/>
  <c r="E200" i="15"/>
  <c r="B201" i="15"/>
  <c r="H201" i="15" s="1"/>
  <c r="I200" i="15" l="1"/>
  <c r="J200" i="15" s="1"/>
  <c r="E201" i="15"/>
  <c r="F201" i="15"/>
  <c r="C201" i="15"/>
  <c r="G201" i="15"/>
  <c r="D201" i="15"/>
  <c r="B202" i="15"/>
  <c r="H202" i="15" s="1"/>
  <c r="I201" i="15" l="1"/>
  <c r="J201" i="15" s="1"/>
  <c r="E202" i="15"/>
  <c r="F202" i="15"/>
  <c r="C202" i="15"/>
  <c r="G202" i="15"/>
  <c r="D202" i="15"/>
  <c r="B203" i="15"/>
  <c r="H203" i="15" s="1"/>
  <c r="I202" i="15" l="1"/>
  <c r="J202" i="15" s="1"/>
  <c r="E203" i="15"/>
  <c r="F203" i="15"/>
  <c r="C203" i="15"/>
  <c r="G203" i="15"/>
  <c r="D203" i="15"/>
  <c r="B204" i="15"/>
  <c r="H204" i="15" s="1"/>
  <c r="I203" i="15" l="1"/>
  <c r="J203" i="15" s="1"/>
  <c r="E204" i="15"/>
  <c r="F204" i="15"/>
  <c r="C204" i="15"/>
  <c r="G204" i="15"/>
  <c r="D204" i="15"/>
  <c r="B205" i="15"/>
  <c r="H205" i="15" s="1"/>
  <c r="I204" i="15" l="1"/>
  <c r="J204" i="15" s="1"/>
  <c r="E205" i="15"/>
  <c r="F205" i="15"/>
  <c r="C205" i="15"/>
  <c r="G205" i="15"/>
  <c r="D205" i="15"/>
  <c r="B206" i="15"/>
  <c r="H206" i="15" s="1"/>
  <c r="I205" i="15" l="1"/>
  <c r="J205" i="15" s="1"/>
  <c r="G206" i="15"/>
  <c r="D206" i="15"/>
  <c r="E206" i="15"/>
  <c r="F206" i="15"/>
  <c r="C206" i="15"/>
  <c r="B207" i="15"/>
  <c r="H207" i="15" s="1"/>
  <c r="I206" i="15" l="1"/>
  <c r="J206" i="15" s="1"/>
  <c r="G207" i="15"/>
  <c r="D207" i="15"/>
  <c r="E207" i="15"/>
  <c r="F207" i="15"/>
  <c r="C207" i="15"/>
  <c r="B208" i="15"/>
  <c r="H208" i="15" s="1"/>
  <c r="I207" i="15" l="1"/>
  <c r="J207" i="15" s="1"/>
  <c r="C208" i="15"/>
  <c r="G208" i="15"/>
  <c r="D208" i="15"/>
  <c r="E208" i="15"/>
  <c r="F208" i="15"/>
  <c r="B209" i="15"/>
  <c r="H209" i="15" s="1"/>
  <c r="I208" i="15" l="1"/>
  <c r="J208" i="15" s="1"/>
  <c r="C209" i="15"/>
  <c r="G209" i="15"/>
  <c r="D209" i="15"/>
  <c r="E209" i="15"/>
  <c r="F209" i="15"/>
  <c r="B210" i="15"/>
  <c r="H210" i="15" s="1"/>
  <c r="I209" i="15" l="1"/>
  <c r="J209" i="15" s="1"/>
  <c r="F210" i="15"/>
  <c r="C210" i="15"/>
  <c r="G210" i="15"/>
  <c r="D210" i="15"/>
  <c r="E210" i="15"/>
  <c r="B211" i="15"/>
  <c r="H211" i="15" s="1"/>
  <c r="I210" i="15" l="1"/>
  <c r="J210" i="15" s="1"/>
  <c r="F211" i="15"/>
  <c r="C211" i="15"/>
  <c r="G211" i="15"/>
  <c r="D211" i="15"/>
  <c r="E211" i="15"/>
  <c r="B212" i="15"/>
  <c r="H212" i="15" s="1"/>
  <c r="I211" i="15" l="1"/>
  <c r="J211" i="15" s="1"/>
  <c r="F212" i="15"/>
  <c r="C212" i="15"/>
  <c r="G212" i="15"/>
  <c r="D212" i="15"/>
  <c r="E212" i="15"/>
  <c r="B213" i="15"/>
  <c r="H213" i="15" s="1"/>
  <c r="I212" i="15" l="1"/>
  <c r="J212" i="15" s="1"/>
  <c r="E213" i="15"/>
  <c r="F213" i="15"/>
  <c r="C213" i="15"/>
  <c r="G213" i="15"/>
  <c r="D213" i="15"/>
  <c r="B214" i="15"/>
  <c r="H214" i="15" s="1"/>
  <c r="I213" i="15" l="1"/>
  <c r="J213" i="15" s="1"/>
  <c r="E214" i="15"/>
  <c r="F214" i="15"/>
  <c r="C214" i="15"/>
  <c r="G214" i="15"/>
  <c r="D214" i="15"/>
  <c r="B215" i="15"/>
  <c r="H215" i="15" s="1"/>
  <c r="I214" i="15" l="1"/>
  <c r="J214" i="15" s="1"/>
  <c r="E215" i="15"/>
  <c r="F215" i="15"/>
  <c r="C215" i="15"/>
  <c r="G215" i="15"/>
  <c r="D215" i="15"/>
  <c r="B216" i="15"/>
  <c r="H216" i="15" s="1"/>
  <c r="I215" i="15" l="1"/>
  <c r="J215" i="15" s="1"/>
  <c r="E216" i="15"/>
  <c r="F216" i="15"/>
  <c r="C216" i="15"/>
  <c r="G216" i="15"/>
  <c r="D216" i="15"/>
  <c r="B217" i="15"/>
  <c r="H217" i="15" s="1"/>
  <c r="I216" i="15" l="1"/>
  <c r="J216" i="15" s="1"/>
  <c r="E217" i="15"/>
  <c r="F217" i="15"/>
  <c r="C217" i="15"/>
  <c r="D217" i="15"/>
  <c r="G217" i="15"/>
  <c r="B218" i="15"/>
  <c r="H218" i="15" s="1"/>
  <c r="I217" i="15" l="1"/>
  <c r="J217" i="15" s="1"/>
  <c r="G218" i="15"/>
  <c r="D218" i="15"/>
  <c r="E218" i="15"/>
  <c r="F218" i="15"/>
  <c r="C218" i="15"/>
  <c r="B219" i="15"/>
  <c r="H219" i="15" s="1"/>
  <c r="I218" i="15" l="1"/>
  <c r="J218" i="15" s="1"/>
  <c r="G219" i="15"/>
  <c r="D219" i="15"/>
  <c r="E219" i="15"/>
  <c r="F219" i="15"/>
  <c r="C219" i="15"/>
  <c r="B220" i="15"/>
  <c r="H220" i="15" s="1"/>
  <c r="I219" i="15" l="1"/>
  <c r="J219" i="15" s="1"/>
  <c r="C220" i="15"/>
  <c r="G220" i="15"/>
  <c r="D220" i="15"/>
  <c r="E220" i="15"/>
  <c r="F220" i="15"/>
  <c r="B221" i="15"/>
  <c r="H221" i="15" s="1"/>
  <c r="I220" i="15" l="1"/>
  <c r="J220" i="15" s="1"/>
  <c r="C221" i="15"/>
  <c r="G221" i="15"/>
  <c r="D221" i="15"/>
  <c r="E221" i="15"/>
  <c r="F221" i="15"/>
  <c r="B222" i="15"/>
  <c r="H222" i="15" s="1"/>
  <c r="I221" i="15" l="1"/>
  <c r="J221" i="15" s="1"/>
  <c r="F222" i="15"/>
  <c r="C222" i="15"/>
  <c r="G222" i="15"/>
  <c r="D222" i="15"/>
  <c r="E222" i="15"/>
  <c r="B223" i="15"/>
  <c r="H223" i="15" s="1"/>
  <c r="I222" i="15" l="1"/>
  <c r="J222" i="15" s="1"/>
  <c r="F223" i="15"/>
  <c r="C223" i="15"/>
  <c r="G223" i="15"/>
  <c r="D223" i="15"/>
  <c r="E223" i="15"/>
  <c r="B224" i="15"/>
  <c r="H224" i="15" s="1"/>
  <c r="I223" i="15" l="1"/>
  <c r="J223" i="15" s="1"/>
  <c r="F224" i="15"/>
  <c r="C224" i="15"/>
  <c r="G224" i="15"/>
  <c r="D224" i="15"/>
  <c r="E224" i="15"/>
  <c r="B225" i="15"/>
  <c r="H225" i="15" s="1"/>
  <c r="I224" i="15" l="1"/>
  <c r="J224" i="15" s="1"/>
  <c r="E225" i="15"/>
  <c r="F225" i="15"/>
  <c r="C225" i="15"/>
  <c r="G225" i="15"/>
  <c r="D225" i="15"/>
  <c r="B226" i="15"/>
  <c r="H226" i="15" s="1"/>
  <c r="I225" i="15" l="1"/>
  <c r="J225" i="15" s="1"/>
  <c r="E226" i="15"/>
  <c r="F226" i="15"/>
  <c r="C226" i="15"/>
  <c r="G226" i="15"/>
  <c r="D226" i="15"/>
  <c r="B227" i="15"/>
  <c r="H227" i="15" s="1"/>
  <c r="I226" i="15" l="1"/>
  <c r="J226" i="15" s="1"/>
  <c r="E227" i="15"/>
  <c r="F227" i="15"/>
  <c r="C227" i="15"/>
  <c r="G227" i="15"/>
  <c r="D227" i="15"/>
  <c r="B228" i="15"/>
  <c r="H228" i="15" s="1"/>
  <c r="I227" i="15" l="1"/>
  <c r="J227" i="15" s="1"/>
  <c r="E228" i="15"/>
  <c r="F228" i="15"/>
  <c r="C228" i="15"/>
  <c r="G228" i="15"/>
  <c r="D228" i="15"/>
  <c r="B229" i="15"/>
  <c r="H229" i="15" s="1"/>
  <c r="I228" i="15" l="1"/>
  <c r="J228" i="15" s="1"/>
  <c r="E229" i="15"/>
  <c r="F229" i="15"/>
  <c r="C229" i="15"/>
  <c r="G229" i="15"/>
  <c r="D229" i="15"/>
  <c r="B230" i="15"/>
  <c r="H230" i="15" s="1"/>
  <c r="I229" i="15" l="1"/>
  <c r="J229" i="15" s="1"/>
  <c r="G230" i="15"/>
  <c r="D230" i="15"/>
  <c r="E230" i="15"/>
  <c r="F230" i="15"/>
  <c r="C230" i="15"/>
  <c r="B231" i="15"/>
  <c r="H231" i="15" s="1"/>
  <c r="I230" i="15" l="1"/>
  <c r="J230" i="15" s="1"/>
  <c r="G231" i="15"/>
  <c r="D231" i="15"/>
  <c r="E231" i="15"/>
  <c r="F231" i="15"/>
  <c r="C231" i="15"/>
  <c r="B232" i="15"/>
  <c r="H232" i="15" s="1"/>
  <c r="I231" i="15" l="1"/>
  <c r="J231" i="15" s="1"/>
  <c r="C232" i="15"/>
  <c r="G232" i="15"/>
  <c r="D232" i="15"/>
  <c r="F232" i="15"/>
  <c r="E232" i="15"/>
  <c r="B233" i="15"/>
  <c r="H233" i="15" s="1"/>
  <c r="I232" i="15" l="1"/>
  <c r="J232" i="15" s="1"/>
  <c r="C233" i="15"/>
  <c r="G233" i="15"/>
  <c r="D233" i="15"/>
  <c r="E233" i="15"/>
  <c r="F233" i="15"/>
  <c r="B234" i="15"/>
  <c r="H234" i="15" s="1"/>
  <c r="I233" i="15" l="1"/>
  <c r="J233" i="15" s="1"/>
  <c r="F234" i="15"/>
  <c r="C234" i="15"/>
  <c r="G234" i="15"/>
  <c r="D234" i="15"/>
  <c r="E234" i="15"/>
  <c r="B235" i="15"/>
  <c r="H235" i="15" s="1"/>
  <c r="I234" i="15" l="1"/>
  <c r="J234" i="15" s="1"/>
  <c r="F235" i="15"/>
  <c r="C235" i="15"/>
  <c r="G235" i="15"/>
  <c r="D235" i="15"/>
  <c r="E235" i="15"/>
  <c r="B236" i="15"/>
  <c r="H236" i="15" s="1"/>
  <c r="I235" i="15" l="1"/>
  <c r="J235" i="15" s="1"/>
  <c r="F236" i="15"/>
  <c r="C236" i="15"/>
  <c r="G236" i="15"/>
  <c r="D236" i="15"/>
  <c r="E236" i="15"/>
  <c r="B237" i="15"/>
  <c r="H237" i="15" s="1"/>
  <c r="I236" i="15" l="1"/>
  <c r="J236" i="15" s="1"/>
  <c r="E237" i="15"/>
  <c r="F237" i="15"/>
  <c r="C237" i="15"/>
  <c r="G237" i="15"/>
  <c r="D237" i="15"/>
  <c r="B238" i="15"/>
  <c r="H238" i="15" s="1"/>
  <c r="I237" i="15" l="1"/>
  <c r="J237" i="15" s="1"/>
  <c r="E238" i="15"/>
  <c r="F238" i="15"/>
  <c r="C238" i="15"/>
  <c r="G238" i="15"/>
  <c r="D238" i="15"/>
  <c r="B239" i="15"/>
  <c r="H239" i="15" s="1"/>
  <c r="I238" i="15" l="1"/>
  <c r="J238" i="15" s="1"/>
  <c r="E239" i="15"/>
  <c r="F239" i="15"/>
  <c r="C239" i="15"/>
  <c r="G239" i="15"/>
  <c r="D239" i="15"/>
  <c r="B240" i="15"/>
  <c r="H240" i="15" s="1"/>
  <c r="I239" i="15" l="1"/>
  <c r="J239" i="15" s="1"/>
  <c r="E240" i="15"/>
  <c r="F240" i="15"/>
  <c r="C240" i="15"/>
  <c r="G240" i="15"/>
  <c r="D240" i="15"/>
  <c r="B241" i="15"/>
  <c r="H241" i="15" s="1"/>
  <c r="I240" i="15" l="1"/>
  <c r="J240" i="15" s="1"/>
  <c r="E241" i="15"/>
  <c r="F241" i="15"/>
  <c r="C241" i="15"/>
  <c r="G241" i="15"/>
  <c r="D241" i="15"/>
  <c r="B242" i="15"/>
  <c r="H242" i="15" s="1"/>
  <c r="I241" i="15" l="1"/>
  <c r="J241" i="15" s="1"/>
  <c r="G242" i="15"/>
  <c r="D242" i="15"/>
  <c r="E242" i="15"/>
  <c r="F242" i="15"/>
  <c r="C242" i="15"/>
  <c r="B243" i="15"/>
  <c r="H243" i="15" s="1"/>
  <c r="I242" i="15" l="1"/>
  <c r="J242" i="15" s="1"/>
  <c r="G243" i="15"/>
  <c r="D243" i="15"/>
  <c r="E243" i="15"/>
  <c r="F243" i="15"/>
  <c r="C243" i="15"/>
  <c r="B244" i="15"/>
  <c r="H244" i="15" s="1"/>
  <c r="I243" i="15" l="1"/>
  <c r="J243" i="15" s="1"/>
  <c r="C244" i="15"/>
  <c r="G244" i="15"/>
  <c r="D244" i="15"/>
  <c r="E244" i="15"/>
  <c r="F244" i="15"/>
  <c r="B245" i="15"/>
  <c r="H245" i="15" s="1"/>
  <c r="I244" i="15" l="1"/>
  <c r="J244" i="15" s="1"/>
  <c r="C245" i="15"/>
  <c r="G245" i="15"/>
  <c r="D245" i="15"/>
  <c r="E245" i="15"/>
  <c r="F245" i="15"/>
  <c r="B246" i="15"/>
  <c r="H246" i="15" s="1"/>
  <c r="I245" i="15" l="1"/>
  <c r="J245" i="15" s="1"/>
  <c r="F246" i="15"/>
  <c r="C246" i="15"/>
  <c r="G246" i="15"/>
  <c r="D246" i="15"/>
  <c r="E246" i="15"/>
  <c r="B247" i="15"/>
  <c r="H247" i="15" s="1"/>
  <c r="I246" i="15" l="1"/>
  <c r="J246" i="15" s="1"/>
  <c r="F247" i="15"/>
  <c r="C247" i="15"/>
  <c r="G247" i="15"/>
  <c r="D247" i="15"/>
  <c r="E247" i="15"/>
  <c r="B248" i="15"/>
  <c r="H248" i="15" s="1"/>
  <c r="I247" i="15" l="1"/>
  <c r="J247" i="15" s="1"/>
  <c r="F248" i="15"/>
  <c r="C248" i="15"/>
  <c r="G248" i="15"/>
  <c r="D248" i="15"/>
  <c r="E248" i="15"/>
  <c r="B249" i="15"/>
  <c r="H249" i="15" s="1"/>
  <c r="I248" i="15" l="1"/>
  <c r="J248" i="15" s="1"/>
  <c r="E249" i="15"/>
  <c r="F249" i="15"/>
  <c r="C249" i="15"/>
  <c r="G249" i="15"/>
  <c r="D249" i="15"/>
  <c r="B250" i="15"/>
  <c r="H250" i="15" s="1"/>
  <c r="I249" i="15" l="1"/>
  <c r="J249" i="15" s="1"/>
  <c r="E250" i="15"/>
  <c r="F250" i="15"/>
  <c r="C250" i="15"/>
  <c r="G250" i="15"/>
  <c r="D250" i="15"/>
  <c r="B251" i="15"/>
  <c r="H251" i="15" s="1"/>
  <c r="I250" i="15" l="1"/>
  <c r="J250" i="15" s="1"/>
  <c r="E251" i="15"/>
  <c r="F251" i="15"/>
  <c r="C251" i="15"/>
  <c r="G251" i="15"/>
  <c r="D251" i="15"/>
  <c r="B252" i="15"/>
  <c r="H252" i="15" s="1"/>
  <c r="I251" i="15" l="1"/>
  <c r="J251" i="15" s="1"/>
  <c r="E252" i="15"/>
  <c r="F252" i="15"/>
  <c r="C252" i="15"/>
  <c r="G252" i="15"/>
  <c r="D252" i="15"/>
  <c r="B253" i="15"/>
  <c r="H253" i="15" s="1"/>
  <c r="I252" i="15" l="1"/>
  <c r="J252" i="15" s="1"/>
  <c r="E253" i="15"/>
  <c r="F253" i="15"/>
  <c r="C253" i="15"/>
  <c r="D253" i="15"/>
  <c r="G253" i="15"/>
  <c r="B254" i="15"/>
  <c r="H254" i="15" s="1"/>
  <c r="I253" i="15" l="1"/>
  <c r="J253" i="15" s="1"/>
  <c r="G254" i="15"/>
  <c r="D254" i="15"/>
  <c r="E254" i="15"/>
  <c r="F254" i="15"/>
  <c r="C254" i="15"/>
  <c r="B255" i="15"/>
  <c r="H255" i="15" s="1"/>
  <c r="I254" i="15" l="1"/>
  <c r="J254" i="15" s="1"/>
  <c r="G255" i="15"/>
  <c r="D255" i="15"/>
  <c r="E255" i="15"/>
  <c r="F255" i="15"/>
  <c r="C255" i="15"/>
  <c r="B256" i="15"/>
  <c r="H256" i="15" s="1"/>
  <c r="I255" i="15" l="1"/>
  <c r="J255" i="15" s="1"/>
  <c r="C256" i="15"/>
  <c r="G256" i="15"/>
  <c r="D256" i="15"/>
  <c r="E256" i="15"/>
  <c r="F256" i="15"/>
  <c r="B257" i="15"/>
  <c r="H257" i="15" s="1"/>
  <c r="I256" i="15" l="1"/>
  <c r="J256" i="15" s="1"/>
  <c r="C257" i="15"/>
  <c r="G257" i="15"/>
  <c r="D257" i="15"/>
  <c r="E257" i="15"/>
  <c r="F257" i="15"/>
  <c r="B258" i="15"/>
  <c r="H258" i="15" s="1"/>
  <c r="I257" i="15" l="1"/>
  <c r="J257" i="15" s="1"/>
  <c r="F258" i="15"/>
  <c r="C258" i="15"/>
  <c r="G258" i="15"/>
  <c r="D258" i="15"/>
  <c r="E258" i="15"/>
  <c r="B259" i="15"/>
  <c r="H259" i="15" s="1"/>
  <c r="I258" i="15" l="1"/>
  <c r="J258" i="15" s="1"/>
  <c r="F259" i="15"/>
  <c r="C259" i="15"/>
  <c r="G259" i="15"/>
  <c r="D259" i="15"/>
  <c r="E259" i="15"/>
  <c r="B260" i="15"/>
  <c r="H260" i="15" s="1"/>
  <c r="I259" i="15" l="1"/>
  <c r="J259" i="15" s="1"/>
  <c r="F260" i="15"/>
  <c r="C260" i="15"/>
  <c r="G260" i="15"/>
  <c r="D260" i="15"/>
  <c r="E260" i="15"/>
  <c r="B261" i="15"/>
  <c r="H261" i="15" s="1"/>
  <c r="I260" i="15" l="1"/>
  <c r="J260" i="15" s="1"/>
  <c r="E261" i="15"/>
  <c r="F261" i="15"/>
  <c r="C261" i="15"/>
  <c r="G261" i="15"/>
  <c r="D261" i="15"/>
  <c r="B262" i="15"/>
  <c r="H262" i="15" s="1"/>
  <c r="I261" i="15" l="1"/>
  <c r="J261" i="15" s="1"/>
  <c r="E262" i="15"/>
  <c r="F262" i="15"/>
  <c r="C262" i="15"/>
  <c r="G262" i="15"/>
  <c r="D262" i="15"/>
  <c r="B263" i="15"/>
  <c r="H263" i="15" s="1"/>
  <c r="I262" i="15" l="1"/>
  <c r="J262" i="15" s="1"/>
  <c r="E263" i="15"/>
  <c r="F263" i="15"/>
  <c r="C263" i="15"/>
  <c r="G263" i="15"/>
  <c r="D263" i="15"/>
  <c r="B264" i="15"/>
  <c r="H264" i="15" s="1"/>
  <c r="I263" i="15" l="1"/>
  <c r="J263" i="15" s="1"/>
  <c r="E264" i="15"/>
  <c r="F264" i="15"/>
  <c r="C264" i="15"/>
  <c r="G264" i="15"/>
  <c r="D264" i="15"/>
  <c r="B265" i="15"/>
  <c r="H265" i="15" s="1"/>
  <c r="I264" i="15" l="1"/>
  <c r="J264" i="15" s="1"/>
  <c r="E265" i="15"/>
  <c r="F265" i="15"/>
  <c r="C265" i="15"/>
  <c r="D265" i="15"/>
  <c r="G265" i="15"/>
  <c r="B266" i="15"/>
  <c r="H266" i="15" s="1"/>
  <c r="I265" i="15" l="1"/>
  <c r="J265" i="15" s="1"/>
  <c r="G266" i="15"/>
  <c r="D266" i="15"/>
  <c r="E266" i="15"/>
  <c r="F266" i="15"/>
  <c r="C266" i="15"/>
  <c r="B267" i="15"/>
  <c r="H267" i="15" s="1"/>
  <c r="I266" i="15" l="1"/>
  <c r="J266" i="15" s="1"/>
  <c r="G267" i="15"/>
  <c r="D267" i="15"/>
  <c r="E267" i="15"/>
  <c r="F267" i="15"/>
  <c r="C267" i="15"/>
  <c r="B268" i="15"/>
  <c r="H268" i="15" s="1"/>
  <c r="I267" i="15" l="1"/>
  <c r="J267" i="15" s="1"/>
  <c r="C268" i="15"/>
  <c r="G268" i="15"/>
  <c r="D268" i="15"/>
  <c r="E268" i="15"/>
  <c r="F268" i="15"/>
  <c r="B269" i="15"/>
  <c r="H269" i="15" s="1"/>
  <c r="I268" i="15" l="1"/>
  <c r="J268" i="15" s="1"/>
  <c r="C269" i="15"/>
  <c r="G269" i="15"/>
  <c r="D269" i="15"/>
  <c r="E269" i="15"/>
  <c r="F269" i="15"/>
  <c r="B270" i="15"/>
  <c r="H270" i="15" s="1"/>
  <c r="I269" i="15" l="1"/>
  <c r="J269" i="15" s="1"/>
  <c r="F270" i="15"/>
  <c r="C270" i="15"/>
  <c r="G270" i="15"/>
  <c r="D270" i="15"/>
  <c r="E270" i="15"/>
  <c r="B271" i="15"/>
  <c r="H271" i="15" s="1"/>
  <c r="I270" i="15" l="1"/>
  <c r="J270" i="15" s="1"/>
  <c r="F271" i="15"/>
  <c r="C271" i="15"/>
  <c r="G271" i="15"/>
  <c r="D271" i="15"/>
  <c r="E271" i="15"/>
  <c r="B272" i="15"/>
  <c r="H272" i="15" s="1"/>
  <c r="I271" i="15" l="1"/>
  <c r="J271" i="15" s="1"/>
  <c r="F272" i="15"/>
  <c r="C272" i="15"/>
  <c r="G272" i="15"/>
  <c r="D272" i="15"/>
  <c r="E272" i="15"/>
  <c r="B273" i="15"/>
  <c r="H273" i="15" s="1"/>
  <c r="I272" i="15" l="1"/>
  <c r="J272" i="15" s="1"/>
  <c r="E273" i="15"/>
  <c r="F273" i="15"/>
  <c r="C273" i="15"/>
  <c r="G273" i="15"/>
  <c r="D273" i="15"/>
  <c r="B274" i="15"/>
  <c r="H274" i="15" s="1"/>
  <c r="I273" i="15" l="1"/>
  <c r="J273" i="15" s="1"/>
  <c r="G274" i="15"/>
  <c r="E274" i="15"/>
  <c r="F274" i="15"/>
  <c r="C274" i="15"/>
  <c r="D274" i="15"/>
  <c r="I274" i="15" l="1"/>
  <c r="J274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D9B8E1D4-3544-F343-84D2-90DC788E16E0}">
      <text>
        <r>
          <rPr>
            <b/>
            <sz val="9"/>
            <color rgb="FF000000"/>
            <rFont val="Tahoma"/>
            <family val="2"/>
          </rPr>
          <t>=DSGRID("USGBILL3"," ","2005-01-01","","D","RowHeader=true;ColHeader=true;DispSeriesDescription=false;YearlyTSFormat=false;QuarterlyTSFormat=false","")</t>
        </r>
      </text>
    </comment>
    <comment ref="H27" authorId="0" shapeId="0" xr:uid="{79C12503-3BBD-A148-9476-155E246D99AC}">
      <text>
        <r>
          <rPr>
            <b/>
            <sz val="9"/>
            <color rgb="FF000000"/>
            <rFont val="Tahoma"/>
            <family val="2"/>
          </rPr>
          <t>=DSGRID("S&amp;PCOMP"," ","-9Y","YRE","D","RowHeader=true;ColHeader=true;DispSeriesDescription=false;YearlyTSFormat=false;QuarterlyTSFormat=false","")</t>
        </r>
      </text>
    </comment>
    <comment ref="L27" authorId="0" shapeId="0" xr:uid="{46E2A08F-1433-6743-ACD9-209128AA6C17}">
      <text>
        <r>
          <rPr>
            <b/>
            <sz val="9"/>
            <color rgb="FF000000"/>
            <rFont val="Tahoma"/>
            <family val="2"/>
          </rPr>
          <t>=DSGRID("S&amp;PCOMP"," ","-9Y","YRE","D","RowHeader=true;ColHeader=true;DispSeriesDescription=false;YearlyTSFormat=false;QuarterlyTSFormat=false","")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B8" authorId="0" shapeId="0" xr:uid="{AFCDE7BC-57AE-3D44-89B9-5E7E1CA23E7B}">
      <text>
        <r>
          <rPr>
            <b/>
            <sz val="9"/>
            <color rgb="FF000000"/>
            <rFont val="Tahoma"/>
            <family val="2"/>
          </rPr>
          <t>=DSGRID("USGBILL3"," ","2005-01-01","","D","RowHeader=true;ColHeader=true;DispSeriesDescription=false;YearlyTSFormat=false;QuarterlyTSFormat=false","")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<sst xmlns="http://schemas.openxmlformats.org/spreadsheetml/2006/main" count="814" uniqueCount="440">
  <si>
    <t>Date</t>
  </si>
  <si>
    <t>EBIT</t>
  </si>
  <si>
    <t>EBITDA</t>
  </si>
  <si>
    <t>Gross Margin</t>
  </si>
  <si>
    <t xml:space="preserve"> </t>
  </si>
  <si>
    <t>Revenue</t>
  </si>
  <si>
    <t>Other Revenue</t>
  </si>
  <si>
    <t xml:space="preserve">  Total Revenue</t>
  </si>
  <si>
    <t>Cost Of Goods Sold</t>
  </si>
  <si>
    <t xml:space="preserve">  Gross Profit</t>
  </si>
  <si>
    <t>Selling General &amp; Admin Exp.</t>
  </si>
  <si>
    <t>R &amp; D Exp.</t>
  </si>
  <si>
    <t>Depreciation &amp; Amort.</t>
  </si>
  <si>
    <t>Other Operating Expense/(Income)</t>
  </si>
  <si>
    <t xml:space="preserve">  Other Operating Exp., Total</t>
  </si>
  <si>
    <t xml:space="preserve">  Operating Income</t>
  </si>
  <si>
    <t>Interest Expense</t>
  </si>
  <si>
    <t>Interest and Invest. Income</t>
  </si>
  <si>
    <t xml:space="preserve">  Net Interest Exp.</t>
  </si>
  <si>
    <t>Other Non-Operating Inc. (Exp.)</t>
  </si>
  <si>
    <t xml:space="preserve">  EBT Excl. Unusual Items</t>
  </si>
  <si>
    <t>Merger &amp; Related Restruct. Charges</t>
  </si>
  <si>
    <t>Impairment of Goodwill</t>
  </si>
  <si>
    <t>Gain (Loss) On Sale Of Invest.</t>
  </si>
  <si>
    <t>Other Unusual Items</t>
  </si>
  <si>
    <t xml:space="preserve">  EBT Incl. Unusual Items</t>
  </si>
  <si>
    <t>Income Tax Expense</t>
  </si>
  <si>
    <t xml:space="preserve">  Earnings from Cont. Ops.</t>
  </si>
  <si>
    <t>Earnings of Discontinued Ops.</t>
  </si>
  <si>
    <t>Extraord. Item &amp; Account. Change</t>
  </si>
  <si>
    <t xml:space="preserve">  Net Income to Company</t>
  </si>
  <si>
    <t>Minority Int. in Earnings</t>
  </si>
  <si>
    <t xml:space="preserve">  Net Income</t>
  </si>
  <si>
    <t>Principal Competitors</t>
  </si>
  <si>
    <t>-</t>
  </si>
  <si>
    <t xml:space="preserve">Northrop Grumman Corporation (NYSE:NOC) </t>
  </si>
  <si>
    <t>General Dynamics (NYSE:GD)</t>
  </si>
  <si>
    <t>United Technology (NYSE:UTX)</t>
  </si>
  <si>
    <t>L3 Technologies (NYSE:LLL)*</t>
  </si>
  <si>
    <t>Raytheon Company (NYSE:RTN)</t>
  </si>
  <si>
    <t>Net Leverage at the 31/12/2018</t>
  </si>
  <si>
    <t>Growth Over Prior Year/Names</t>
  </si>
  <si>
    <t>RTN</t>
  </si>
  <si>
    <t>LMT</t>
  </si>
  <si>
    <t>GD</t>
  </si>
  <si>
    <t>UTX</t>
  </si>
  <si>
    <t>NOC</t>
  </si>
  <si>
    <t>LLL</t>
  </si>
  <si>
    <t>Average ratios without LMT</t>
  </si>
  <si>
    <t>Market Data</t>
  </si>
  <si>
    <t>Financial Data</t>
  </si>
  <si>
    <t>Valuation</t>
  </si>
  <si>
    <t>Growth Rates</t>
  </si>
  <si>
    <t xml:space="preserve">AVG Growth rate </t>
  </si>
  <si>
    <t>Price</t>
  </si>
  <si>
    <t>Market Cap</t>
  </si>
  <si>
    <t>EV</t>
  </si>
  <si>
    <t>Earnings</t>
  </si>
  <si>
    <t>EV/Sales</t>
  </si>
  <si>
    <t>EV/EBITDA</t>
  </si>
  <si>
    <t>EV/EBIT</t>
  </si>
  <si>
    <t>P/E</t>
  </si>
  <si>
    <t>Gross Profit</t>
  </si>
  <si>
    <t>Average Gross Profit</t>
  </si>
  <si>
    <t>Company Name</t>
  </si>
  <si>
    <t>($/share)</t>
  </si>
  <si>
    <t>($M)</t>
  </si>
  <si>
    <t>x</t>
  </si>
  <si>
    <t>Return on Assets %</t>
  </si>
  <si>
    <t>Average Return on Assets %</t>
  </si>
  <si>
    <t>Lockheed martin</t>
  </si>
  <si>
    <t>Average Gross Margin</t>
  </si>
  <si>
    <t>L3 Technology</t>
  </si>
  <si>
    <t>United Technologies</t>
  </si>
  <si>
    <t>General dynamics</t>
  </si>
  <si>
    <t>Northrup Group</t>
  </si>
  <si>
    <t>Raytheon</t>
  </si>
  <si>
    <t>Average(without LMT)</t>
  </si>
  <si>
    <t>Median(without LMT)</t>
  </si>
  <si>
    <t xml:space="preserve"> Names</t>
  </si>
  <si>
    <t>Net Leverage</t>
  </si>
  <si>
    <t>Northrop Grumman Corporation</t>
  </si>
  <si>
    <t>L3 Technologies</t>
  </si>
  <si>
    <t>General Dynamics</t>
  </si>
  <si>
    <t>United Technology</t>
  </si>
  <si>
    <t>Raytheon Company</t>
  </si>
  <si>
    <t>Average Net Levrage (Without Lockheed Martin)</t>
  </si>
  <si>
    <t>Data collected from Capital IQ</t>
  </si>
  <si>
    <t>Total debt ($M)</t>
  </si>
  <si>
    <t>Short Term Investment ($M)</t>
  </si>
  <si>
    <t>Market Capitalisation ($M)</t>
  </si>
  <si>
    <t>Value of unlevered firm</t>
  </si>
  <si>
    <t>Cost of debt</t>
  </si>
  <si>
    <t>Credit spread estimation</t>
  </si>
  <si>
    <t>Coverage ratio</t>
  </si>
  <si>
    <t>Rating</t>
  </si>
  <si>
    <t>Spread</t>
  </si>
  <si>
    <t>Default probability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</si>
  <si>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</si>
  <si>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</si>
  <si>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</si>
  <si>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</si>
  <si>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</si>
  <si>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</si>
  <si>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</si>
  <si>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</si>
  <si>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</si>
  <si>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</si>
  <si>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</si>
  <si>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&gt;</t>
  </si>
  <si>
    <t>≤ to</t>
  </si>
  <si>
    <t>Trailing interest coverage ratio</t>
  </si>
  <si>
    <t>D</t>
  </si>
  <si>
    <t>Credit rating</t>
  </si>
  <si>
    <t>C</t>
  </si>
  <si>
    <t>Credit spread</t>
  </si>
  <si>
    <t>CC</t>
  </si>
  <si>
    <t>Yield on debt</t>
  </si>
  <si>
    <t>CCC</t>
  </si>
  <si>
    <t>B-</t>
  </si>
  <si>
    <t>Prob of default</t>
  </si>
  <si>
    <t>B</t>
  </si>
  <si>
    <t>B+</t>
  </si>
  <si>
    <t>BB</t>
  </si>
  <si>
    <t>BB+</t>
  </si>
  <si>
    <t>BBB</t>
  </si>
  <si>
    <t>A-</t>
  </si>
  <si>
    <t>A</t>
  </si>
  <si>
    <t>A+</t>
  </si>
  <si>
    <t>AA</t>
  </si>
  <si>
    <t>AAA</t>
  </si>
  <si>
    <t>USD</t>
  </si>
  <si>
    <t>Income/(Loss) from Affiliates</t>
  </si>
  <si>
    <t>Restructuring Charges</t>
  </si>
  <si>
    <t>Gain (Loss) On Sale Of Assets</t>
  </si>
  <si>
    <t>Asset Writedown</t>
  </si>
  <si>
    <t>Legal Settlements</t>
  </si>
  <si>
    <t>% growth</t>
  </si>
  <si>
    <t xml:space="preserve">  Total Revenues</t>
  </si>
  <si>
    <t>Gross margin</t>
  </si>
  <si>
    <t>% of revenues</t>
  </si>
  <si>
    <t>Other Operating (Expense)/Income</t>
  </si>
  <si>
    <t>% margin</t>
  </si>
  <si>
    <t>% tax rate</t>
  </si>
  <si>
    <t xml:space="preserve"> Unlevered net Income</t>
  </si>
  <si>
    <t>CAPEX</t>
  </si>
  <si>
    <t>EBT incl Unusual Items</t>
  </si>
  <si>
    <t>Balance sheet :</t>
  </si>
  <si>
    <t>Cash And Equivalents</t>
  </si>
  <si>
    <t>Short Term Investments</t>
  </si>
  <si>
    <t xml:space="preserve">  Total Cash &amp; ST Investments</t>
  </si>
  <si>
    <t>Accounts Receivable</t>
  </si>
  <si>
    <t>Other Receivables</t>
  </si>
  <si>
    <t>Inventory</t>
  </si>
  <si>
    <t>Other Current Assets</t>
  </si>
  <si>
    <t xml:space="preserve">  Total Current Assets</t>
  </si>
  <si>
    <t>Accounts Payable</t>
  </si>
  <si>
    <t>Accrued Exp.</t>
  </si>
  <si>
    <t>Short-term Borrowings</t>
  </si>
  <si>
    <t>Curr. Port. of LT Debt</t>
  </si>
  <si>
    <t>Curr. Port. of Cap. Leases</t>
  </si>
  <si>
    <t>Curr. Income Taxes Payable</t>
  </si>
  <si>
    <t>Other Current Liabilities</t>
  </si>
  <si>
    <t xml:space="preserve">  Total Current Liabilities</t>
  </si>
  <si>
    <t>Lockheed Martin - Financials</t>
  </si>
  <si>
    <t xml:space="preserve">  Total Receivables</t>
  </si>
  <si>
    <t>Prepaid Taxes</t>
  </si>
  <si>
    <t>Unearned Revenue, Current</t>
  </si>
  <si>
    <t>Net Working Capital without cash excess</t>
  </si>
  <si>
    <t>Gross Property, Plant &amp; Equipment</t>
  </si>
  <si>
    <t>CAPEX in % of revenues</t>
  </si>
  <si>
    <t>CAPEX in growth in %</t>
  </si>
  <si>
    <t>Cash Flows/CAPEX</t>
  </si>
  <si>
    <t>In M$</t>
  </si>
  <si>
    <t>Lower bound(95%)</t>
  </si>
  <si>
    <t>Upper bound(95%)</t>
  </si>
  <si>
    <t>Year 2019</t>
  </si>
  <si>
    <t>Year 2020</t>
  </si>
  <si>
    <t>Year 2021</t>
  </si>
  <si>
    <t>Year 2022</t>
  </si>
  <si>
    <t>Average interest Free rates for 2019</t>
  </si>
  <si>
    <t>Forecast for 2019</t>
  </si>
  <si>
    <t>Forecasts of next free interest rates( in %)</t>
  </si>
  <si>
    <t>After restructuration ($ million)</t>
  </si>
  <si>
    <t>Leverage</t>
  </si>
  <si>
    <t>Share Price ($)</t>
  </si>
  <si>
    <t>∆ Leverage</t>
  </si>
  <si>
    <t>Cash &amp; Short investments equivalents</t>
  </si>
  <si>
    <t>Historical datas</t>
  </si>
  <si>
    <t>Forecasts</t>
  </si>
  <si>
    <t>Forecast for 2020</t>
  </si>
  <si>
    <t>Forecast for 2021</t>
  </si>
  <si>
    <t>Forecast for 2022</t>
  </si>
  <si>
    <t>Forecast for 2023</t>
  </si>
  <si>
    <t>Average interest Free rates for 2020</t>
  </si>
  <si>
    <t>Average interest Free rates for 2021</t>
  </si>
  <si>
    <t>Average interest Free rates for 2022</t>
  </si>
  <si>
    <t xml:space="preserve"> Operating Exp., Total</t>
  </si>
  <si>
    <t>Year 2023</t>
  </si>
  <si>
    <t xml:space="preserve">Recovery in case of default </t>
  </si>
  <si>
    <r>
      <t xml:space="preserve">Bakruptcy cost </t>
    </r>
    <r>
      <rPr>
        <i/>
        <sz val="9"/>
        <rFont val="Arial"/>
        <family val="2"/>
      </rPr>
      <t>as % of firm value</t>
    </r>
  </si>
  <si>
    <r>
      <t>Interest paid (</t>
    </r>
    <r>
      <rPr>
        <i/>
        <sz val="10"/>
        <rFont val="Arial"/>
        <family val="2"/>
      </rPr>
      <t>in M$</t>
    </r>
    <r>
      <rPr>
        <sz val="10"/>
        <rFont val="Arial"/>
        <family val="2"/>
      </rPr>
      <t>)</t>
    </r>
  </si>
  <si>
    <t>Interest paid (in M$)</t>
  </si>
  <si>
    <t>Growth in %</t>
  </si>
  <si>
    <t>Average growth of account receivable</t>
  </si>
  <si>
    <t>In % of revenues</t>
  </si>
  <si>
    <t>Gross Property, Plant &amp; Equipment in growth in %</t>
  </si>
  <si>
    <t>Depreciation &amp; Amort in growth in %</t>
  </si>
  <si>
    <t>Average Gross Property, Plant &amp; Equipment in growth in %</t>
  </si>
  <si>
    <t xml:space="preserve">Average Depreciation &amp; Amort in growth in %		</t>
  </si>
  <si>
    <t>For the Fiscal Period Ending</t>
  </si>
  <si>
    <t>Increase in NWC</t>
  </si>
  <si>
    <t>Average Depreciation &amp; Amort.</t>
  </si>
  <si>
    <t>Historical period</t>
  </si>
  <si>
    <t>Projection period</t>
  </si>
  <si>
    <t>Dates</t>
  </si>
  <si>
    <t>Dep. Variable:</t>
  </si>
  <si>
    <t>Model:</t>
  </si>
  <si>
    <t>OLS</t>
  </si>
  <si>
    <t>Method:</t>
  </si>
  <si>
    <t>Least Squares</t>
  </si>
  <si>
    <t>F-statistic: </t>
  </si>
  <si>
    <t>Date:</t>
  </si>
  <si>
    <t>Prob (F-statistic):</t>
  </si>
  <si>
    <t>Time:</t>
  </si>
  <si>
    <t>Log-Likelihood: </t>
  </si>
  <si>
    <t>No. Observations:</t>
  </si>
  <si>
    <t>AIC: </t>
  </si>
  <si>
    <t>Df Residuals:</t>
  </si>
  <si>
    <t>BIC: </t>
  </si>
  <si>
    <t>Df Model:</t>
  </si>
  <si>
    <t>Covariance Type:</t>
  </si>
  <si>
    <t>nonrobust</t>
  </si>
  <si>
    <t>coef</t>
  </si>
  <si>
    <t>std err</t>
  </si>
  <si>
    <t>t</t>
  </si>
  <si>
    <t>P&gt;|t|</t>
  </si>
  <si>
    <t>[0.025</t>
  </si>
  <si>
    <t>0.975]</t>
  </si>
  <si>
    <t>Omnibus:</t>
  </si>
  <si>
    <t>Durbin-Watson: </t>
  </si>
  <si>
    <t>Prob(Omnibus):</t>
  </si>
  <si>
    <t>Jarque-Bera (JB): </t>
  </si>
  <si>
    <t>Skew:</t>
  </si>
  <si>
    <t>Prob(JB): </t>
  </si>
  <si>
    <t>Kurtosis:</t>
  </si>
  <si>
    <t>Cond. No. </t>
  </si>
  <si>
    <t>R-squared (uncentered):</t>
  </si>
  <si>
    <t>Adj. R-squared (uncentered):</t>
  </si>
  <si>
    <t>[1] Standard Errors assume that the covariance matrix of the errors is correctly specified.</t>
  </si>
  <si>
    <t>Warnings:</t>
  </si>
  <si>
    <t>Value of Unlevered Firm</t>
  </si>
  <si>
    <t>Revenue growth</t>
  </si>
  <si>
    <t>Cost of Goods Sold</t>
  </si>
  <si>
    <t>SGA Expenses</t>
  </si>
  <si>
    <t>R&amp;D</t>
  </si>
  <si>
    <t>D&amp;A</t>
  </si>
  <si>
    <t>Taxable Income (EBIT)</t>
  </si>
  <si>
    <t>Taxes</t>
  </si>
  <si>
    <t>Depreciation</t>
  </si>
  <si>
    <t>Increases in Net Working Capital</t>
  </si>
  <si>
    <t>Increases in CAPEX</t>
  </si>
  <si>
    <t>Terminal Value</t>
  </si>
  <si>
    <t>Value of Interest Tax Shields</t>
  </si>
  <si>
    <t>Interest paid</t>
  </si>
  <si>
    <t>PV Interest tax shields</t>
  </si>
  <si>
    <t>Terminal value of tax shields</t>
  </si>
  <si>
    <t>Total value of tax shields</t>
  </si>
  <si>
    <t>Sum (PVTS)</t>
  </si>
  <si>
    <t>Costs of Financial distress</t>
  </si>
  <si>
    <t>Risk neutral prob of default</t>
  </si>
  <si>
    <t>PV of tax shields</t>
  </si>
  <si>
    <t>PV of bankruptcy costs</t>
  </si>
  <si>
    <t>Income Statement for unleverage firm</t>
  </si>
  <si>
    <t>Net leverage ratio</t>
  </si>
  <si>
    <t>Unlevered Value</t>
  </si>
  <si>
    <t>Amount of debt</t>
  </si>
  <si>
    <t>Equity</t>
  </si>
  <si>
    <t>Entreprise Value</t>
  </si>
  <si>
    <t>Net leverage ratio (check)</t>
  </si>
  <si>
    <t>Shares Outstanding</t>
  </si>
  <si>
    <t>Share price</t>
  </si>
  <si>
    <t>New share amount</t>
  </si>
  <si>
    <t>New price Share</t>
  </si>
  <si>
    <t>Weight of debt</t>
  </si>
  <si>
    <t>Weight of Equity</t>
  </si>
  <si>
    <t>Risk free rates and nominal corporate taxes in United States</t>
  </si>
  <si>
    <t>US TREASURY BILL RATE - 3 MONTH (EP) NADJ (in %)</t>
  </si>
  <si>
    <t>S&amp;P 500 Index</t>
  </si>
  <si>
    <t>return</t>
  </si>
  <si>
    <t>Beta Calculation, S&amp;P 500 Index and Lockheed Martin stocks</t>
  </si>
  <si>
    <t>Lockheed Martin  stocks</t>
  </si>
  <si>
    <t>Return-Risk Free Rate</t>
  </si>
  <si>
    <t>From the 01.01.2018</t>
  </si>
  <si>
    <t>Beta</t>
  </si>
  <si>
    <t>Forecasted and tested</t>
  </si>
  <si>
    <r>
      <t>Average Gain (Loss) On Sale Of Assets</t>
    </r>
    <r>
      <rPr>
        <i/>
        <sz val="12"/>
        <color theme="1"/>
        <rFont val="Arial"/>
        <family val="2"/>
      </rPr>
      <t>(In% of revenues)</t>
    </r>
    <r>
      <rPr>
        <sz val="12"/>
        <color theme="1"/>
        <rFont val="Arial"/>
        <family val="2"/>
      </rPr>
      <t xml:space="preserve">	</t>
    </r>
  </si>
  <si>
    <r>
      <t xml:space="preserve">Average Restructuring charges </t>
    </r>
    <r>
      <rPr>
        <i/>
        <sz val="12"/>
        <color theme="1"/>
        <rFont val="Arial"/>
        <family val="2"/>
      </rPr>
      <t>(in% of revenues)</t>
    </r>
  </si>
  <si>
    <t xml:space="preserve">Share Price </t>
    <phoneticPr fontId="0" type="noConversion"/>
  </si>
  <si>
    <t>Description</t>
  </si>
  <si>
    <t>Type</t>
  </si>
  <si>
    <t>Principal Due (USD)</t>
  </si>
  <si>
    <t>Coupon/Base Rate</t>
  </si>
  <si>
    <t>Floating Rate</t>
  </si>
  <si>
    <t>Maturity</t>
  </si>
  <si>
    <t>Seniority</t>
  </si>
  <si>
    <t>Secured</t>
  </si>
  <si>
    <t>Convertible</t>
  </si>
  <si>
    <t>Repayment Currency</t>
  </si>
  <si>
    <t>Total Shares Outstanding</t>
    <phoneticPr fontId="0" type="noConversion"/>
  </si>
  <si>
    <t>1.85% Notes</t>
  </si>
  <si>
    <t>Bonds and Notes</t>
  </si>
  <si>
    <t>1.850%</t>
  </si>
  <si>
    <t>NA</t>
  </si>
  <si>
    <t>Senior</t>
  </si>
  <si>
    <t>No</t>
  </si>
  <si>
    <t xml:space="preserve">Total Value of Equity </t>
  </si>
  <si>
    <t>2.50% Notes</t>
  </si>
  <si>
    <t>2.500%</t>
  </si>
  <si>
    <t>3.10% Notes</t>
  </si>
  <si>
    <t>3.100%</t>
  </si>
  <si>
    <t xml:space="preserve">Weight of Equity </t>
  </si>
  <si>
    <t>3.35% Notes</t>
  </si>
  <si>
    <t>3.350%</t>
  </si>
  <si>
    <t>4.25% Notes</t>
  </si>
  <si>
    <t>4.250%</t>
  </si>
  <si>
    <t>Cost of Equity</t>
    <phoneticPr fontId="0" type="noConversion"/>
  </si>
  <si>
    <t>4.50% and 6.15% Notes</t>
  </si>
  <si>
    <t xml:space="preserve">Cost of Debt </t>
  </si>
  <si>
    <t xml:space="preserve">Total bonds and notes </t>
  </si>
  <si>
    <t>Corporate tax rate</t>
  </si>
  <si>
    <t>Market premium</t>
  </si>
  <si>
    <t>Risk-free rate</t>
  </si>
  <si>
    <t xml:space="preserve">Terminal value </t>
    <phoneticPr fontId="0" type="noConversion"/>
  </si>
  <si>
    <t>PV of FCF discounted at WACC</t>
  </si>
  <si>
    <t xml:space="preserve">PV of Terminal value </t>
    <phoneticPr fontId="0" type="noConversion"/>
  </si>
  <si>
    <r>
      <t>Average of minority Int. in Earnings for the 7 last periods years(</t>
    </r>
    <r>
      <rPr>
        <i/>
        <sz val="12"/>
        <color theme="1"/>
        <rFont val="Arial"/>
        <family val="2"/>
      </rPr>
      <t>In % of revenues)</t>
    </r>
  </si>
  <si>
    <r>
      <t>Average of Other Unusual Items for the 7 last periods (</t>
    </r>
    <r>
      <rPr>
        <i/>
        <sz val="12"/>
        <color theme="1"/>
        <rFont val="Arial"/>
        <family val="2"/>
      </rPr>
      <t>in% of revenues)</t>
    </r>
    <r>
      <rPr>
        <sz val="12"/>
        <color theme="1"/>
        <rFont val="Arial"/>
        <family val="2"/>
      </rPr>
      <t xml:space="preserve">		</t>
    </r>
  </si>
  <si>
    <r>
      <t>Average Gain (Loss) On Sale Of Invest for the 7 last periods</t>
    </r>
    <r>
      <rPr>
        <i/>
        <sz val="12"/>
        <color theme="1"/>
        <rFont val="Arial"/>
        <family val="2"/>
      </rPr>
      <t>(in % of revenues)</t>
    </r>
  </si>
  <si>
    <t xml:space="preserve">Non operating Incomes/Expenses for the 7 last periods(in% of revenues) </t>
  </si>
  <si>
    <t>Assumed Perpetual growth rate after 2023</t>
  </si>
  <si>
    <t xml:space="preserve">Annual return for S&amp;P500 </t>
  </si>
  <si>
    <t>Average daily Risk Free rates from 2010 to 2018</t>
  </si>
  <si>
    <r>
      <rPr>
        <b/>
        <sz val="12"/>
        <color theme="1"/>
        <rFont val="Calibri"/>
        <family val="2"/>
        <scheme val="minor"/>
      </rPr>
      <t>WACC Calculation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in millions $</t>
    </r>
    <r>
      <rPr>
        <sz val="12"/>
        <color theme="1"/>
        <rFont val="Calibri"/>
        <family val="2"/>
        <scheme val="minor"/>
      </rPr>
      <t>)</t>
    </r>
  </si>
  <si>
    <t>Enterprize value by using WACC</t>
  </si>
  <si>
    <t>Assumptions</t>
  </si>
  <si>
    <t>Tax rate</t>
  </si>
  <si>
    <t>Debt to equity ratio</t>
  </si>
  <si>
    <t>Unlevered Beta</t>
  </si>
  <si>
    <t>Unlevered cost of capital</t>
  </si>
  <si>
    <t>Return of the market</t>
  </si>
  <si>
    <t>Market Risk Premium</t>
  </si>
  <si>
    <t>Bakruptcy cost as % of firm value</t>
  </si>
  <si>
    <t>Recovery in case of default</t>
  </si>
  <si>
    <t>Unlevered Free Cash Flows</t>
  </si>
  <si>
    <t>Average interest Free rates for 2023</t>
  </si>
  <si>
    <t xml:space="preserve">Assumptions </t>
  </si>
  <si>
    <t xml:space="preserve"> Risk Free Rate</t>
  </si>
  <si>
    <t>Mon, 09 Dec 2019</t>
  </si>
  <si>
    <t>Forecasts(%)</t>
  </si>
  <si>
    <t>Testing regressions for the Risk Free rates between 2006 to 2018</t>
  </si>
  <si>
    <t>Risk Free rates(in%)</t>
  </si>
  <si>
    <t>Forecasts (in %)</t>
  </si>
  <si>
    <t>Growth rate of perpetual growth</t>
  </si>
  <si>
    <t>Value of firm</t>
  </si>
  <si>
    <t>forecasted unlevred cost of capital for 2023</t>
  </si>
  <si>
    <t>Cash Flow in 2023</t>
  </si>
  <si>
    <t>NPV 2019-2022</t>
  </si>
  <si>
    <t xml:space="preserve">Discounted values of FCF until 2022 </t>
  </si>
  <si>
    <t>Tax Shield 2019</t>
  </si>
  <si>
    <t>Tax Shield 2020</t>
  </si>
  <si>
    <t>Tax Shield 2021</t>
  </si>
  <si>
    <t>Tax Shield 2022</t>
  </si>
  <si>
    <t>Terminal Value of tax shield</t>
  </si>
  <si>
    <t>Total TS</t>
  </si>
  <si>
    <t>Tax Shield 2023</t>
  </si>
  <si>
    <t>Perpetuity Growth</t>
  </si>
  <si>
    <t>Unlevered Cost of Capital</t>
  </si>
  <si>
    <t>in M$</t>
  </si>
  <si>
    <t>Cash and short term investments in M$</t>
  </si>
  <si>
    <r>
      <t xml:space="preserve">Value of the the firm-2019 </t>
    </r>
    <r>
      <rPr>
        <b/>
        <i/>
        <sz val="14"/>
        <color theme="1"/>
        <rFont val="Arial"/>
        <family val="2"/>
      </rPr>
      <t>(in M$)</t>
    </r>
  </si>
  <si>
    <r>
      <t xml:space="preserve">Amount of debt </t>
    </r>
    <r>
      <rPr>
        <i/>
        <sz val="12"/>
        <color theme="1"/>
        <rFont val="Calibri"/>
        <family val="2"/>
        <scheme val="minor"/>
      </rPr>
      <t>(in M$)</t>
    </r>
  </si>
  <si>
    <t>$ Million</t>
  </si>
  <si>
    <t>(in M$)</t>
  </si>
  <si>
    <r>
      <rPr>
        <b/>
        <sz val="12"/>
        <color theme="1"/>
        <rFont val="Arial"/>
        <family val="2"/>
      </rPr>
      <t>Competitor's name</t>
    </r>
    <r>
      <rPr>
        <b/>
        <sz val="8"/>
        <color theme="1"/>
        <rFont val="Arial"/>
        <family val="2"/>
      </rPr>
      <t xml:space="preserve">
</t>
    </r>
  </si>
  <si>
    <t>FY 2018 (Dec-31-2018) Capital Structure As Reported Details (in M$)</t>
  </si>
  <si>
    <t>Other operating incomes/expenses</t>
  </si>
  <si>
    <t>Free Cash Flow(without unusual items in including EBT)</t>
  </si>
  <si>
    <t>Total Free Cash Flow(Including unusual items in EBT)</t>
  </si>
  <si>
    <t>Annual Historic Market Premium for S&amp;P500</t>
  </si>
  <si>
    <t>Levred Beta</t>
  </si>
  <si>
    <t>Terminal value</t>
  </si>
  <si>
    <t>Increase in unusual items in EBT(already taxed)</t>
  </si>
  <si>
    <t>At the 31.Dec</t>
  </si>
  <si>
    <t>Trading days per year</t>
  </si>
  <si>
    <t xml:space="preserve">For the Fiscal Period Ending.                             (At the 31.Dec)
</t>
  </si>
  <si>
    <t>*L3 technologies became L3 Harrix Corporation in july 2019</t>
  </si>
  <si>
    <t>Value of unlevered firm (beginning of year, 1.1.20XX)</t>
  </si>
  <si>
    <t>Present value of tax shields (beginning of the year,1.1.20XX)</t>
  </si>
  <si>
    <t>PV of distress costs (beginning of the year,1.1.20XX)</t>
  </si>
  <si>
    <t>Value of levered firm (beginning of the year,1.1.20XX)</t>
  </si>
  <si>
    <t>01.01.2019 (After taking leverage)</t>
  </si>
  <si>
    <t>Average Risk Free rates per year from the 29.11.10 to the 31.12.2018</t>
  </si>
  <si>
    <t>Nominal flat corporate taxe rates in United States for 2019</t>
  </si>
  <si>
    <t>Average Risk free rate forecasted for the next 5 years</t>
  </si>
  <si>
    <r>
      <t>Perpetual average growth of FCF</t>
    </r>
    <r>
      <rPr>
        <i/>
        <sz val="12"/>
        <color theme="1"/>
        <rFont val="Arial"/>
        <family val="2"/>
      </rPr>
      <t>(18 periods basis,from 2001 to 2018)</t>
    </r>
  </si>
  <si>
    <t>Shares repurchased/issued</t>
  </si>
  <si>
    <t>Average future unlevered cost of capital after the next 5 years</t>
  </si>
  <si>
    <r>
      <t>Average of Prepaid Taxes(</t>
    </r>
    <r>
      <rPr>
        <b/>
        <i/>
        <sz val="12"/>
        <color theme="1"/>
        <rFont val="Calibri"/>
        <family val="2"/>
        <scheme val="minor"/>
      </rPr>
      <t>In% of revenues)</t>
    </r>
  </si>
  <si>
    <r>
      <t>Average Growth of Accrued Exp(</t>
    </r>
    <r>
      <rPr>
        <b/>
        <i/>
        <sz val="12"/>
        <color theme="1"/>
        <rFont val="Calibri"/>
        <family val="2"/>
        <scheme val="minor"/>
      </rPr>
      <t>In%)</t>
    </r>
  </si>
  <si>
    <r>
      <t>Average Short Term Borrowing</t>
    </r>
    <r>
      <rPr>
        <b/>
        <i/>
        <sz val="12"/>
        <color theme="1"/>
        <rFont val="Calibri"/>
        <family val="2"/>
        <scheme val="minor"/>
      </rPr>
      <t>(in% of revenues)</t>
    </r>
  </si>
  <si>
    <r>
      <t>Average Curr. Income Taxes Payable</t>
    </r>
    <r>
      <rPr>
        <b/>
        <i/>
        <sz val="12"/>
        <color theme="1"/>
        <rFont val="Calibri"/>
        <family val="2"/>
        <scheme val="minor"/>
      </rPr>
      <t>(in% of revenues)</t>
    </r>
  </si>
  <si>
    <r>
      <t>Average Other Receivable(</t>
    </r>
    <r>
      <rPr>
        <b/>
        <i/>
        <sz val="12"/>
        <color theme="1"/>
        <rFont val="Calibri"/>
        <family val="2"/>
        <scheme val="minor"/>
      </rPr>
      <t>In % of revenues</t>
    </r>
    <r>
      <rPr>
        <b/>
        <sz val="12"/>
        <color theme="1"/>
        <rFont val="Calibri"/>
        <family val="2"/>
        <scheme val="minor"/>
      </rPr>
      <t>)</t>
    </r>
  </si>
  <si>
    <t>Initial Situation</t>
  </si>
  <si>
    <t>Debt ($ million)</t>
  </si>
  <si>
    <t>Assets ($ million)</t>
  </si>
  <si>
    <t>#shares (million)</t>
  </si>
  <si>
    <t>Market value (Equity, $ million)</t>
  </si>
  <si>
    <t>Entreprise value ($ million)</t>
  </si>
  <si>
    <t>Cash &amp; Short investments equivalents ($ million)</t>
  </si>
  <si>
    <t>Market value of equity ($ million)</t>
  </si>
  <si>
    <t xml:space="preserve">Growth of the average amount between 2001-2010 and 2010-2018 </t>
  </si>
  <si>
    <r>
      <t>Average of cost of Goods sold(For the last 7 periods),</t>
    </r>
    <r>
      <rPr>
        <i/>
        <sz val="12"/>
        <color theme="1"/>
        <rFont val="Arial"/>
        <family val="2"/>
      </rPr>
      <t>in % of revenues</t>
    </r>
  </si>
  <si>
    <r>
      <t>Average of other operating revenues,</t>
    </r>
    <r>
      <rPr>
        <i/>
        <sz val="12"/>
        <color theme="1"/>
        <rFont val="Arial"/>
        <family val="2"/>
      </rPr>
      <t>in% of revenues</t>
    </r>
  </si>
  <si>
    <r>
      <t>Average of R&amp;D Exp,</t>
    </r>
    <r>
      <rPr>
        <i/>
        <sz val="12"/>
        <color theme="1"/>
        <rFont val="Arial"/>
        <family val="2"/>
      </rPr>
      <t>in % of revenues</t>
    </r>
  </si>
  <si>
    <t xml:space="preserve">Average of Depreciation &amp; Amort,in % of revenues	</t>
  </si>
  <si>
    <t xml:space="preserve">Average growth of incomes/loss from affiliates </t>
  </si>
  <si>
    <r>
      <t>Average Selling General and Admin Exp (for the 7 last periods),</t>
    </r>
    <r>
      <rPr>
        <i/>
        <sz val="12"/>
        <color theme="1"/>
        <rFont val="Arial"/>
        <family val="2"/>
      </rPr>
      <t>in% of revenues</t>
    </r>
  </si>
  <si>
    <r>
      <t>Average of Asset Writedown for the last 7 periods (</t>
    </r>
    <r>
      <rPr>
        <i/>
        <sz val="12"/>
        <color theme="1"/>
        <rFont val="Arial"/>
        <family val="2"/>
      </rPr>
      <t>in% of revenues)</t>
    </r>
  </si>
  <si>
    <t>Income Statements for the 31 December 2018</t>
  </si>
  <si>
    <t>M&amp;M WACC caclculation method</t>
  </si>
  <si>
    <t>Unlevred WACC</t>
  </si>
  <si>
    <t>Weight of Debt*</t>
  </si>
  <si>
    <t xml:space="preserve">*Why the average? </t>
  </si>
  <si>
    <t>Simply because a good WACC calculation using M&amp;M requires a constant capital structure ratio.We observed a large move in the capital structure ratio after the first day of restructuration and then for the 5 next year a decrease at a constant rate of more than 2%.That's why is seems more relevant to use this value rather than using the debt of weight just after the restructuration .</t>
  </si>
  <si>
    <t>Total Value of Debt</t>
  </si>
  <si>
    <t>At the 1/1/2019</t>
  </si>
  <si>
    <t>Plus:Depreciation &amp; Amort</t>
  </si>
  <si>
    <t>Less:CAPEX</t>
  </si>
  <si>
    <t>Less:Change in 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</si>
</sst>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(* #,##0.0_);_(* \(#,##0.0\)_)\ ;_(* 0_)"/>
    <numFmt numFmtId="165" formatCode="_(#,##0.0%_);_(\(#,##0.0%\)_);_(#,##0.0%_)"/>
    <numFmt numFmtId="166" formatCode="0.0\x"/>
    <numFmt numFmtId="167" formatCode="&quot;$&quot;#,##0_);\(&quot;$&quot;#,##0\)"/>
    <numFmt numFmtId="168" formatCode="&quot;$&quot;#,##0_);[Red]\(&quot;$&quot;#,##0\)"/>
    <numFmt numFmtId="169" formatCode="0.0%"/>
    <numFmt numFmtId="170" formatCode="&quot;$&quot;#,##0"/>
    <numFmt numFmtId="171" formatCode="0.00_);\(0.00\)"/>
    <numFmt numFmtId="172" formatCode="_ * #,##0.0_ ;_ * \-#,##0.0_ ;_ * &quot;-&quot;?_ ;_ @_ "/>
    <numFmt numFmtId="173" formatCode="0.0_);\(0.0\)"/>
    <numFmt numFmtId="174" formatCode="0.0000%"/>
    <numFmt numFmtId="175" formatCode="0.000%"/>
    <numFmt numFmtId="176" formatCode="_(* #,##0.00_);_(* \(#,##0.00\);_(* &quot;-&quot;??_);_(@_)"/>
    <numFmt numFmtId="177" formatCode="_([$$-409]* #,##0_);_([$$-409]* \(#,##0\);_([$$-409]* &quot;-&quot;??_);_(@_)"/>
    <numFmt numFmtId="178" formatCode="_([$$-409]* #,##0.00_);_([$$-409]* \(#,##0.00\);_([$$-409]* &quot;-&quot;??_);_(@_)"/>
    <numFmt numFmtId="179" formatCode="_(* #,##0_);_(* \(#,##0\);_(* &quot;-&quot;??_);_(@_)"/>
    <numFmt numFmtId="180" formatCode="_(\ #,##0.0_);_(\ \(#,##0.0\)_);_(\ &quot; - &quot;_)"/>
    <numFmt numFmtId="181" formatCode="_-[$$-409]* #,##0.00_ ;_-[$$-409]* \-#,##0.00\ ;_-[$$-409]* &quot;-&quot;??_ ;_-@_ "/>
  </numFmts>
  <fonts count="9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0"/>
      <name val="Calibri"/>
      <family val="2"/>
      <scheme val="minor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u val="double"/>
      <sz val="8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u val="double"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9"/>
      <name val="Verdana"/>
      <family val="2"/>
    </font>
    <font>
      <b/>
      <sz val="14"/>
      <color indexed="9"/>
      <name val="Verdana"/>
      <family val="2"/>
    </font>
    <font>
      <b/>
      <u/>
      <sz val="8"/>
      <color indexed="8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9"/>
      <color theme="1"/>
      <name val="Arial Narrow"/>
      <family val="2"/>
    </font>
    <font>
      <b/>
      <sz val="11"/>
      <color rgb="FFFF0000"/>
      <name val="Arial Narrow"/>
      <family val="2"/>
    </font>
    <font>
      <b/>
      <sz val="11"/>
      <color theme="8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 "/>
    </font>
    <font>
      <sz val="12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9"/>
      <name val="Verdana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8"/>
      <color indexed="8"/>
      <name val="Arial"/>
      <family val="2"/>
    </font>
    <font>
      <b/>
      <i/>
      <u/>
      <sz val="10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i/>
      <u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8"/>
      <color indexed="9"/>
      <name val="Verdana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Arial"/>
      <family val="2"/>
    </font>
    <font>
      <sz val="11"/>
      <color theme="1"/>
      <name val="Calibri"/>
      <family val="2"/>
      <charset val="1"/>
    </font>
    <font>
      <sz val="2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rgb="FF000000"/>
      <name val="Calibri"/>
      <family val="2"/>
      <charset val="1"/>
      <scheme val="minor"/>
    </font>
    <font>
      <i/>
      <sz val="9"/>
      <name val="Arial"/>
      <family val="2"/>
    </font>
    <font>
      <i/>
      <sz val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Helvetica Neue"/>
      <family val="2"/>
    </font>
    <font>
      <b/>
      <sz val="22"/>
      <color theme="1"/>
      <name val="Arial"/>
      <family val="2"/>
    </font>
    <font>
      <sz val="8"/>
      <color theme="1"/>
      <name val="Times New Roman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1"/>
      <color theme="0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9"/>
      <color rgb="FF000000"/>
      <name val="Tahoma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"/>
      <color indexed="9"/>
      <name val="Symbol"/>
      <charset val="2"/>
    </font>
    <font>
      <b/>
      <sz val="14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3A3838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i/>
      <sz val="14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 (Body)"/>
    </font>
    <font>
      <sz val="14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72" fillId="0" borderId="0"/>
    <xf numFmtId="0" fontId="83" fillId="0" borderId="0" applyAlignment="0"/>
  </cellStyleXfs>
  <cellXfs count="1203">
    <xf numFmtId="0" fontId="0" fillId="0" borderId="0" xfId="0"/>
    <xf numFmtId="0" fontId="1" fillId="0" borderId="0" xfId="0" applyFont="1"/>
    <xf numFmtId="0" fontId="0" fillId="0" borderId="0" xfId="0" applyBorder="1"/>
    <xf numFmtId="164" fontId="11" fillId="0" borderId="0" xfId="0" applyNumberFormat="1" applyFont="1" applyBorder="1" applyAlignment="1">
      <alignment horizontal="right" vertical="top" wrapText="1"/>
    </xf>
    <xf numFmtId="164" fontId="8" fillId="0" borderId="0" xfId="0" applyNumberFormat="1" applyFont="1" applyBorder="1" applyAlignment="1">
      <alignment horizontal="right" vertical="top" wrapText="1"/>
    </xf>
    <xf numFmtId="0" fontId="19" fillId="0" borderId="0" xfId="0" applyFont="1" applyFill="1" applyAlignment="1">
      <alignment vertical="center"/>
    </xf>
    <xf numFmtId="0" fontId="0" fillId="0" borderId="0" xfId="0" applyFill="1"/>
    <xf numFmtId="0" fontId="20" fillId="0" borderId="0" xfId="0" applyFont="1" applyFill="1" applyAlignment="1">
      <alignment vertical="center"/>
    </xf>
    <xf numFmtId="0" fontId="20" fillId="0" borderId="32" xfId="0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21" fillId="0" borderId="0" xfId="0" applyFont="1" applyFill="1" applyAlignment="1">
      <alignment horizontal="right" vertical="center"/>
    </xf>
    <xf numFmtId="3" fontId="20" fillId="0" borderId="0" xfId="0" applyNumberFormat="1" applyFont="1" applyFill="1" applyAlignment="1">
      <alignment vertical="center"/>
    </xf>
    <xf numFmtId="164" fontId="20" fillId="0" borderId="0" xfId="0" applyNumberFormat="1" applyFont="1" applyFill="1" applyAlignment="1">
      <alignment vertical="center"/>
    </xf>
    <xf numFmtId="166" fontId="22" fillId="0" borderId="0" xfId="0" applyNumberFormat="1" applyFont="1" applyFill="1" applyAlignment="1">
      <alignment vertical="center"/>
    </xf>
    <xf numFmtId="166" fontId="23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17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164" fontId="12" fillId="0" borderId="0" xfId="0" applyNumberFormat="1" applyFont="1" applyFill="1" applyBorder="1" applyAlignment="1">
      <alignment horizontal="right" vertical="top" wrapText="1"/>
    </xf>
    <xf numFmtId="0" fontId="15" fillId="0" borderId="0" xfId="0" applyFont="1" applyFill="1" applyBorder="1"/>
    <xf numFmtId="0" fontId="13" fillId="0" borderId="0" xfId="0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/>
    </xf>
    <xf numFmtId="164" fontId="13" fillId="0" borderId="0" xfId="0" applyNumberFormat="1" applyFont="1" applyFill="1" applyBorder="1" applyAlignment="1">
      <alignment horizontal="right" vertical="top" wrapText="1"/>
    </xf>
    <xf numFmtId="164" fontId="3" fillId="0" borderId="0" xfId="0" applyNumberFormat="1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left" vertical="top"/>
    </xf>
    <xf numFmtId="164" fontId="11" fillId="0" borderId="0" xfId="0" applyNumberFormat="1" applyFont="1" applyFill="1" applyBorder="1" applyAlignment="1">
      <alignment horizontal="right" vertical="top" wrapText="1"/>
    </xf>
    <xf numFmtId="164" fontId="14" fillId="0" borderId="0" xfId="0" applyNumberFormat="1" applyFont="1" applyFill="1" applyBorder="1" applyAlignment="1">
      <alignment horizontal="right" vertical="top" wrapText="1"/>
    </xf>
    <xf numFmtId="164" fontId="18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0" fontId="24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3" fontId="20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3" fontId="20" fillId="0" borderId="31" xfId="0" applyNumberFormat="1" applyFont="1" applyBorder="1" applyAlignment="1">
      <alignment vertical="center"/>
    </xf>
    <xf numFmtId="3" fontId="20" fillId="0" borderId="12" xfId="0" applyNumberFormat="1" applyFont="1" applyBorder="1" applyAlignment="1">
      <alignment vertical="center"/>
    </xf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3" fontId="20" fillId="0" borderId="13" xfId="0" applyNumberFormat="1" applyFont="1" applyBorder="1" applyAlignment="1">
      <alignment vertical="center"/>
    </xf>
    <xf numFmtId="164" fontId="20" fillId="0" borderId="31" xfId="0" applyNumberFormat="1" applyFont="1" applyBorder="1" applyAlignment="1">
      <alignment vertical="center"/>
    </xf>
    <xf numFmtId="0" fontId="0" fillId="0" borderId="0" xfId="0"/>
    <xf numFmtId="164" fontId="8" fillId="0" borderId="0" xfId="0" applyNumberFormat="1" applyFont="1" applyAlignment="1">
      <alignment horizontal="right" vertical="top" wrapText="1"/>
    </xf>
    <xf numFmtId="0" fontId="0" fillId="0" borderId="0" xfId="0" applyBorder="1"/>
    <xf numFmtId="0" fontId="0" fillId="0" borderId="14" xfId="0" applyBorder="1"/>
    <xf numFmtId="0" fontId="29" fillId="0" borderId="0" xfId="0" applyFont="1"/>
    <xf numFmtId="167" fontId="29" fillId="0" borderId="0" xfId="2" applyNumberFormat="1" applyFont="1" applyFill="1" applyBorder="1"/>
    <xf numFmtId="0" fontId="29" fillId="0" borderId="0" xfId="0" applyFont="1" applyAlignment="1">
      <alignment horizontal="center"/>
    </xf>
    <xf numFmtId="9" fontId="29" fillId="0" borderId="0" xfId="1" applyFont="1" applyFill="1" applyBorder="1" applyAlignment="1">
      <alignment horizontal="center"/>
    </xf>
    <xf numFmtId="0" fontId="24" fillId="0" borderId="0" xfId="0" applyFont="1"/>
    <xf numFmtId="10" fontId="29" fillId="0" borderId="0" xfId="1" applyNumberFormat="1" applyFont="1" applyFill="1" applyBorder="1"/>
    <xf numFmtId="10" fontId="29" fillId="0" borderId="0" xfId="1" applyNumberFormat="1" applyFont="1" applyFill="1" applyBorder="1" applyAlignment="1">
      <alignment horizontal="center"/>
    </xf>
    <xf numFmtId="9" fontId="29" fillId="0" borderId="0" xfId="1" applyFont="1" applyFill="1" applyBorder="1"/>
    <xf numFmtId="169" fontId="29" fillId="0" borderId="0" xfId="1" applyNumberFormat="1" applyFont="1" applyFill="1" applyBorder="1"/>
    <xf numFmtId="0" fontId="29" fillId="0" borderId="4" xfId="0" applyFont="1" applyBorder="1" applyAlignment="1">
      <alignment horizontal="center"/>
    </xf>
    <xf numFmtId="2" fontId="29" fillId="0" borderId="0" xfId="1" applyNumberFormat="1" applyFont="1" applyFill="1" applyBorder="1" applyAlignment="1">
      <alignment horizontal="center"/>
    </xf>
    <xf numFmtId="2" fontId="29" fillId="0" borderId="5" xfId="1" applyNumberFormat="1" applyFont="1" applyFill="1" applyBorder="1" applyAlignment="1">
      <alignment horizontal="center"/>
    </xf>
    <xf numFmtId="10" fontId="29" fillId="0" borderId="0" xfId="0" applyNumberFormat="1" applyFont="1" applyAlignment="1">
      <alignment horizontal="center"/>
    </xf>
    <xf numFmtId="10" fontId="29" fillId="0" borderId="5" xfId="1" applyNumberFormat="1" applyFont="1" applyBorder="1" applyAlignment="1">
      <alignment horizontal="center"/>
    </xf>
    <xf numFmtId="0" fontId="29" fillId="0" borderId="0" xfId="1" applyNumberFormat="1" applyFont="1" applyFill="1" applyBorder="1" applyAlignment="1">
      <alignment horizontal="center"/>
    </xf>
    <xf numFmtId="0" fontId="29" fillId="0" borderId="5" xfId="1" applyNumberFormat="1" applyFont="1" applyFill="1" applyBorder="1" applyAlignment="1">
      <alignment horizontal="center"/>
    </xf>
    <xf numFmtId="10" fontId="29" fillId="0" borderId="5" xfId="1" applyNumberFormat="1" applyFont="1" applyFill="1" applyBorder="1" applyAlignment="1">
      <alignment horizontal="center"/>
    </xf>
    <xf numFmtId="170" fontId="29" fillId="0" borderId="0" xfId="2" applyNumberFormat="1" applyFont="1" applyFill="1" applyBorder="1" applyAlignment="1">
      <alignment horizontal="center"/>
    </xf>
    <xf numFmtId="0" fontId="24" fillId="0" borderId="7" xfId="0" applyFont="1" applyBorder="1" applyAlignment="1">
      <alignment horizontal="center"/>
    </xf>
    <xf numFmtId="10" fontId="24" fillId="0" borderId="7" xfId="0" applyNumberFormat="1" applyFont="1" applyBorder="1" applyAlignment="1">
      <alignment horizontal="center"/>
    </xf>
    <xf numFmtId="10" fontId="24" fillId="0" borderId="8" xfId="0" applyNumberFormat="1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10" fontId="29" fillId="0" borderId="7" xfId="0" applyNumberFormat="1" applyFont="1" applyBorder="1" applyAlignment="1">
      <alignment horizontal="center"/>
    </xf>
    <xf numFmtId="10" fontId="29" fillId="0" borderId="8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/>
    <xf numFmtId="164" fontId="3" fillId="0" borderId="0" xfId="0" applyNumberFormat="1" applyFont="1" applyBorder="1" applyAlignment="1">
      <alignment horizontal="right" vertical="top" wrapText="1"/>
    </xf>
    <xf numFmtId="0" fontId="0" fillId="0" borderId="5" xfId="0" applyBorder="1"/>
    <xf numFmtId="0" fontId="0" fillId="0" borderId="14" xfId="0" applyBorder="1"/>
    <xf numFmtId="0" fontId="31" fillId="4" borderId="0" xfId="0" applyFont="1" applyFill="1"/>
    <xf numFmtId="0" fontId="34" fillId="0" borderId="0" xfId="0" applyFont="1" applyBorder="1" applyAlignment="1">
      <alignment horizontal="left" vertical="top"/>
    </xf>
    <xf numFmtId="164" fontId="34" fillId="0" borderId="0" xfId="0" applyNumberFormat="1" applyFont="1" applyBorder="1" applyAlignment="1">
      <alignment horizontal="right" vertical="top" wrapText="1"/>
    </xf>
    <xf numFmtId="164" fontId="32" fillId="0" borderId="0" xfId="0" applyNumberFormat="1" applyFont="1" applyBorder="1" applyAlignment="1">
      <alignment horizontal="right" vertical="top" wrapText="1"/>
    </xf>
    <xf numFmtId="0" fontId="33" fillId="2" borderId="0" xfId="0" applyFont="1" applyFill="1" applyAlignment="1">
      <alignment horizontal="right" wrapText="1"/>
    </xf>
    <xf numFmtId="164" fontId="34" fillId="0" borderId="0" xfId="0" applyNumberFormat="1" applyFont="1" applyBorder="1" applyAlignment="1">
      <alignment horizontal="right" vertical="top" wrapText="1"/>
    </xf>
    <xf numFmtId="164" fontId="43" fillId="0" borderId="25" xfId="0" applyNumberFormat="1" applyFont="1" applyBorder="1" applyAlignment="1">
      <alignment horizontal="left" vertical="top"/>
    </xf>
    <xf numFmtId="9" fontId="34" fillId="0" borderId="0" xfId="1" applyFont="1" applyBorder="1" applyAlignment="1">
      <alignment horizontal="right" vertical="top" wrapText="1"/>
    </xf>
    <xf numFmtId="9" fontId="34" fillId="0" borderId="0" xfId="1" applyFont="1" applyBorder="1" applyAlignment="1">
      <alignment horizontal="right" vertical="top"/>
    </xf>
    <xf numFmtId="164" fontId="43" fillId="0" borderId="0" xfId="0" applyNumberFormat="1" applyFont="1" applyBorder="1" applyAlignment="1">
      <alignment horizontal="right" vertical="top" wrapText="1"/>
    </xf>
    <xf numFmtId="9" fontId="8" fillId="0" borderId="0" xfId="1" applyFont="1" applyBorder="1" applyAlignment="1">
      <alignment horizontal="right" vertical="top" wrapText="1"/>
    </xf>
    <xf numFmtId="164" fontId="34" fillId="0" borderId="0" xfId="0" applyNumberFormat="1" applyFont="1" applyBorder="1" applyAlignment="1">
      <alignment horizontal="right" wrapText="1"/>
    </xf>
    <xf numFmtId="9" fontId="34" fillId="0" borderId="0" xfId="1" applyFont="1" applyBorder="1" applyAlignment="1">
      <alignment horizontal="right" wrapText="1"/>
    </xf>
    <xf numFmtId="9" fontId="34" fillId="0" borderId="0" xfId="1" applyFont="1" applyBorder="1" applyAlignment="1">
      <alignment horizontal="right"/>
    </xf>
    <xf numFmtId="9" fontId="0" fillId="0" borderId="0" xfId="1" applyFont="1" applyBorder="1"/>
    <xf numFmtId="9" fontId="6" fillId="0" borderId="0" xfId="1" applyFont="1" applyBorder="1"/>
    <xf numFmtId="43" fontId="6" fillId="0" borderId="0" xfId="0" applyNumberFormat="1" applyFont="1" applyBorder="1"/>
    <xf numFmtId="9" fontId="8" fillId="0" borderId="0" xfId="1" applyFont="1" applyBorder="1" applyAlignment="1">
      <alignment horizontal="right" wrapText="1"/>
    </xf>
    <xf numFmtId="164" fontId="48" fillId="0" borderId="25" xfId="0" applyNumberFormat="1" applyFont="1" applyBorder="1" applyAlignment="1">
      <alignment horizontal="right" vertical="top" wrapText="1"/>
    </xf>
    <xf numFmtId="0" fontId="24" fillId="0" borderId="5" xfId="0" applyFont="1" applyBorder="1"/>
    <xf numFmtId="173" fontId="25" fillId="0" borderId="25" xfId="0" applyNumberFormat="1" applyFont="1" applyBorder="1"/>
    <xf numFmtId="9" fontId="0" fillId="0" borderId="5" xfId="1" applyFont="1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0" fontId="34" fillId="0" borderId="14" xfId="0" applyFont="1" applyBorder="1" applyAlignment="1">
      <alignment horizontal="left" vertical="top"/>
    </xf>
    <xf numFmtId="9" fontId="6" fillId="0" borderId="0" xfId="1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164" fontId="8" fillId="0" borderId="4" xfId="0" applyNumberFormat="1" applyFont="1" applyBorder="1" applyAlignment="1">
      <alignment horizontal="right" vertical="top" wrapText="1"/>
    </xf>
    <xf numFmtId="9" fontId="34" fillId="0" borderId="5" xfId="1" applyFont="1" applyBorder="1" applyAlignment="1">
      <alignment horizontal="right" vertical="top" wrapText="1"/>
    </xf>
    <xf numFmtId="164" fontId="8" fillId="0" borderId="5" xfId="0" applyNumberFormat="1" applyFont="1" applyBorder="1" applyAlignment="1">
      <alignment horizontal="right" vertical="top" wrapText="1"/>
    </xf>
    <xf numFmtId="9" fontId="34" fillId="0" borderId="4" xfId="1" applyFont="1" applyBorder="1" applyAlignment="1">
      <alignment horizontal="right" vertical="top"/>
    </xf>
    <xf numFmtId="9" fontId="34" fillId="0" borderId="5" xfId="1" applyFont="1" applyBorder="1" applyAlignment="1">
      <alignment horizontal="right" vertical="top"/>
    </xf>
    <xf numFmtId="0" fontId="8" fillId="0" borderId="4" xfId="0" applyFont="1" applyBorder="1" applyAlignment="1">
      <alignment horizontal="right" vertical="top"/>
    </xf>
    <xf numFmtId="9" fontId="8" fillId="0" borderId="4" xfId="1" applyFont="1" applyBorder="1" applyAlignment="1">
      <alignment horizontal="right" vertical="top" wrapText="1"/>
    </xf>
    <xf numFmtId="9" fontId="8" fillId="0" borderId="5" xfId="1" applyFont="1" applyBorder="1" applyAlignment="1">
      <alignment horizontal="right" vertical="top" wrapText="1"/>
    </xf>
    <xf numFmtId="0" fontId="34" fillId="0" borderId="4" xfId="0" applyFont="1" applyBorder="1" applyAlignment="1">
      <alignment horizontal="left" vertical="top"/>
    </xf>
    <xf numFmtId="164" fontId="8" fillId="0" borderId="4" xfId="0" applyNumberFormat="1" applyFont="1" applyBorder="1" applyAlignment="1">
      <alignment horizontal="right" wrapText="1"/>
    </xf>
    <xf numFmtId="9" fontId="8" fillId="0" borderId="4" xfId="1" applyFont="1" applyBorder="1" applyAlignment="1">
      <alignment horizontal="right" wrapText="1"/>
    </xf>
    <xf numFmtId="9" fontId="34" fillId="0" borderId="4" xfId="1" applyFont="1" applyBorder="1" applyAlignment="1">
      <alignment horizontal="right" wrapText="1"/>
    </xf>
    <xf numFmtId="164" fontId="34" fillId="0" borderId="4" xfId="0" applyNumberFormat="1" applyFont="1" applyBorder="1" applyAlignment="1">
      <alignment horizontal="right" wrapText="1"/>
    </xf>
    <xf numFmtId="0" fontId="0" fillId="0" borderId="0" xfId="0" applyBorder="1" applyAlignment="1"/>
    <xf numFmtId="9" fontId="34" fillId="0" borderId="4" xfId="1" applyFont="1" applyBorder="1" applyAlignment="1">
      <alignment horizontal="right"/>
    </xf>
    <xf numFmtId="9" fontId="6" fillId="0" borderId="4" xfId="1" applyFont="1" applyBorder="1"/>
    <xf numFmtId="43" fontId="6" fillId="0" borderId="4" xfId="0" applyNumberFormat="1" applyFont="1" applyBorder="1"/>
    <xf numFmtId="165" fontId="8" fillId="0" borderId="4" xfId="0" applyNumberFormat="1" applyFont="1" applyBorder="1" applyAlignment="1">
      <alignment horizontal="right" vertical="top" wrapText="1"/>
    </xf>
    <xf numFmtId="165" fontId="8" fillId="0" borderId="0" xfId="0" applyNumberFormat="1" applyFont="1" applyBorder="1" applyAlignment="1">
      <alignment horizontal="right" vertical="top" wrapText="1"/>
    </xf>
    <xf numFmtId="164" fontId="43" fillId="0" borderId="4" xfId="0" applyNumberFormat="1" applyFont="1" applyBorder="1" applyAlignment="1">
      <alignment horizontal="right" vertical="top" wrapText="1"/>
    </xf>
    <xf numFmtId="0" fontId="0" fillId="0" borderId="0" xfId="0" applyBorder="1" applyAlignment="1">
      <alignment horizontal="center" vertical="center"/>
    </xf>
    <xf numFmtId="172" fontId="0" fillId="0" borderId="0" xfId="0" applyNumberFormat="1" applyBorder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43" fontId="0" fillId="0" borderId="0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0" fontId="53" fillId="0" borderId="0" xfId="0" applyFont="1" applyBorder="1" applyAlignment="1">
      <alignment horizontal="right"/>
    </xf>
    <xf numFmtId="9" fontId="6" fillId="0" borderId="0" xfId="0" applyNumberFormat="1" applyFont="1" applyBorder="1"/>
    <xf numFmtId="9" fontId="6" fillId="0" borderId="4" xfId="1" applyFont="1" applyBorder="1" applyAlignment="1">
      <alignment horizontal="center"/>
    </xf>
    <xf numFmtId="9" fontId="34" fillId="0" borderId="4" xfId="1" applyFont="1" applyBorder="1" applyAlignment="1">
      <alignment horizontal="right" vertical="top" wrapText="1"/>
    </xf>
    <xf numFmtId="0" fontId="53" fillId="0" borderId="4" xfId="0" applyFont="1" applyBorder="1" applyAlignment="1">
      <alignment horizontal="right"/>
    </xf>
    <xf numFmtId="0" fontId="53" fillId="0" borderId="5" xfId="0" applyFont="1" applyBorder="1" applyAlignment="1">
      <alignment horizontal="right"/>
    </xf>
    <xf numFmtId="164" fontId="8" fillId="0" borderId="4" xfId="0" applyNumberFormat="1" applyFont="1" applyFill="1" applyBorder="1" applyAlignment="1">
      <alignment horizontal="right" vertical="top" wrapText="1"/>
    </xf>
    <xf numFmtId="164" fontId="8" fillId="0" borderId="5" xfId="0" applyNumberFormat="1" applyFont="1" applyFill="1" applyBorder="1" applyAlignment="1">
      <alignment horizontal="right" vertical="top" wrapText="1"/>
    </xf>
    <xf numFmtId="9" fontId="6" fillId="0" borderId="4" xfId="0" applyNumberFormat="1" applyFont="1" applyBorder="1"/>
    <xf numFmtId="9" fontId="6" fillId="0" borderId="5" xfId="0" applyNumberFormat="1" applyFont="1" applyBorder="1"/>
    <xf numFmtId="43" fontId="6" fillId="0" borderId="4" xfId="0" applyNumberFormat="1" applyFont="1" applyBorder="1" applyAlignment="1">
      <alignment horizontal="right"/>
    </xf>
    <xf numFmtId="43" fontId="6" fillId="0" borderId="0" xfId="0" applyNumberFormat="1" applyFont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24" fillId="0" borderId="0" xfId="0" applyFont="1" applyBorder="1"/>
    <xf numFmtId="0" fontId="30" fillId="0" borderId="0" xfId="0" applyFont="1" applyBorder="1"/>
    <xf numFmtId="0" fontId="30" fillId="0" borderId="0" xfId="0" applyFont="1" applyBorder="1" applyAlignment="1">
      <alignment horizontal="center"/>
    </xf>
    <xf numFmtId="0" fontId="29" fillId="0" borderId="0" xfId="0" applyFont="1" applyBorder="1"/>
    <xf numFmtId="0" fontId="24" fillId="0" borderId="0" xfId="0" applyFont="1" applyBorder="1" applyAlignment="1">
      <alignment horizontal="center"/>
    </xf>
    <xf numFmtId="10" fontId="29" fillId="0" borderId="0" xfId="1" applyNumberFormat="1" applyFont="1" applyBorder="1" applyAlignment="1">
      <alignment horizontal="center"/>
    </xf>
    <xf numFmtId="10" fontId="24" fillId="0" borderId="0" xfId="0" applyNumberFormat="1" applyFont="1" applyBorder="1" applyAlignment="1">
      <alignment horizontal="center"/>
    </xf>
    <xf numFmtId="10" fontId="24" fillId="0" borderId="0" xfId="0" applyNumberFormat="1" applyFont="1" applyBorder="1"/>
    <xf numFmtId="9" fontId="24" fillId="0" borderId="0" xfId="0" applyNumberFormat="1" applyFont="1" applyBorder="1"/>
    <xf numFmtId="0" fontId="57" fillId="0" borderId="0" xfId="0" applyFont="1" applyAlignment="1"/>
    <xf numFmtId="0" fontId="57" fillId="0" borderId="0" xfId="0" applyFont="1"/>
    <xf numFmtId="3" fontId="0" fillId="0" borderId="5" xfId="0" applyNumberFormat="1" applyBorder="1"/>
    <xf numFmtId="10" fontId="0" fillId="0" borderId="8" xfId="0" applyNumberFormat="1" applyBorder="1"/>
    <xf numFmtId="10" fontId="0" fillId="0" borderId="5" xfId="0" applyNumberFormat="1" applyBorder="1"/>
    <xf numFmtId="43" fontId="0" fillId="0" borderId="5" xfId="0" applyNumberFormat="1" applyBorder="1"/>
    <xf numFmtId="43" fontId="0" fillId="0" borderId="5" xfId="3" applyFont="1" applyBorder="1"/>
    <xf numFmtId="10" fontId="0" fillId="0" borderId="0" xfId="0" applyNumberFormat="1" applyBorder="1"/>
    <xf numFmtId="3" fontId="0" fillId="0" borderId="8" xfId="0" applyNumberFormat="1" applyBorder="1"/>
    <xf numFmtId="164" fontId="0" fillId="0" borderId="0" xfId="0" applyNumberFormat="1"/>
    <xf numFmtId="0" fontId="32" fillId="0" borderId="0" xfId="0" applyFont="1" applyFill="1" applyBorder="1" applyAlignment="1">
      <alignment horizontal="right" wrapText="1"/>
    </xf>
    <xf numFmtId="0" fontId="3" fillId="0" borderId="4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4" xfId="0" applyBorder="1"/>
    <xf numFmtId="164" fontId="34" fillId="0" borderId="4" xfId="0" applyNumberFormat="1" applyFont="1" applyBorder="1" applyAlignment="1">
      <alignment horizontal="right" vertical="top" wrapText="1"/>
    </xf>
    <xf numFmtId="164" fontId="34" fillId="0" borderId="0" xfId="0" applyNumberFormat="1" applyFont="1" applyBorder="1" applyAlignment="1">
      <alignment horizontal="right" vertical="top" wrapText="1"/>
    </xf>
    <xf numFmtId="164" fontId="32" fillId="0" borderId="0" xfId="0" applyNumberFormat="1" applyFont="1" applyBorder="1" applyAlignment="1">
      <alignment horizontal="right" vertical="top" wrapText="1"/>
    </xf>
    <xf numFmtId="0" fontId="31" fillId="4" borderId="0" xfId="0" applyFont="1" applyFill="1"/>
    <xf numFmtId="0" fontId="0" fillId="2" borderId="2" xfId="0" applyFill="1" applyBorder="1"/>
    <xf numFmtId="0" fontId="0" fillId="2" borderId="3" xfId="0" applyFill="1" applyBorder="1"/>
    <xf numFmtId="9" fontId="6" fillId="0" borderId="4" xfId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8" fillId="0" borderId="0" xfId="1" applyFont="1" applyFill="1" applyBorder="1" applyAlignment="1">
      <alignment horizontal="right" vertical="top" wrapText="1"/>
    </xf>
    <xf numFmtId="0" fontId="46" fillId="0" borderId="0" xfId="0" applyFont="1" applyBorder="1" applyAlignment="1">
      <alignment horizontal="left" vertical="top"/>
    </xf>
    <xf numFmtId="2" fontId="29" fillId="0" borderId="0" xfId="2" applyNumberFormat="1" applyFont="1" applyFill="1" applyBorder="1" applyAlignment="1">
      <alignment horizontal="center"/>
    </xf>
    <xf numFmtId="2" fontId="29" fillId="0" borderId="5" xfId="2" applyNumberFormat="1" applyFont="1" applyFill="1" applyBorder="1" applyAlignment="1">
      <alignment horizontal="center"/>
    </xf>
    <xf numFmtId="9" fontId="29" fillId="0" borderId="11" xfId="0" applyNumberFormat="1" applyFont="1" applyBorder="1"/>
    <xf numFmtId="0" fontId="29" fillId="2" borderId="1" xfId="0" applyFont="1" applyFill="1" applyBorder="1"/>
    <xf numFmtId="0" fontId="29" fillId="5" borderId="1" xfId="0" applyFont="1" applyFill="1" applyBorder="1"/>
    <xf numFmtId="10" fontId="29" fillId="0" borderId="11" xfId="0" applyNumberFormat="1" applyFont="1" applyBorder="1"/>
    <xf numFmtId="0" fontId="29" fillId="6" borderId="0" xfId="0" applyFont="1" applyFill="1"/>
    <xf numFmtId="0" fontId="24" fillId="6" borderId="0" xfId="0" applyFont="1" applyFill="1"/>
    <xf numFmtId="0" fontId="30" fillId="2" borderId="10" xfId="0" applyFont="1" applyFill="1" applyBorder="1" applyAlignment="1">
      <alignment horizontal="center"/>
    </xf>
    <xf numFmtId="0" fontId="30" fillId="2" borderId="11" xfId="0" applyFont="1" applyFill="1" applyBorder="1" applyAlignment="1">
      <alignment horizontal="center"/>
    </xf>
    <xf numFmtId="0" fontId="30" fillId="2" borderId="2" xfId="0" applyFont="1" applyFill="1" applyBorder="1"/>
    <xf numFmtId="0" fontId="24" fillId="2" borderId="14" xfId="0" applyFont="1" applyFill="1" applyBorder="1"/>
    <xf numFmtId="0" fontId="24" fillId="2" borderId="3" xfId="0" applyFont="1" applyFill="1" applyBorder="1"/>
    <xf numFmtId="0" fontId="30" fillId="2" borderId="4" xfId="0" applyFont="1" applyFill="1" applyBorder="1"/>
    <xf numFmtId="0" fontId="29" fillId="2" borderId="4" xfId="0" applyFont="1" applyFill="1" applyBorder="1"/>
    <xf numFmtId="0" fontId="29" fillId="2" borderId="6" xfId="0" applyFont="1" applyFill="1" applyBorder="1"/>
    <xf numFmtId="0" fontId="29" fillId="2" borderId="14" xfId="0" applyFont="1" applyFill="1" applyBorder="1"/>
    <xf numFmtId="0" fontId="29" fillId="2" borderId="3" xfId="0" applyFont="1" applyFill="1" applyBorder="1"/>
    <xf numFmtId="0" fontId="29" fillId="2" borderId="0" xfId="0" applyFont="1" applyFill="1" applyBorder="1"/>
    <xf numFmtId="0" fontId="29" fillId="2" borderId="5" xfId="0" applyFont="1" applyFill="1" applyBorder="1"/>
    <xf numFmtId="0" fontId="29" fillId="6" borderId="4" xfId="0" applyFont="1" applyFill="1" applyBorder="1"/>
    <xf numFmtId="0" fontId="24" fillId="6" borderId="0" xfId="0" applyFont="1" applyFill="1" applyBorder="1" applyAlignment="1">
      <alignment horizontal="center"/>
    </xf>
    <xf numFmtId="10" fontId="24" fillId="6" borderId="0" xfId="0" applyNumberFormat="1" applyFont="1" applyFill="1" applyBorder="1" applyAlignment="1">
      <alignment horizontal="center"/>
    </xf>
    <xf numFmtId="10" fontId="24" fillId="6" borderId="5" xfId="0" applyNumberFormat="1" applyFont="1" applyFill="1" applyBorder="1" applyAlignment="1">
      <alignment horizontal="center"/>
    </xf>
    <xf numFmtId="0" fontId="24" fillId="6" borderId="4" xfId="0" applyFont="1" applyFill="1" applyBorder="1"/>
    <xf numFmtId="10" fontId="24" fillId="6" borderId="0" xfId="0" applyNumberFormat="1" applyFont="1" applyFill="1" applyBorder="1"/>
    <xf numFmtId="0" fontId="24" fillId="6" borderId="0" xfId="0" applyFont="1" applyFill="1" applyBorder="1"/>
    <xf numFmtId="0" fontId="24" fillId="6" borderId="5" xfId="0" applyFont="1" applyFill="1" applyBorder="1"/>
    <xf numFmtId="0" fontId="29" fillId="6" borderId="0" xfId="0" applyFont="1" applyFill="1" applyBorder="1"/>
    <xf numFmtId="0" fontId="29" fillId="6" borderId="5" xfId="0" applyFont="1" applyFill="1" applyBorder="1"/>
    <xf numFmtId="9" fontId="0" fillId="0" borderId="0" xfId="0" applyNumberFormat="1" applyBorder="1"/>
    <xf numFmtId="164" fontId="38" fillId="0" borderId="0" xfId="0" applyNumberFormat="1" applyFont="1" applyBorder="1" applyAlignment="1">
      <alignment horizontal="right" vertical="top" wrapText="1"/>
    </xf>
    <xf numFmtId="43" fontId="8" fillId="0" borderId="4" xfId="0" applyNumberFormat="1" applyFont="1" applyBorder="1" applyAlignment="1">
      <alignment horizontal="right" vertical="top" wrapText="1"/>
    </xf>
    <xf numFmtId="43" fontId="8" fillId="0" borderId="0" xfId="0" applyNumberFormat="1" applyFont="1" applyBorder="1" applyAlignment="1">
      <alignment horizontal="right" vertical="top" wrapText="1"/>
    </xf>
    <xf numFmtId="43" fontId="8" fillId="0" borderId="0" xfId="1" applyNumberFormat="1" applyFont="1" applyBorder="1" applyAlignment="1">
      <alignment horizontal="right" vertical="top" wrapText="1"/>
    </xf>
    <xf numFmtId="9" fontId="6" fillId="0" borderId="4" xfId="1" applyFont="1" applyBorder="1" applyAlignment="1">
      <alignment vertical="top"/>
    </xf>
    <xf numFmtId="9" fontId="6" fillId="0" borderId="0" xfId="1" applyFont="1" applyBorder="1" applyAlignment="1">
      <alignment vertical="top"/>
    </xf>
    <xf numFmtId="43" fontId="6" fillId="0" borderId="4" xfId="0" applyNumberFormat="1" applyFont="1" applyBorder="1" applyAlignment="1">
      <alignment vertical="top"/>
    </xf>
    <xf numFmtId="43" fontId="6" fillId="0" borderId="0" xfId="0" applyNumberFormat="1" applyFont="1" applyBorder="1" applyAlignment="1">
      <alignment vertical="top"/>
    </xf>
    <xf numFmtId="0" fontId="53" fillId="0" borderId="0" xfId="0" applyFont="1"/>
    <xf numFmtId="0" fontId="0" fillId="2" borderId="14" xfId="0" applyFill="1" applyBorder="1"/>
    <xf numFmtId="0" fontId="9" fillId="2" borderId="4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right" wrapText="1"/>
    </xf>
    <xf numFmtId="0" fontId="9" fillId="2" borderId="5" xfId="0" applyFont="1" applyFill="1" applyBorder="1" applyAlignment="1">
      <alignment horizontal="right" wrapText="1"/>
    </xf>
    <xf numFmtId="43" fontId="6" fillId="0" borderId="0" xfId="3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3" fillId="0" borderId="5" xfId="0" applyFont="1" applyBorder="1" applyAlignment="1">
      <alignment vertical="top"/>
    </xf>
    <xf numFmtId="43" fontId="8" fillId="0" borderId="5" xfId="0" applyNumberFormat="1" applyFont="1" applyBorder="1" applyAlignment="1">
      <alignment horizontal="right" vertical="top" wrapText="1"/>
    </xf>
    <xf numFmtId="164" fontId="48" fillId="0" borderId="24" xfId="0" applyNumberFormat="1" applyFont="1" applyBorder="1" applyAlignment="1">
      <alignment horizontal="right" vertical="top" wrapText="1"/>
    </xf>
    <xf numFmtId="164" fontId="48" fillId="0" borderId="26" xfId="0" applyNumberFormat="1" applyFont="1" applyBorder="1" applyAlignment="1">
      <alignment horizontal="right" vertical="top" wrapText="1"/>
    </xf>
    <xf numFmtId="0" fontId="63" fillId="7" borderId="0" xfId="0" applyFont="1" applyFill="1" applyAlignment="1">
      <alignment horizontal="right" wrapText="1"/>
    </xf>
    <xf numFmtId="0" fontId="6" fillId="0" borderId="4" xfId="0" applyFont="1" applyBorder="1" applyAlignment="1">
      <alignment vertical="top"/>
    </xf>
    <xf numFmtId="9" fontId="6" fillId="0" borderId="4" xfId="0" applyNumberFormat="1" applyFont="1" applyBorder="1" applyAlignment="1">
      <alignment vertical="top"/>
    </xf>
    <xf numFmtId="9" fontId="6" fillId="0" borderId="0" xfId="0" applyNumberFormat="1" applyFont="1" applyBorder="1" applyAlignment="1">
      <alignment vertical="top"/>
    </xf>
    <xf numFmtId="43" fontId="6" fillId="0" borderId="4" xfId="0" applyNumberFormat="1" applyFont="1" applyBorder="1" applyAlignment="1">
      <alignment horizontal="left" vertical="top"/>
    </xf>
    <xf numFmtId="43" fontId="6" fillId="0" borderId="0" xfId="0" applyNumberFormat="1" applyFont="1" applyBorder="1" applyAlignment="1">
      <alignment horizontal="left" vertical="top"/>
    </xf>
    <xf numFmtId="164" fontId="6" fillId="0" borderId="4" xfId="0" applyNumberFormat="1" applyFont="1" applyBorder="1" applyAlignment="1">
      <alignment horizontal="center" vertical="top"/>
    </xf>
    <xf numFmtId="164" fontId="6" fillId="0" borderId="0" xfId="0" applyNumberFormat="1" applyFont="1" applyBorder="1" applyAlignment="1">
      <alignment horizontal="center" vertical="top"/>
    </xf>
    <xf numFmtId="9" fontId="6" fillId="0" borderId="0" xfId="1" applyFont="1" applyBorder="1" applyAlignment="1">
      <alignment horizontal="right" vertical="top"/>
    </xf>
    <xf numFmtId="0" fontId="63" fillId="7" borderId="0" xfId="0" applyFont="1" applyFill="1" applyBorder="1" applyAlignment="1">
      <alignment horizontal="right" wrapText="1"/>
    </xf>
    <xf numFmtId="0" fontId="63" fillId="7" borderId="5" xfId="0" applyFont="1" applyFill="1" applyBorder="1" applyAlignment="1">
      <alignment horizontal="right" wrapText="1"/>
    </xf>
    <xf numFmtId="164" fontId="46" fillId="0" borderId="0" xfId="0" applyNumberFormat="1" applyFont="1" applyBorder="1" applyAlignment="1">
      <alignment horizontal="right" vertical="top" wrapText="1"/>
    </xf>
    <xf numFmtId="164" fontId="48" fillId="0" borderId="0" xfId="0" applyNumberFormat="1" applyFont="1" applyBorder="1" applyAlignment="1">
      <alignment horizontal="right" vertical="top" wrapText="1"/>
    </xf>
    <xf numFmtId="43" fontId="8" fillId="0" borderId="0" xfId="2" applyNumberFormat="1" applyFont="1" applyBorder="1" applyAlignment="1">
      <alignment horizontal="right" vertical="top" wrapText="1"/>
    </xf>
    <xf numFmtId="43" fontId="8" fillId="0" borderId="5" xfId="2" applyNumberFormat="1" applyFont="1" applyBorder="1" applyAlignment="1">
      <alignment horizontal="right" vertical="top" wrapText="1"/>
    </xf>
    <xf numFmtId="173" fontId="25" fillId="0" borderId="0" xfId="0" applyNumberFormat="1" applyFont="1" applyBorder="1"/>
    <xf numFmtId="173" fontId="25" fillId="0" borderId="5" xfId="0" applyNumberFormat="1" applyFont="1" applyBorder="1"/>
    <xf numFmtId="9" fontId="49" fillId="0" borderId="0" xfId="1" applyFont="1" applyBorder="1"/>
    <xf numFmtId="9" fontId="49" fillId="0" borderId="5" xfId="1" applyFont="1" applyBorder="1"/>
    <xf numFmtId="173" fontId="25" fillId="0" borderId="26" xfId="0" applyNumberFormat="1" applyFont="1" applyBorder="1"/>
    <xf numFmtId="0" fontId="63" fillId="7" borderId="4" xfId="0" applyFont="1" applyFill="1" applyBorder="1" applyAlignment="1">
      <alignment horizontal="right" wrapText="1"/>
    </xf>
    <xf numFmtId="9" fontId="8" fillId="0" borderId="4" xfId="1" applyNumberFormat="1" applyFont="1" applyBorder="1" applyAlignment="1">
      <alignment horizontal="right" vertical="top" wrapText="1"/>
    </xf>
    <xf numFmtId="0" fontId="6" fillId="0" borderId="5" xfId="0" applyFont="1" applyBorder="1" applyAlignment="1">
      <alignment vertical="top"/>
    </xf>
    <xf numFmtId="43" fontId="6" fillId="0" borderId="5" xfId="0" applyNumberFormat="1" applyFont="1" applyBorder="1" applyAlignment="1">
      <alignment vertical="top"/>
    </xf>
    <xf numFmtId="9" fontId="6" fillId="0" borderId="5" xfId="0" applyNumberFormat="1" applyFont="1" applyBorder="1" applyAlignment="1">
      <alignment vertical="top"/>
    </xf>
    <xf numFmtId="43" fontId="6" fillId="0" borderId="5" xfId="0" applyNumberFormat="1" applyFont="1" applyBorder="1" applyAlignment="1">
      <alignment horizontal="left" vertical="top"/>
    </xf>
    <xf numFmtId="164" fontId="6" fillId="0" borderId="5" xfId="0" applyNumberFormat="1" applyFont="1" applyBorder="1" applyAlignment="1">
      <alignment horizontal="center" vertical="top"/>
    </xf>
    <xf numFmtId="9" fontId="6" fillId="0" borderId="4" xfId="1" applyFont="1" applyBorder="1" applyAlignment="1">
      <alignment horizontal="right" vertical="top"/>
    </xf>
    <xf numFmtId="9" fontId="6" fillId="0" borderId="5" xfId="1" applyFont="1" applyBorder="1" applyAlignment="1">
      <alignment horizontal="right" vertical="top"/>
    </xf>
    <xf numFmtId="43" fontId="8" fillId="0" borderId="4" xfId="2" applyNumberFormat="1" applyFont="1" applyBorder="1" applyAlignment="1">
      <alignment horizontal="right" vertical="top" wrapText="1"/>
    </xf>
    <xf numFmtId="173" fontId="25" fillId="0" borderId="4" xfId="0" applyNumberFormat="1" applyFont="1" applyBorder="1"/>
    <xf numFmtId="9" fontId="49" fillId="0" borderId="4" xfId="1" applyFont="1" applyBorder="1"/>
    <xf numFmtId="9" fontId="0" fillId="0" borderId="6" xfId="1" applyFont="1" applyBorder="1"/>
    <xf numFmtId="0" fontId="1" fillId="0" borderId="5" xfId="0" applyFont="1" applyBorder="1"/>
    <xf numFmtId="9" fontId="0" fillId="0" borderId="5" xfId="0" applyNumberFormat="1" applyBorder="1"/>
    <xf numFmtId="43" fontId="0" fillId="0" borderId="4" xfId="0" applyNumberFormat="1" applyBorder="1" applyAlignment="1">
      <alignment horizontal="right" vertical="top"/>
    </xf>
    <xf numFmtId="43" fontId="0" fillId="0" borderId="6" xfId="0" applyNumberFormat="1" applyBorder="1" applyAlignment="1">
      <alignment horizontal="right" vertical="top"/>
    </xf>
    <xf numFmtId="43" fontId="0" fillId="0" borderId="7" xfId="0" applyNumberFormat="1" applyBorder="1" applyAlignment="1">
      <alignment horizontal="right" vertical="top"/>
    </xf>
    <xf numFmtId="9" fontId="53" fillId="0" borderId="0" xfId="1" applyFont="1" applyBorder="1"/>
    <xf numFmtId="9" fontId="53" fillId="0" borderId="4" xfId="1" applyFont="1" applyBorder="1"/>
    <xf numFmtId="164" fontId="43" fillId="0" borderId="0" xfId="0" applyNumberFormat="1" applyFont="1" applyBorder="1" applyAlignment="1">
      <alignment horizontal="right" wrapText="1"/>
    </xf>
    <xf numFmtId="164" fontId="38" fillId="0" borderId="4" xfId="0" applyNumberFormat="1" applyFont="1" applyBorder="1" applyAlignment="1">
      <alignment horizontal="right" vertical="top" wrapText="1"/>
    </xf>
    <xf numFmtId="164" fontId="43" fillId="0" borderId="2" xfId="0" applyNumberFormat="1" applyFont="1" applyBorder="1" applyAlignment="1">
      <alignment horizontal="right" vertical="top" wrapText="1"/>
    </xf>
    <xf numFmtId="164" fontId="43" fillId="0" borderId="14" xfId="0" applyNumberFormat="1" applyFont="1" applyBorder="1" applyAlignment="1">
      <alignment horizontal="right" vertical="top" wrapText="1"/>
    </xf>
    <xf numFmtId="164" fontId="43" fillId="0" borderId="3" xfId="0" applyNumberFormat="1" applyFont="1" applyBorder="1" applyAlignment="1">
      <alignment horizontal="right" vertical="top" wrapText="1"/>
    </xf>
    <xf numFmtId="164" fontId="8" fillId="0" borderId="6" xfId="0" applyNumberFormat="1" applyFont="1" applyBorder="1" applyAlignment="1">
      <alignment horizontal="right" vertical="top" wrapText="1"/>
    </xf>
    <xf numFmtId="164" fontId="8" fillId="0" borderId="7" xfId="0" applyNumberFormat="1" applyFont="1" applyBorder="1" applyAlignment="1">
      <alignment horizontal="right" vertical="top" wrapText="1"/>
    </xf>
    <xf numFmtId="9" fontId="34" fillId="0" borderId="7" xfId="1" applyFont="1" applyBorder="1" applyAlignment="1">
      <alignment horizontal="right" vertical="top" wrapText="1"/>
    </xf>
    <xf numFmtId="43" fontId="6" fillId="0" borderId="5" xfId="0" applyNumberFormat="1" applyFont="1" applyBorder="1" applyAlignment="1">
      <alignment horizontal="right"/>
    </xf>
    <xf numFmtId="9" fontId="6" fillId="0" borderId="5" xfId="1" applyFont="1" applyBorder="1" applyAlignment="1">
      <alignment horizontal="right"/>
    </xf>
    <xf numFmtId="9" fontId="8" fillId="0" borderId="4" xfId="1" applyFont="1" applyFill="1" applyBorder="1" applyAlignment="1">
      <alignment horizontal="right" vertical="top" wrapText="1"/>
    </xf>
    <xf numFmtId="9" fontId="8" fillId="0" borderId="5" xfId="1" applyFont="1" applyFill="1" applyBorder="1" applyAlignment="1">
      <alignment horizontal="right" vertical="top" wrapText="1"/>
    </xf>
    <xf numFmtId="9" fontId="6" fillId="0" borderId="6" xfId="0" applyNumberFormat="1" applyFont="1" applyBorder="1"/>
    <xf numFmtId="9" fontId="6" fillId="0" borderId="7" xfId="0" applyNumberFormat="1" applyFont="1" applyBorder="1"/>
    <xf numFmtId="9" fontId="6" fillId="0" borderId="8" xfId="0" applyNumberFormat="1" applyFont="1" applyBorder="1"/>
    <xf numFmtId="172" fontId="3" fillId="0" borderId="14" xfId="0" applyNumberFormat="1" applyFont="1" applyBorder="1" applyAlignment="1">
      <alignment horizontal="right" vertical="top" wrapText="1"/>
    </xf>
    <xf numFmtId="9" fontId="8" fillId="0" borderId="6" xfId="1" applyFont="1" applyBorder="1" applyAlignment="1">
      <alignment horizontal="right"/>
    </xf>
    <xf numFmtId="9" fontId="8" fillId="0" borderId="7" xfId="1" applyFont="1" applyBorder="1" applyAlignment="1">
      <alignment horizontal="right"/>
    </xf>
    <xf numFmtId="172" fontId="25" fillId="0" borderId="2" xfId="0" applyNumberFormat="1" applyFont="1" applyBorder="1"/>
    <xf numFmtId="172" fontId="25" fillId="0" borderId="14" xfId="0" applyNumberFormat="1" applyFont="1" applyBorder="1"/>
    <xf numFmtId="172" fontId="25" fillId="0" borderId="3" xfId="0" applyNumberFormat="1" applyFont="1" applyBorder="1"/>
    <xf numFmtId="9" fontId="34" fillId="0" borderId="5" xfId="1" applyFont="1" applyBorder="1" applyAlignment="1">
      <alignment horizontal="right" wrapText="1"/>
    </xf>
    <xf numFmtId="9" fontId="8" fillId="0" borderId="5" xfId="1" applyFont="1" applyBorder="1" applyAlignment="1">
      <alignment horizontal="right" wrapText="1"/>
    </xf>
    <xf numFmtId="9" fontId="8" fillId="0" borderId="6" xfId="1" applyFont="1" applyBorder="1" applyAlignment="1">
      <alignment horizontal="right" vertical="top" wrapText="1"/>
    </xf>
    <xf numFmtId="9" fontId="8" fillId="0" borderId="7" xfId="1" applyFont="1" applyBorder="1" applyAlignment="1">
      <alignment horizontal="right" vertical="top" wrapText="1"/>
    </xf>
    <xf numFmtId="9" fontId="8" fillId="0" borderId="8" xfId="1" applyFont="1" applyBorder="1" applyAlignment="1">
      <alignment horizontal="right" vertical="top" wrapText="1"/>
    </xf>
    <xf numFmtId="9" fontId="34" fillId="0" borderId="5" xfId="1" applyFont="1" applyBorder="1" applyAlignment="1">
      <alignment horizontal="right"/>
    </xf>
    <xf numFmtId="43" fontId="6" fillId="0" borderId="5" xfId="0" applyNumberFormat="1" applyFont="1" applyBorder="1"/>
    <xf numFmtId="9" fontId="6" fillId="0" borderId="5" xfId="1" applyFont="1" applyBorder="1"/>
    <xf numFmtId="165" fontId="8" fillId="0" borderId="5" xfId="0" applyNumberFormat="1" applyFont="1" applyBorder="1" applyAlignment="1">
      <alignment horizontal="right" vertical="top" wrapText="1"/>
    </xf>
    <xf numFmtId="9" fontId="6" fillId="0" borderId="5" xfId="1" applyFont="1" applyBorder="1" applyAlignment="1">
      <alignment vertical="top"/>
    </xf>
    <xf numFmtId="0" fontId="0" fillId="0" borderId="5" xfId="0" applyBorder="1" applyAlignment="1"/>
    <xf numFmtId="43" fontId="25" fillId="0" borderId="2" xfId="0" applyNumberFormat="1" applyFont="1" applyBorder="1"/>
    <xf numFmtId="43" fontId="25" fillId="0" borderId="14" xfId="0" applyNumberFormat="1" applyFont="1" applyBorder="1"/>
    <xf numFmtId="43" fontId="25" fillId="0" borderId="3" xfId="0" applyNumberFormat="1" applyFont="1" applyBorder="1"/>
    <xf numFmtId="9" fontId="53" fillId="0" borderId="5" xfId="1" applyFont="1" applyBorder="1"/>
    <xf numFmtId="164" fontId="43" fillId="0" borderId="4" xfId="0" applyNumberFormat="1" applyFont="1" applyBorder="1" applyAlignment="1">
      <alignment horizontal="right" wrapText="1"/>
    </xf>
    <xf numFmtId="164" fontId="43" fillId="0" borderId="5" xfId="0" applyNumberFormat="1" applyFont="1" applyBorder="1" applyAlignment="1">
      <alignment horizontal="right" wrapText="1"/>
    </xf>
    <xf numFmtId="164" fontId="38" fillId="0" borderId="5" xfId="0" applyNumberFormat="1" applyFont="1" applyBorder="1" applyAlignment="1">
      <alignment horizontal="right" vertical="top" wrapText="1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4" xfId="0" applyBorder="1"/>
    <xf numFmtId="0" fontId="68" fillId="0" borderId="0" xfId="0" applyFont="1"/>
    <xf numFmtId="0" fontId="69" fillId="0" borderId="0" xfId="0" applyFont="1"/>
    <xf numFmtId="0" fontId="69" fillId="0" borderId="9" xfId="0" applyFont="1" applyBorder="1"/>
    <xf numFmtId="0" fontId="68" fillId="0" borderId="10" xfId="0" applyFont="1" applyBorder="1"/>
    <xf numFmtId="0" fontId="68" fillId="0" borderId="11" xfId="0" applyFont="1" applyBorder="1"/>
    <xf numFmtId="0" fontId="68" fillId="0" borderId="31" xfId="0" applyFont="1" applyBorder="1"/>
    <xf numFmtId="0" fontId="68" fillId="0" borderId="12" xfId="0" applyFont="1" applyBorder="1"/>
    <xf numFmtId="0" fontId="69" fillId="0" borderId="31" xfId="0" applyFont="1" applyBorder="1"/>
    <xf numFmtId="0" fontId="69" fillId="0" borderId="12" xfId="0" applyFont="1" applyBorder="1"/>
    <xf numFmtId="0" fontId="69" fillId="0" borderId="13" xfId="0" applyFont="1" applyBorder="1"/>
    <xf numFmtId="0" fontId="69" fillId="0" borderId="31" xfId="0" applyFont="1" applyBorder="1" applyAlignment="1">
      <alignment horizontal="center"/>
    </xf>
    <xf numFmtId="0" fontId="69" fillId="0" borderId="12" xfId="0" applyFont="1" applyBorder="1" applyAlignment="1">
      <alignment horizontal="center"/>
    </xf>
    <xf numFmtId="21" fontId="69" fillId="0" borderId="12" xfId="0" applyNumberFormat="1" applyFont="1" applyBorder="1" applyAlignment="1">
      <alignment horizontal="center"/>
    </xf>
    <xf numFmtId="0" fontId="69" fillId="0" borderId="13" xfId="0" applyFont="1" applyBorder="1" applyAlignment="1">
      <alignment horizontal="center"/>
    </xf>
    <xf numFmtId="0" fontId="69" fillId="0" borderId="5" xfId="0" applyFont="1" applyBorder="1"/>
    <xf numFmtId="0" fontId="68" fillId="0" borderId="13" xfId="0" applyFont="1" applyBorder="1"/>
    <xf numFmtId="0" fontId="69" fillId="0" borderId="1" xfId="0" applyFont="1" applyBorder="1"/>
    <xf numFmtId="0" fontId="68" fillId="0" borderId="9" xfId="0" applyFont="1" applyBorder="1"/>
    <xf numFmtId="0" fontId="0" fillId="0" borderId="0" xfId="0" applyBorder="1"/>
    <xf numFmtId="0" fontId="0" fillId="2" borderId="9" xfId="0" applyFill="1" applyBorder="1" applyAlignment="1">
      <alignment horizontal="center" vertical="center"/>
    </xf>
    <xf numFmtId="0" fontId="31" fillId="4" borderId="2" xfId="0" applyFont="1" applyFill="1" applyBorder="1"/>
    <xf numFmtId="0" fontId="31" fillId="4" borderId="14" xfId="0" applyFont="1" applyFill="1" applyBorder="1"/>
    <xf numFmtId="0" fontId="31" fillId="4" borderId="3" xfId="0" applyFont="1" applyFill="1" applyBorder="1"/>
    <xf numFmtId="0" fontId="0" fillId="0" borderId="0" xfId="0" applyFill="1" applyBorder="1"/>
    <xf numFmtId="0" fontId="68" fillId="0" borderId="0" xfId="0" applyFont="1" applyBorder="1"/>
    <xf numFmtId="0" fontId="69" fillId="0" borderId="0" xfId="0" applyFont="1" applyBorder="1"/>
    <xf numFmtId="11" fontId="69" fillId="0" borderId="12" xfId="0" applyNumberFormat="1" applyFont="1" applyBorder="1"/>
    <xf numFmtId="0" fontId="68" fillId="0" borderId="1" xfId="0" applyFont="1" applyBorder="1"/>
    <xf numFmtId="0" fontId="0" fillId="6" borderId="0" xfId="0" applyFill="1" applyBorder="1"/>
    <xf numFmtId="164" fontId="8" fillId="0" borderId="8" xfId="0" applyNumberFormat="1" applyFont="1" applyBorder="1" applyAlignment="1">
      <alignment horizontal="right" vertical="top" wrapText="1"/>
    </xf>
    <xf numFmtId="0" fontId="0" fillId="0" borderId="2" xfId="0" applyFill="1" applyBorder="1"/>
    <xf numFmtId="0" fontId="68" fillId="0" borderId="5" xfId="0" applyFont="1" applyBorder="1"/>
    <xf numFmtId="0" fontId="70" fillId="0" borderId="0" xfId="0" applyFont="1" applyBorder="1"/>
    <xf numFmtId="0" fontId="1" fillId="0" borderId="0" xfId="0" applyFont="1" applyBorder="1" applyAlignment="1"/>
    <xf numFmtId="0" fontId="73" fillId="6" borderId="4" xfId="4" applyFont="1" applyFill="1" applyBorder="1"/>
    <xf numFmtId="0" fontId="73" fillId="6" borderId="2" xfId="4" applyFont="1" applyFill="1" applyBorder="1"/>
    <xf numFmtId="0" fontId="73" fillId="6" borderId="6" xfId="4" applyFont="1" applyFill="1" applyBorder="1"/>
    <xf numFmtId="0" fontId="29" fillId="6" borderId="2" xfId="4" applyFont="1" applyFill="1" applyBorder="1"/>
    <xf numFmtId="0" fontId="75" fillId="6" borderId="2" xfId="4" applyFont="1" applyFill="1" applyBorder="1"/>
    <xf numFmtId="0" fontId="75" fillId="6" borderId="4" xfId="4" applyFont="1" applyFill="1" applyBorder="1" applyAlignment="1">
      <alignment horizontal="left" indent="1"/>
    </xf>
    <xf numFmtId="0" fontId="32" fillId="2" borderId="4" xfId="0" applyFont="1" applyFill="1" applyBorder="1" applyAlignment="1">
      <alignment horizontal="right" wrapText="1"/>
    </xf>
    <xf numFmtId="0" fontId="32" fillId="2" borderId="0" xfId="0" applyFont="1" applyFill="1" applyBorder="1" applyAlignment="1">
      <alignment horizontal="right" wrapText="1"/>
    </xf>
    <xf numFmtId="0" fontId="32" fillId="2" borderId="5" xfId="0" applyFont="1" applyFill="1" applyBorder="1" applyAlignment="1">
      <alignment horizontal="right" wrapText="1"/>
    </xf>
    <xf numFmtId="0" fontId="32" fillId="2" borderId="2" xfId="0" applyFont="1" applyFill="1" applyBorder="1" applyAlignment="1">
      <alignment horizontal="right" wrapText="1"/>
    </xf>
    <xf numFmtId="0" fontId="32" fillId="2" borderId="14" xfId="0" applyFont="1" applyFill="1" applyBorder="1" applyAlignment="1">
      <alignment horizontal="right" wrapText="1"/>
    </xf>
    <xf numFmtId="0" fontId="32" fillId="2" borderId="3" xfId="0" applyFont="1" applyFill="1" applyBorder="1" applyAlignment="1">
      <alignment horizontal="right" wrapText="1"/>
    </xf>
    <xf numFmtId="0" fontId="0" fillId="0" borderId="0" xfId="0" applyAlignment="1"/>
    <xf numFmtId="10" fontId="77" fillId="6" borderId="40" xfId="0" applyNumberFormat="1" applyFont="1" applyFill="1" applyBorder="1"/>
    <xf numFmtId="43" fontId="78" fillId="6" borderId="33" xfId="3" applyFont="1" applyFill="1" applyBorder="1"/>
    <xf numFmtId="177" fontId="77" fillId="6" borderId="33" xfId="0" applyNumberFormat="1" applyFont="1" applyFill="1" applyBorder="1"/>
    <xf numFmtId="178" fontId="78" fillId="6" borderId="33" xfId="0" applyNumberFormat="1" applyFont="1" applyFill="1" applyBorder="1"/>
    <xf numFmtId="177" fontId="78" fillId="6" borderId="33" xfId="3" applyNumberFormat="1" applyFont="1" applyFill="1" applyBorder="1"/>
    <xf numFmtId="10" fontId="78" fillId="6" borderId="33" xfId="0" applyNumberFormat="1" applyFont="1" applyFill="1" applyBorder="1"/>
    <xf numFmtId="179" fontId="77" fillId="6" borderId="33" xfId="3" applyNumberFormat="1" applyFont="1" applyFill="1" applyBorder="1"/>
    <xf numFmtId="1" fontId="77" fillId="6" borderId="33" xfId="0" applyNumberFormat="1" applyFont="1" applyFill="1" applyBorder="1"/>
    <xf numFmtId="178" fontId="77" fillId="6" borderId="33" xfId="0" applyNumberFormat="1" applyFont="1" applyFill="1" applyBorder="1"/>
    <xf numFmtId="0" fontId="77" fillId="6" borderId="33" xfId="0" applyFont="1" applyFill="1" applyBorder="1" applyAlignment="1">
      <alignment horizontal="center"/>
    </xf>
    <xf numFmtId="0" fontId="78" fillId="6" borderId="33" xfId="0" applyFont="1" applyFill="1" applyBorder="1" applyAlignment="1">
      <alignment horizontal="center"/>
    </xf>
    <xf numFmtId="176" fontId="77" fillId="6" borderId="33" xfId="0" applyNumberFormat="1" applyFont="1" applyFill="1" applyBorder="1"/>
    <xf numFmtId="2" fontId="1" fillId="6" borderId="41" xfId="0" applyNumberFormat="1" applyFont="1" applyFill="1" applyBorder="1"/>
    <xf numFmtId="0" fontId="0" fillId="6" borderId="0" xfId="0" applyFill="1"/>
    <xf numFmtId="10" fontId="0" fillId="6" borderId="0" xfId="0" applyNumberFormat="1" applyFill="1"/>
    <xf numFmtId="10" fontId="0" fillId="6" borderId="42" xfId="1" applyNumberFormat="1" applyFont="1" applyFill="1" applyBorder="1" applyAlignment="1">
      <alignment horizontal="center"/>
    </xf>
    <xf numFmtId="10" fontId="0" fillId="6" borderId="43" xfId="1" applyNumberFormat="1" applyFont="1" applyFill="1" applyBorder="1" applyAlignment="1">
      <alignment horizontal="center"/>
    </xf>
    <xf numFmtId="0" fontId="78" fillId="2" borderId="34" xfId="0" applyFont="1" applyFill="1" applyBorder="1"/>
    <xf numFmtId="0" fontId="0" fillId="2" borderId="34" xfId="0" applyFill="1" applyBorder="1"/>
    <xf numFmtId="177" fontId="0" fillId="2" borderId="38" xfId="0" applyNumberFormat="1" applyFill="1" applyBorder="1"/>
    <xf numFmtId="0" fontId="1" fillId="2" borderId="34" xfId="0" applyFont="1" applyFill="1" applyBorder="1"/>
    <xf numFmtId="0" fontId="1" fillId="2" borderId="39" xfId="0" applyFont="1" applyFill="1" applyBorder="1"/>
    <xf numFmtId="0" fontId="0" fillId="2" borderId="0" xfId="0" applyFill="1"/>
    <xf numFmtId="0" fontId="76" fillId="0" borderId="0" xfId="0" applyFont="1" applyFill="1" applyBorder="1" applyAlignment="1">
      <alignment horizontal="center"/>
    </xf>
    <xf numFmtId="169" fontId="77" fillId="0" borderId="0" xfId="0" applyNumberFormat="1" applyFont="1" applyFill="1" applyBorder="1"/>
    <xf numFmtId="176" fontId="78" fillId="0" borderId="0" xfId="3" applyNumberFormat="1" applyFont="1" applyFill="1" applyBorder="1"/>
    <xf numFmtId="177" fontId="77" fillId="0" borderId="0" xfId="0" applyNumberFormat="1" applyFont="1" applyFill="1" applyBorder="1"/>
    <xf numFmtId="9" fontId="77" fillId="0" borderId="0" xfId="0" applyNumberFormat="1" applyFont="1" applyFill="1" applyBorder="1"/>
    <xf numFmtId="178" fontId="78" fillId="0" borderId="0" xfId="0" applyNumberFormat="1" applyFont="1" applyFill="1" applyBorder="1"/>
    <xf numFmtId="177" fontId="78" fillId="0" borderId="0" xfId="3" applyNumberFormat="1" applyFont="1" applyFill="1" applyBorder="1"/>
    <xf numFmtId="10" fontId="78" fillId="0" borderId="0" xfId="0" applyNumberFormat="1" applyFont="1" applyFill="1" applyBorder="1"/>
    <xf numFmtId="179" fontId="77" fillId="0" borderId="0" xfId="3" applyNumberFormat="1" applyFont="1" applyFill="1" applyBorder="1"/>
    <xf numFmtId="178" fontId="77" fillId="0" borderId="0" xfId="0" applyNumberFormat="1" applyFont="1" applyFill="1" applyBorder="1"/>
    <xf numFmtId="176" fontId="77" fillId="0" borderId="0" xfId="0" applyNumberFormat="1" applyFont="1" applyFill="1" applyBorder="1"/>
    <xf numFmtId="2" fontId="1" fillId="0" borderId="0" xfId="0" applyNumberFormat="1" applyFont="1" applyFill="1" applyBorder="1"/>
    <xf numFmtId="43" fontId="55" fillId="0" borderId="0" xfId="3" applyFont="1" applyBorder="1"/>
    <xf numFmtId="0" fontId="80" fillId="2" borderId="2" xfId="0" applyFont="1" applyFill="1" applyBorder="1"/>
    <xf numFmtId="14" fontId="55" fillId="2" borderId="4" xfId="0" applyNumberFormat="1" applyFont="1" applyFill="1" applyBorder="1"/>
    <xf numFmtId="14" fontId="59" fillId="2" borderId="4" xfId="0" applyNumberFormat="1" applyFont="1" applyFill="1" applyBorder="1"/>
    <xf numFmtId="0" fontId="55" fillId="0" borderId="0" xfId="0" applyFont="1" applyBorder="1"/>
    <xf numFmtId="0" fontId="55" fillId="0" borderId="4" xfId="0" applyFont="1" applyFill="1" applyBorder="1"/>
    <xf numFmtId="0" fontId="55" fillId="0" borderId="0" xfId="0" applyFont="1" applyFill="1" applyBorder="1"/>
    <xf numFmtId="43" fontId="55" fillId="0" borderId="12" xfId="3" applyFont="1" applyBorder="1"/>
    <xf numFmtId="43" fontId="55" fillId="0" borderId="13" xfId="3" applyFont="1" applyBorder="1"/>
    <xf numFmtId="14" fontId="59" fillId="2" borderId="6" xfId="0" applyNumberFormat="1" applyFont="1" applyFill="1" applyBorder="1"/>
    <xf numFmtId="14" fontId="59" fillId="0" borderId="4" xfId="0" applyNumberFormat="1" applyFont="1" applyBorder="1"/>
    <xf numFmtId="14" fontId="59" fillId="0" borderId="6" xfId="0" applyNumberFormat="1" applyFont="1" applyBorder="1"/>
    <xf numFmtId="14" fontId="55" fillId="0" borderId="4" xfId="0" applyNumberFormat="1" applyFont="1" applyBorder="1"/>
    <xf numFmtId="14" fontId="55" fillId="0" borderId="6" xfId="0" applyNumberFormat="1" applyFont="1" applyBorder="1"/>
    <xf numFmtId="43" fontId="55" fillId="0" borderId="31" xfId="3" applyFont="1" applyBorder="1"/>
    <xf numFmtId="14" fontId="0" fillId="2" borderId="4" xfId="0" applyNumberFormat="1" applyFill="1" applyBorder="1"/>
    <xf numFmtId="14" fontId="0" fillId="2" borderId="6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9" fontId="0" fillId="0" borderId="12" xfId="1" applyFont="1" applyBorder="1"/>
    <xf numFmtId="9" fontId="0" fillId="0" borderId="13" xfId="1" applyFont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43" fontId="0" fillId="0" borderId="12" xfId="1" applyNumberFormat="1" applyFont="1" applyBorder="1"/>
    <xf numFmtId="14" fontId="0" fillId="2" borderId="0" xfId="0" applyNumberFormat="1" applyFill="1" applyBorder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49" fontId="25" fillId="2" borderId="2" xfId="0" applyNumberFormat="1" applyFont="1" applyFill="1" applyBorder="1"/>
    <xf numFmtId="49" fontId="25" fillId="2" borderId="3" xfId="0" applyNumberFormat="1" applyFont="1" applyFill="1" applyBorder="1"/>
    <xf numFmtId="49" fontId="25" fillId="2" borderId="8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4" xfId="0" applyBorder="1"/>
    <xf numFmtId="0" fontId="0" fillId="0" borderId="3" xfId="0" applyBorder="1"/>
    <xf numFmtId="164" fontId="34" fillId="0" borderId="4" xfId="0" applyNumberFormat="1" applyFont="1" applyBorder="1" applyAlignment="1">
      <alignment horizontal="right" vertical="top" wrapText="1"/>
    </xf>
    <xf numFmtId="164" fontId="34" fillId="0" borderId="0" xfId="0" applyNumberFormat="1" applyFont="1" applyBorder="1" applyAlignment="1">
      <alignment horizontal="right" vertical="top" wrapText="1"/>
    </xf>
    <xf numFmtId="164" fontId="34" fillId="0" borderId="5" xfId="0" applyNumberFormat="1" applyFont="1" applyBorder="1" applyAlignment="1">
      <alignment horizontal="right" vertical="top" wrapText="1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64" fontId="8" fillId="0" borderId="31" xfId="0" applyNumberFormat="1" applyFont="1" applyFill="1" applyBorder="1" applyAlignment="1">
      <alignment horizontal="right" vertical="top" wrapText="1"/>
    </xf>
    <xf numFmtId="164" fontId="8" fillId="0" borderId="12" xfId="0" applyNumberFormat="1" applyFont="1" applyFill="1" applyBorder="1" applyAlignment="1">
      <alignment horizontal="right" vertical="top" wrapText="1"/>
    </xf>
    <xf numFmtId="0" fontId="53" fillId="0" borderId="12" xfId="0" applyFont="1" applyFill="1" applyBorder="1"/>
    <xf numFmtId="0" fontId="53" fillId="0" borderId="13" xfId="0" applyFont="1" applyFill="1" applyBorder="1"/>
    <xf numFmtId="43" fontId="0" fillId="0" borderId="9" xfId="0" applyNumberFormat="1" applyBorder="1"/>
    <xf numFmtId="43" fontId="0" fillId="0" borderId="1" xfId="0" applyNumberFormat="1" applyBorder="1"/>
    <xf numFmtId="43" fontId="0" fillId="0" borderId="11" xfId="0" applyNumberFormat="1" applyBorder="1"/>
    <xf numFmtId="43" fontId="25" fillId="0" borderId="5" xfId="0" applyNumberFormat="1" applyFont="1" applyBorder="1" applyAlignment="1">
      <alignment vertical="top"/>
    </xf>
    <xf numFmtId="164" fontId="48" fillId="0" borderId="2" xfId="0" applyNumberFormat="1" applyFont="1" applyBorder="1" applyAlignment="1">
      <alignment horizontal="right" vertical="top" wrapText="1"/>
    </xf>
    <xf numFmtId="164" fontId="48" fillId="0" borderId="14" xfId="0" applyNumberFormat="1" applyFont="1" applyBorder="1" applyAlignment="1">
      <alignment horizontal="right" vertical="top" wrapText="1"/>
    </xf>
    <xf numFmtId="164" fontId="48" fillId="0" borderId="3" xfId="0" applyNumberFormat="1" applyFont="1" applyBorder="1" applyAlignment="1">
      <alignment horizontal="right" vertical="top" wrapText="1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164" fontId="82" fillId="0" borderId="9" xfId="0" applyNumberFormat="1" applyFont="1" applyBorder="1" applyAlignment="1">
      <alignment horizontal="right" wrapText="1"/>
    </xf>
    <xf numFmtId="164" fontId="82" fillId="0" borderId="10" xfId="0" applyNumberFormat="1" applyFont="1" applyBorder="1" applyAlignment="1">
      <alignment horizontal="right" wrapText="1"/>
    </xf>
    <xf numFmtId="164" fontId="82" fillId="0" borderId="11" xfId="0" applyNumberFormat="1" applyFont="1" applyBorder="1" applyAlignment="1">
      <alignment horizontal="right" wrapText="1"/>
    </xf>
    <xf numFmtId="175" fontId="0" fillId="0" borderId="0" xfId="1" applyNumberFormat="1" applyFont="1" applyBorder="1" applyAlignment="1"/>
    <xf numFmtId="175" fontId="0" fillId="0" borderId="0" xfId="0" applyNumberFormat="1" applyBorder="1" applyAlignment="1"/>
    <xf numFmtId="9" fontId="0" fillId="0" borderId="0" xfId="0" applyNumberFormat="1" applyBorder="1" applyAlignment="1"/>
    <xf numFmtId="164" fontId="43" fillId="0" borderId="2" xfId="0" applyNumberFormat="1" applyFont="1" applyBorder="1" applyAlignment="1">
      <alignment horizontal="left" vertical="top"/>
    </xf>
    <xf numFmtId="164" fontId="43" fillId="0" borderId="14" xfId="0" applyNumberFormat="1" applyFont="1" applyBorder="1" applyAlignment="1">
      <alignment horizontal="left" vertical="top"/>
    </xf>
    <xf numFmtId="164" fontId="43" fillId="0" borderId="3" xfId="0" applyNumberFormat="1" applyFont="1" applyBorder="1" applyAlignment="1">
      <alignment horizontal="left" vertical="top"/>
    </xf>
    <xf numFmtId="9" fontId="53" fillId="0" borderId="6" xfId="0" applyNumberFormat="1" applyFont="1" applyBorder="1"/>
    <xf numFmtId="9" fontId="53" fillId="0" borderId="7" xfId="0" applyNumberFormat="1" applyFont="1" applyBorder="1"/>
    <xf numFmtId="9" fontId="53" fillId="0" borderId="8" xfId="0" applyNumberFormat="1" applyFont="1" applyBorder="1"/>
    <xf numFmtId="9" fontId="8" fillId="0" borderId="4" xfId="1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5" xfId="1" applyFont="1" applyBorder="1" applyAlignment="1">
      <alignment horizontal="right"/>
    </xf>
    <xf numFmtId="0" fontId="0" fillId="0" borderId="0" xfId="0"/>
    <xf numFmtId="0" fontId="2" fillId="0" borderId="0" xfId="0" applyFont="1"/>
    <xf numFmtId="0" fontId="38" fillId="2" borderId="9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1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180" fontId="8" fillId="0" borderId="12" xfId="0" applyNumberFormat="1" applyFont="1" applyBorder="1" applyAlignment="1">
      <alignment horizontal="center" vertical="top" wrapText="1"/>
    </xf>
    <xf numFmtId="0" fontId="83" fillId="0" borderId="0" xfId="5" applyAlignment="1"/>
    <xf numFmtId="0" fontId="8" fillId="0" borderId="6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180" fontId="8" fillId="0" borderId="13" xfId="0" applyNumberFormat="1" applyFont="1" applyBorder="1" applyAlignment="1">
      <alignment horizontal="center" vertical="top" wrapText="1"/>
    </xf>
    <xf numFmtId="9" fontId="8" fillId="0" borderId="13" xfId="1" applyFont="1" applyBorder="1" applyAlignment="1">
      <alignment horizontal="center" vertical="top" wrapText="1"/>
    </xf>
    <xf numFmtId="10" fontId="25" fillId="0" borderId="8" xfId="1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10" fontId="2" fillId="0" borderId="0" xfId="1" applyNumberFormat="1" applyFont="1"/>
    <xf numFmtId="0" fontId="8" fillId="0" borderId="0" xfId="0" applyFont="1" applyAlignment="1">
      <alignment horizontal="center" vertical="top" wrapText="1"/>
    </xf>
    <xf numFmtId="0" fontId="30" fillId="0" borderId="1" xfId="0" applyFont="1" applyBorder="1" applyAlignment="1">
      <alignment horizontal="center"/>
    </xf>
    <xf numFmtId="43" fontId="8" fillId="0" borderId="9" xfId="0" applyNumberFormat="1" applyFont="1" applyBorder="1" applyAlignment="1">
      <alignment horizontal="right" vertical="top" wrapText="1"/>
    </xf>
    <xf numFmtId="9" fontId="0" fillId="0" borderId="10" xfId="1" applyFont="1" applyBorder="1"/>
    <xf numFmtId="9" fontId="0" fillId="0" borderId="11" xfId="1" applyFont="1" applyBorder="1"/>
    <xf numFmtId="0" fontId="31" fillId="4" borderId="9" xfId="0" applyFont="1" applyFill="1" applyBorder="1"/>
    <xf numFmtId="0" fontId="31" fillId="4" borderId="10" xfId="0" applyFont="1" applyFill="1" applyBorder="1"/>
    <xf numFmtId="0" fontId="31" fillId="4" borderId="11" xfId="0" applyFont="1" applyFill="1" applyBorder="1"/>
    <xf numFmtId="0" fontId="1" fillId="2" borderId="14" xfId="0" applyFont="1" applyFill="1" applyBorder="1" applyAlignment="1"/>
    <xf numFmtId="0" fontId="0" fillId="0" borderId="0" xfId="0"/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13" xfId="0" applyBorder="1"/>
    <xf numFmtId="2" fontId="0" fillId="0" borderId="14" xfId="0" applyNumberFormat="1" applyBorder="1"/>
    <xf numFmtId="2" fontId="0" fillId="0" borderId="3" xfId="0" applyNumberFormat="1" applyBorder="1"/>
    <xf numFmtId="43" fontId="0" fillId="0" borderId="13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14" xfId="0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0" borderId="7" xfId="0" applyBorder="1"/>
    <xf numFmtId="10" fontId="0" fillId="0" borderId="5" xfId="1" applyNumberFormat="1" applyFont="1" applyBorder="1"/>
    <xf numFmtId="10" fontId="0" fillId="0" borderId="14" xfId="0" applyNumberFormat="1" applyBorder="1"/>
    <xf numFmtId="0" fontId="80" fillId="2" borderId="31" xfId="0" applyFont="1" applyFill="1" applyBorder="1"/>
    <xf numFmtId="10" fontId="0" fillId="0" borderId="11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81" fontId="0" fillId="0" borderId="7" xfId="0" applyNumberFormat="1" applyBorder="1"/>
    <xf numFmtId="0" fontId="30" fillId="2" borderId="6" xfId="4" applyFont="1" applyFill="1" applyBorder="1"/>
    <xf numFmtId="0" fontId="30" fillId="2" borderId="9" xfId="4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67" fillId="2" borderId="1" xfId="0" applyFont="1" applyFill="1" applyBorder="1"/>
    <xf numFmtId="0" fontId="67" fillId="2" borderId="10" xfId="0" applyFont="1" applyFill="1" applyBorder="1"/>
    <xf numFmtId="0" fontId="67" fillId="2" borderId="11" xfId="0" applyFont="1" applyFill="1" applyBorder="1"/>
    <xf numFmtId="0" fontId="25" fillId="2" borderId="9" xfId="4" applyFont="1" applyFill="1" applyBorder="1" applyAlignment="1">
      <alignment horizontal="center"/>
    </xf>
    <xf numFmtId="0" fontId="25" fillId="2" borderId="10" xfId="4" applyFont="1" applyFill="1" applyBorder="1" applyAlignment="1">
      <alignment horizontal="center"/>
    </xf>
    <xf numFmtId="0" fontId="67" fillId="2" borderId="10" xfId="4" applyFont="1" applyFill="1" applyBorder="1" applyAlignment="1">
      <alignment horizontal="center"/>
    </xf>
    <xf numFmtId="0" fontId="67" fillId="2" borderId="11" xfId="4" applyFont="1" applyFill="1" applyBorder="1" applyAlignment="1">
      <alignment horizontal="center"/>
    </xf>
    <xf numFmtId="181" fontId="0" fillId="0" borderId="8" xfId="0" applyNumberFormat="1" applyBorder="1"/>
    <xf numFmtId="179" fontId="0" fillId="0" borderId="0" xfId="0" applyNumberFormat="1" applyBorder="1"/>
    <xf numFmtId="179" fontId="0" fillId="0" borderId="5" xfId="0" applyNumberFormat="1" applyBorder="1"/>
    <xf numFmtId="0" fontId="84" fillId="2" borderId="9" xfId="4" applyFont="1" applyFill="1" applyBorder="1" applyAlignment="1">
      <alignment horizontal="center" vertical="center" wrapText="1"/>
    </xf>
    <xf numFmtId="0" fontId="84" fillId="2" borderId="10" xfId="4" applyFont="1" applyFill="1" applyBorder="1" applyAlignment="1">
      <alignment horizontal="center" vertical="center" wrapText="1"/>
    </xf>
    <xf numFmtId="0" fontId="84" fillId="2" borderId="11" xfId="4" applyFont="1" applyFill="1" applyBorder="1" applyAlignment="1">
      <alignment horizontal="center" vertical="center" wrapText="1"/>
    </xf>
    <xf numFmtId="0" fontId="84" fillId="2" borderId="10" xfId="4" applyFont="1" applyFill="1" applyBorder="1" applyAlignment="1">
      <alignment horizontal="center" vertical="center"/>
    </xf>
    <xf numFmtId="0" fontId="30" fillId="2" borderId="1" xfId="4" applyFont="1" applyFill="1" applyBorder="1"/>
    <xf numFmtId="0" fontId="73" fillId="6" borderId="9" xfId="4" applyFont="1" applyFill="1" applyBorder="1"/>
    <xf numFmtId="0" fontId="0" fillId="0" borderId="9" xfId="0" applyBorder="1"/>
    <xf numFmtId="0" fontId="74" fillId="6" borderId="2" xfId="4" applyFont="1" applyFill="1" applyBorder="1"/>
    <xf numFmtId="0" fontId="0" fillId="0" borderId="2" xfId="0" applyFont="1" applyFill="1" applyBorder="1"/>
    <xf numFmtId="0" fontId="67" fillId="2" borderId="31" xfId="0" applyFont="1" applyFill="1" applyBorder="1"/>
    <xf numFmtId="179" fontId="0" fillId="2" borderId="11" xfId="0" applyNumberFormat="1" applyFill="1" applyBorder="1"/>
    <xf numFmtId="0" fontId="1" fillId="2" borderId="9" xfId="0" applyFont="1" applyFill="1" applyBorder="1"/>
    <xf numFmtId="178" fontId="0" fillId="6" borderId="41" xfId="0" applyNumberFormat="1" applyFill="1" applyBorder="1" applyAlignment="1">
      <alignment horizontal="center" vertical="center"/>
    </xf>
    <xf numFmtId="10" fontId="0" fillId="6" borderId="45" xfId="1" applyNumberFormat="1" applyFont="1" applyFill="1" applyBorder="1" applyAlignment="1">
      <alignment horizontal="center"/>
    </xf>
    <xf numFmtId="10" fontId="0" fillId="6" borderId="46" xfId="1" applyNumberFormat="1" applyFont="1" applyFill="1" applyBorder="1" applyAlignment="1">
      <alignment horizontal="center"/>
    </xf>
    <xf numFmtId="10" fontId="77" fillId="6" borderId="3" xfId="0" applyNumberFormat="1" applyFont="1" applyFill="1" applyBorder="1"/>
    <xf numFmtId="43" fontId="78" fillId="6" borderId="5" xfId="3" applyFont="1" applyFill="1" applyBorder="1"/>
    <xf numFmtId="177" fontId="78" fillId="6" borderId="5" xfId="3" applyNumberFormat="1" applyFont="1" applyFill="1" applyBorder="1"/>
    <xf numFmtId="179" fontId="77" fillId="6" borderId="5" xfId="3" applyNumberFormat="1" applyFont="1" applyFill="1" applyBorder="1"/>
    <xf numFmtId="178" fontId="77" fillId="6" borderId="5" xfId="0" applyNumberFormat="1" applyFont="1" applyFill="1" applyBorder="1"/>
    <xf numFmtId="176" fontId="77" fillId="6" borderId="5" xfId="0" applyNumberFormat="1" applyFont="1" applyFill="1" applyBorder="1"/>
    <xf numFmtId="2" fontId="1" fillId="6" borderId="8" xfId="0" applyNumberFormat="1" applyFont="1" applyFill="1" applyBorder="1"/>
    <xf numFmtId="0" fontId="1" fillId="2" borderId="2" xfId="0" applyFont="1" applyFill="1" applyBorder="1"/>
    <xf numFmtId="178" fontId="78" fillId="8" borderId="33" xfId="0" applyNumberFormat="1" applyFont="1" applyFill="1" applyBorder="1"/>
    <xf numFmtId="43" fontId="0" fillId="0" borderId="4" xfId="0" applyNumberFormat="1" applyBorder="1"/>
    <xf numFmtId="43" fontId="0" fillId="0" borderId="6" xfId="0" applyNumberFormat="1" applyBorder="1"/>
    <xf numFmtId="14" fontId="1" fillId="2" borderId="9" xfId="0" applyNumberFormat="1" applyFont="1" applyFill="1" applyBorder="1" applyAlignment="1">
      <alignment horizontal="center"/>
    </xf>
    <xf numFmtId="14" fontId="1" fillId="2" borderId="10" xfId="0" applyNumberFormat="1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14" fontId="1" fillId="2" borderId="10" xfId="0" applyNumberFormat="1" applyFont="1" applyFill="1" applyBorder="1"/>
    <xf numFmtId="14" fontId="1" fillId="2" borderId="11" xfId="0" applyNumberFormat="1" applyFont="1" applyFill="1" applyBorder="1"/>
    <xf numFmtId="11" fontId="69" fillId="0" borderId="0" xfId="0" applyNumberFormat="1" applyFont="1" applyBorder="1"/>
    <xf numFmtId="0" fontId="69" fillId="0" borderId="10" xfId="0" applyFont="1" applyBorder="1"/>
    <xf numFmtId="0" fontId="69" fillId="0" borderId="11" xfId="0" applyFont="1" applyBorder="1"/>
    <xf numFmtId="14" fontId="55" fillId="2" borderId="12" xfId="0" applyNumberFormat="1" applyFont="1" applyFill="1" applyBorder="1"/>
    <xf numFmtId="14" fontId="55" fillId="2" borderId="13" xfId="0" applyNumberFormat="1" applyFont="1" applyFill="1" applyBorder="1"/>
    <xf numFmtId="0" fontId="0" fillId="0" borderId="12" xfId="0" applyBorder="1"/>
    <xf numFmtId="0" fontId="80" fillId="2" borderId="1" xfId="0" applyFont="1" applyFill="1" applyBorder="1" applyAlignment="1">
      <alignment horizontal="center"/>
    </xf>
    <xf numFmtId="0" fontId="80" fillId="2" borderId="10" xfId="0" applyFont="1" applyFill="1" applyBorder="1" applyAlignment="1">
      <alignment horizontal="center"/>
    </xf>
    <xf numFmtId="0" fontId="80" fillId="2" borderId="10" xfId="0" applyFont="1" applyFill="1" applyBorder="1"/>
    <xf numFmtId="0" fontId="80" fillId="2" borderId="11" xfId="0" applyFont="1" applyFill="1" applyBorder="1" applyAlignment="1">
      <alignment horizontal="center"/>
    </xf>
    <xf numFmtId="0" fontId="80" fillId="2" borderId="1" xfId="0" applyFont="1" applyFill="1" applyBorder="1"/>
    <xf numFmtId="10" fontId="85" fillId="2" borderId="12" xfId="0" applyNumberFormat="1" applyFont="1" applyFill="1" applyBorder="1"/>
    <xf numFmtId="10" fontId="85" fillId="2" borderId="13" xfId="0" applyNumberFormat="1" applyFont="1" applyFill="1" applyBorder="1"/>
    <xf numFmtId="169" fontId="86" fillId="2" borderId="12" xfId="0" applyNumberFormat="1" applyFont="1" applyFill="1" applyBorder="1"/>
    <xf numFmtId="169" fontId="86" fillId="2" borderId="13" xfId="0" applyNumberFormat="1" applyFont="1" applyFill="1" applyBorder="1"/>
    <xf numFmtId="0" fontId="80" fillId="2" borderId="11" xfId="0" applyFont="1" applyFill="1" applyBorder="1"/>
    <xf numFmtId="2" fontId="85" fillId="0" borderId="0" xfId="0" applyNumberFormat="1" applyFont="1" applyBorder="1"/>
    <xf numFmtId="2" fontId="85" fillId="0" borderId="5" xfId="0" applyNumberFormat="1" applyFont="1" applyBorder="1"/>
    <xf numFmtId="2" fontId="85" fillId="0" borderId="7" xfId="0" applyNumberFormat="1" applyFont="1" applyBorder="1"/>
    <xf numFmtId="2" fontId="85" fillId="0" borderId="8" xfId="0" applyNumberFormat="1" applyFont="1" applyBorder="1"/>
    <xf numFmtId="9" fontId="85" fillId="0" borderId="12" xfId="0" applyNumberFormat="1" applyFont="1" applyBorder="1"/>
    <xf numFmtId="175" fontId="85" fillId="0" borderId="12" xfId="0" applyNumberFormat="1" applyFont="1" applyBorder="1"/>
    <xf numFmtId="175" fontId="85" fillId="0" borderId="13" xfId="0" applyNumberFormat="1" applyFont="1" applyBorder="1"/>
    <xf numFmtId="16" fontId="67" fillId="2" borderId="1" xfId="0" applyNumberFormat="1" applyFont="1" applyFill="1" applyBorder="1" applyAlignment="1">
      <alignment horizontal="center"/>
    </xf>
    <xf numFmtId="2" fontId="85" fillId="0" borderId="12" xfId="0" applyNumberFormat="1" applyFont="1" applyBorder="1"/>
    <xf numFmtId="2" fontId="85" fillId="0" borderId="13" xfId="0" applyNumberFormat="1" applyFont="1" applyBorder="1"/>
    <xf numFmtId="0" fontId="85" fillId="2" borderId="1" xfId="0" applyFont="1" applyFill="1" applyBorder="1"/>
    <xf numFmtId="0" fontId="87" fillId="2" borderId="1" xfId="0" applyFont="1" applyFill="1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0" fontId="86" fillId="9" borderId="0" xfId="0" applyFont="1" applyFill="1"/>
    <xf numFmtId="178" fontId="86" fillId="9" borderId="0" xfId="0" applyNumberFormat="1" applyFont="1" applyFill="1" applyAlignment="1">
      <alignment horizontal="center"/>
    </xf>
    <xf numFmtId="177" fontId="86" fillId="0" borderId="0" xfId="3" applyNumberFormat="1" applyFont="1" applyFill="1" applyBorder="1"/>
    <xf numFmtId="177" fontId="86" fillId="0" borderId="5" xfId="3" applyNumberFormat="1" applyFont="1" applyFill="1" applyBorder="1"/>
    <xf numFmtId="177" fontId="86" fillId="0" borderId="7" xfId="3" applyNumberFormat="1" applyFont="1" applyFill="1" applyBorder="1"/>
    <xf numFmtId="177" fontId="86" fillId="0" borderId="8" xfId="3" applyNumberFormat="1" applyFont="1" applyFill="1" applyBorder="1"/>
    <xf numFmtId="0" fontId="0" fillId="0" borderId="0" xfId="0" applyBorder="1"/>
    <xf numFmtId="9" fontId="90" fillId="7" borderId="2" xfId="0" applyNumberFormat="1" applyFont="1" applyFill="1" applyBorder="1"/>
    <xf numFmtId="49" fontId="25" fillId="2" borderId="6" xfId="0" applyNumberFormat="1" applyFont="1" applyFill="1" applyBorder="1"/>
    <xf numFmtId="0" fontId="19" fillId="2" borderId="2" xfId="0" applyFont="1" applyFill="1" applyBorder="1" applyAlignment="1">
      <alignment vertical="center"/>
    </xf>
    <xf numFmtId="0" fontId="19" fillId="2" borderId="14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2" borderId="31" xfId="0" applyFont="1" applyFill="1" applyBorder="1" applyAlignment="1">
      <alignment horizontal="right" vertical="center"/>
    </xf>
    <xf numFmtId="0" fontId="20" fillId="2" borderId="0" xfId="0" applyFont="1" applyFill="1" applyBorder="1" applyAlignment="1">
      <alignment horizontal="right" vertical="center"/>
    </xf>
    <xf numFmtId="0" fontId="19" fillId="2" borderId="0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166" fontId="20" fillId="0" borderId="31" xfId="0" applyNumberFormat="1" applyFont="1" applyBorder="1" applyAlignment="1">
      <alignment vertical="center"/>
    </xf>
    <xf numFmtId="166" fontId="20" fillId="0" borderId="12" xfId="0" applyNumberFormat="1" applyFont="1" applyBorder="1" applyAlignment="1">
      <alignment vertical="center"/>
    </xf>
    <xf numFmtId="166" fontId="20" fillId="0" borderId="13" xfId="0" applyNumberFormat="1" applyFont="1" applyBorder="1" applyAlignment="1">
      <alignment vertical="center"/>
    </xf>
    <xf numFmtId="166" fontId="20" fillId="2" borderId="0" xfId="0" applyNumberFormat="1" applyFont="1" applyFill="1" applyBorder="1" applyAlignment="1">
      <alignment vertical="center"/>
    </xf>
    <xf numFmtId="166" fontId="20" fillId="2" borderId="5" xfId="0" applyNumberFormat="1" applyFont="1" applyFill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166" fontId="20" fillId="2" borderId="7" xfId="0" applyNumberFormat="1" applyFont="1" applyFill="1" applyBorder="1" applyAlignment="1">
      <alignment vertical="center"/>
    </xf>
    <xf numFmtId="166" fontId="20" fillId="2" borderId="8" xfId="0" applyNumberFormat="1" applyFont="1" applyFill="1" applyBorder="1" applyAlignment="1">
      <alignment vertical="center"/>
    </xf>
    <xf numFmtId="165" fontId="0" fillId="0" borderId="0" xfId="0" applyNumberFormat="1" applyFont="1"/>
    <xf numFmtId="165" fontId="0" fillId="0" borderId="0" xfId="0" applyNumberFormat="1" applyFont="1" applyAlignment="1">
      <alignment horizontal="right" vertical="top" wrapText="1"/>
    </xf>
    <xf numFmtId="165" fontId="0" fillId="0" borderId="5" xfId="0" applyNumberFormat="1" applyFont="1" applyBorder="1"/>
    <xf numFmtId="165" fontId="0" fillId="2" borderId="31" xfId="0" applyNumberFormat="1" applyFont="1" applyFill="1" applyBorder="1"/>
    <xf numFmtId="165" fontId="0" fillId="2" borderId="12" xfId="0" applyNumberFormat="1" applyFont="1" applyFill="1" applyBorder="1"/>
    <xf numFmtId="165" fontId="0" fillId="0" borderId="7" xfId="0" applyNumberFormat="1" applyFont="1" applyBorder="1"/>
    <xf numFmtId="165" fontId="0" fillId="0" borderId="8" xfId="0" applyNumberFormat="1" applyFont="1" applyBorder="1"/>
    <xf numFmtId="165" fontId="0" fillId="2" borderId="13" xfId="0" applyNumberFormat="1" applyFont="1" applyFill="1" applyBorder="1"/>
    <xf numFmtId="10" fontId="0" fillId="0" borderId="12" xfId="1" applyNumberFormat="1" applyFont="1" applyBorder="1"/>
    <xf numFmtId="10" fontId="0" fillId="0" borderId="12" xfId="0" applyNumberFormat="1" applyBorder="1"/>
    <xf numFmtId="10" fontId="0" fillId="0" borderId="13" xfId="1" applyNumberFormat="1" applyFont="1" applyBorder="1"/>
    <xf numFmtId="164" fontId="36" fillId="0" borderId="0" xfId="0" applyNumberFormat="1" applyFont="1" applyBorder="1" applyAlignment="1">
      <alignment horizontal="right" wrapText="1"/>
    </xf>
    <xf numFmtId="43" fontId="0" fillId="0" borderId="3" xfId="0" applyNumberFormat="1" applyFill="1" applyBorder="1"/>
    <xf numFmtId="43" fontId="0" fillId="0" borderId="14" xfId="0" applyNumberFormat="1" applyFill="1" applyBorder="1"/>
    <xf numFmtId="0" fontId="73" fillId="6" borderId="12" xfId="4" applyFont="1" applyFill="1" applyBorder="1"/>
    <xf numFmtId="0" fontId="74" fillId="6" borderId="12" xfId="4" applyFont="1" applyFill="1" applyBorder="1"/>
    <xf numFmtId="0" fontId="73" fillId="6" borderId="13" xfId="4" applyFont="1" applyFill="1" applyBorder="1"/>
    <xf numFmtId="164" fontId="36" fillId="0" borderId="5" xfId="0" applyNumberFormat="1" applyFont="1" applyBorder="1" applyAlignment="1">
      <alignment horizontal="right" wrapText="1"/>
    </xf>
    <xf numFmtId="164" fontId="36" fillId="0" borderId="6" xfId="0" applyNumberFormat="1" applyFont="1" applyBorder="1" applyAlignment="1">
      <alignment horizontal="right" vertical="top" wrapText="1"/>
    </xf>
    <xf numFmtId="164" fontId="36" fillId="0" borderId="7" xfId="0" applyNumberFormat="1" applyFont="1" applyBorder="1" applyAlignment="1">
      <alignment horizontal="right" vertical="top" wrapText="1"/>
    </xf>
    <xf numFmtId="164" fontId="36" fillId="0" borderId="8" xfId="0" applyNumberFormat="1" applyFont="1" applyBorder="1" applyAlignment="1">
      <alignment horizontal="right" vertical="top" wrapText="1"/>
    </xf>
    <xf numFmtId="0" fontId="0" fillId="6" borderId="6" xfId="0" applyFill="1" applyBorder="1"/>
    <xf numFmtId="0" fontId="0" fillId="6" borderId="7" xfId="0" applyFill="1" applyBorder="1"/>
    <xf numFmtId="172" fontId="1" fillId="0" borderId="2" xfId="0" applyNumberFormat="1" applyFont="1" applyBorder="1"/>
    <xf numFmtId="172" fontId="1" fillId="0" borderId="14" xfId="0" applyNumberFormat="1" applyFont="1" applyBorder="1"/>
    <xf numFmtId="172" fontId="1" fillId="0" borderId="3" xfId="0" applyNumberFormat="1" applyFont="1" applyBorder="1"/>
    <xf numFmtId="172" fontId="1" fillId="0" borderId="4" xfId="0" applyNumberFormat="1" applyFont="1" applyBorder="1"/>
    <xf numFmtId="9" fontId="0" fillId="0" borderId="2" xfId="0" applyNumberFormat="1" applyBorder="1"/>
    <xf numFmtId="9" fontId="0" fillId="0" borderId="14" xfId="0" applyNumberFormat="1" applyBorder="1"/>
    <xf numFmtId="9" fontId="0" fillId="0" borderId="3" xfId="0" applyNumberFormat="1" applyBorder="1"/>
    <xf numFmtId="172" fontId="0" fillId="0" borderId="0" xfId="0" applyNumberFormat="1" applyFont="1" applyBorder="1"/>
    <xf numFmtId="172" fontId="0" fillId="0" borderId="5" xfId="0" applyNumberFormat="1" applyFont="1" applyBorder="1"/>
    <xf numFmtId="43" fontId="0" fillId="6" borderId="8" xfId="0" applyNumberFormat="1" applyFill="1" applyBorder="1"/>
    <xf numFmtId="43" fontId="1" fillId="0" borderId="10" xfId="0" applyNumberFormat="1" applyFont="1" applyBorder="1"/>
    <xf numFmtId="43" fontId="1" fillId="0" borderId="11" xfId="0" applyNumberFormat="1" applyFont="1" applyBorder="1"/>
    <xf numFmtId="178" fontId="1" fillId="0" borderId="10" xfId="0" applyNumberFormat="1" applyFont="1" applyBorder="1"/>
    <xf numFmtId="178" fontId="1" fillId="0" borderId="11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1" fillId="0" borderId="9" xfId="0" applyFont="1" applyBorder="1"/>
    <xf numFmtId="0" fontId="0" fillId="0" borderId="7" xfId="0" applyBorder="1"/>
    <xf numFmtId="0" fontId="29" fillId="6" borderId="4" xfId="4" applyFont="1" applyFill="1" applyBorder="1"/>
    <xf numFmtId="0" fontId="29" fillId="6" borderId="6" xfId="4" applyFont="1" applyFill="1" applyBorder="1"/>
    <xf numFmtId="9" fontId="0" fillId="0" borderId="31" xfId="0" applyNumberFormat="1" applyBorder="1"/>
    <xf numFmtId="2" fontId="0" fillId="0" borderId="12" xfId="0" applyNumberFormat="1" applyBorder="1"/>
    <xf numFmtId="2" fontId="0" fillId="0" borderId="12" xfId="1" applyNumberFormat="1" applyFont="1" applyBorder="1"/>
    <xf numFmtId="9" fontId="0" fillId="0" borderId="13" xfId="0" applyNumberFormat="1" applyBorder="1"/>
    <xf numFmtId="0" fontId="0" fillId="0" borderId="8" xfId="0" applyBorder="1"/>
    <xf numFmtId="0" fontId="0" fillId="2" borderId="4" xfId="0" applyFill="1" applyBorder="1"/>
    <xf numFmtId="0" fontId="0" fillId="2" borderId="2" xfId="0" applyFill="1" applyBorder="1"/>
    <xf numFmtId="0" fontId="0" fillId="0" borderId="7" xfId="0" applyBorder="1"/>
    <xf numFmtId="177" fontId="86" fillId="10" borderId="0" xfId="3" applyNumberFormat="1" applyFont="1" applyFill="1" applyBorder="1"/>
    <xf numFmtId="0" fontId="67" fillId="2" borderId="9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9" fontId="77" fillId="6" borderId="33" xfId="1" applyFont="1" applyFill="1" applyBorder="1" applyAlignment="1"/>
    <xf numFmtId="9" fontId="77" fillId="6" borderId="33" xfId="0" applyNumberFormat="1" applyFont="1" applyFill="1" applyBorder="1"/>
    <xf numFmtId="9" fontId="77" fillId="6" borderId="5" xfId="0" applyNumberFormat="1" applyFont="1" applyFill="1" applyBorder="1"/>
    <xf numFmtId="0" fontId="78" fillId="2" borderId="4" xfId="0" applyFont="1" applyFill="1" applyBorder="1"/>
    <xf numFmtId="10" fontId="77" fillId="6" borderId="31" xfId="0" applyNumberFormat="1" applyFont="1" applyFill="1" applyBorder="1"/>
    <xf numFmtId="43" fontId="78" fillId="6" borderId="12" xfId="3" applyFont="1" applyFill="1" applyBorder="1" applyAlignment="1">
      <alignment horizontal="center" vertical="center"/>
    </xf>
    <xf numFmtId="10" fontId="0" fillId="0" borderId="2" xfId="0" applyNumberFormat="1" applyBorder="1"/>
    <xf numFmtId="10" fontId="0" fillId="0" borderId="3" xfId="0" applyNumberFormat="1" applyBorder="1"/>
    <xf numFmtId="0" fontId="86" fillId="2" borderId="14" xfId="0" applyFont="1" applyFill="1" applyBorder="1"/>
    <xf numFmtId="0" fontId="88" fillId="2" borderId="14" xfId="0" applyFont="1" applyFill="1" applyBorder="1" applyAlignment="1">
      <alignment horizontal="center"/>
    </xf>
    <xf numFmtId="0" fontId="86" fillId="2" borderId="3" xfId="0" applyFont="1" applyFill="1" applyBorder="1"/>
    <xf numFmtId="0" fontId="86" fillId="2" borderId="2" xfId="0" applyFont="1" applyFill="1" applyBorder="1"/>
    <xf numFmtId="169" fontId="89" fillId="2" borderId="6" xfId="0" applyNumberFormat="1" applyFont="1" applyFill="1" applyBorder="1" applyAlignment="1">
      <alignment horizontal="center"/>
    </xf>
    <xf numFmtId="169" fontId="89" fillId="2" borderId="7" xfId="0" applyNumberFormat="1" applyFont="1" applyFill="1" applyBorder="1" applyAlignment="1">
      <alignment horizontal="center"/>
    </xf>
    <xf numFmtId="169" fontId="89" fillId="2" borderId="8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top"/>
    </xf>
    <xf numFmtId="0" fontId="13" fillId="6" borderId="0" xfId="0" applyFont="1" applyFill="1" applyBorder="1" applyAlignment="1">
      <alignment horizontal="left" vertical="top"/>
    </xf>
    <xf numFmtId="0" fontId="12" fillId="6" borderId="0" xfId="0" applyFont="1" applyFill="1" applyBorder="1" applyAlignment="1">
      <alignment horizontal="left" vertical="top"/>
    </xf>
    <xf numFmtId="9" fontId="1" fillId="2" borderId="1" xfId="1" applyFont="1" applyFill="1" applyBorder="1" applyAlignment="1"/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0" fontId="89" fillId="0" borderId="31" xfId="0" applyNumberFormat="1" applyFont="1" applyFill="1" applyBorder="1" applyAlignment="1">
      <alignment horizontal="center"/>
    </xf>
    <xf numFmtId="10" fontId="89" fillId="0" borderId="12" xfId="0" applyNumberFormat="1" applyFont="1" applyFill="1" applyBorder="1" applyAlignment="1">
      <alignment horizontal="center"/>
    </xf>
    <xf numFmtId="10" fontId="96" fillId="0" borderId="12" xfId="0" applyNumberFormat="1" applyFont="1" applyBorder="1" applyAlignment="1">
      <alignment horizontal="center"/>
    </xf>
    <xf numFmtId="10" fontId="89" fillId="0" borderId="13" xfId="0" applyNumberFormat="1" applyFont="1" applyFill="1" applyBorder="1" applyAlignment="1">
      <alignment horizontal="center"/>
    </xf>
    <xf numFmtId="0" fontId="55" fillId="0" borderId="4" xfId="0" applyFont="1" applyBorder="1"/>
    <xf numFmtId="43" fontId="55" fillId="0" borderId="4" xfId="3" applyFont="1" applyBorder="1"/>
    <xf numFmtId="43" fontId="55" fillId="0" borderId="6" xfId="3" applyFont="1" applyBorder="1"/>
    <xf numFmtId="0" fontId="0" fillId="0" borderId="4" xfId="0" applyFont="1" applyBorder="1"/>
    <xf numFmtId="0" fontId="0" fillId="6" borderId="31" xfId="0" applyFill="1" applyBorder="1"/>
    <xf numFmtId="0" fontId="0" fillId="6" borderId="12" xfId="0" applyFill="1" applyBorder="1"/>
    <xf numFmtId="1" fontId="0" fillId="6" borderId="12" xfId="0" applyNumberFormat="1" applyFill="1" applyBorder="1"/>
    <xf numFmtId="10" fontId="0" fillId="6" borderId="12" xfId="1" applyNumberFormat="1" applyFont="1" applyFill="1" applyBorder="1"/>
    <xf numFmtId="2" fontId="0" fillId="6" borderId="12" xfId="0" applyNumberFormat="1" applyFill="1" applyBorder="1"/>
    <xf numFmtId="10" fontId="0" fillId="6" borderId="12" xfId="0" applyNumberFormat="1" applyFill="1" applyBorder="1"/>
    <xf numFmtId="43" fontId="0" fillId="6" borderId="12" xfId="0" applyNumberFormat="1" applyFill="1" applyBorder="1"/>
    <xf numFmtId="43" fontId="1" fillId="6" borderId="1" xfId="0" applyNumberFormat="1" applyFont="1" applyFill="1" applyBorder="1"/>
    <xf numFmtId="174" fontId="0" fillId="0" borderId="0" xfId="0" applyNumberFormat="1"/>
    <xf numFmtId="0" fontId="0" fillId="0" borderId="0" xfId="0"/>
    <xf numFmtId="9" fontId="53" fillId="0" borderId="4" xfId="1" applyFont="1" applyBorder="1" applyAlignment="1">
      <alignment horizontal="right"/>
    </xf>
    <xf numFmtId="9" fontId="53" fillId="0" borderId="4" xfId="0" applyNumberFormat="1" applyFont="1" applyBorder="1"/>
    <xf numFmtId="9" fontId="53" fillId="0" borderId="0" xfId="0" applyNumberFormat="1" applyFont="1" applyBorder="1"/>
    <xf numFmtId="9" fontId="53" fillId="0" borderId="5" xfId="0" applyNumberFormat="1" applyFont="1" applyBorder="1"/>
    <xf numFmtId="43" fontId="3" fillId="0" borderId="4" xfId="0" applyNumberFormat="1" applyFont="1" applyBorder="1" applyAlignment="1">
      <alignment horizontal="right" vertical="top" wrapText="1"/>
    </xf>
    <xf numFmtId="168" fontId="29" fillId="6" borderId="0" xfId="0" applyNumberFormat="1" applyFont="1" applyFill="1" applyBorder="1" applyAlignment="1">
      <alignment horizontal="center"/>
    </xf>
    <xf numFmtId="0" fontId="30" fillId="6" borderId="0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10" fontId="29" fillId="6" borderId="0" xfId="0" applyNumberFormat="1" applyFont="1" applyFill="1" applyBorder="1" applyAlignment="1">
      <alignment horizontal="center"/>
    </xf>
    <xf numFmtId="10" fontId="1" fillId="0" borderId="2" xfId="1" applyNumberFormat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10" fontId="1" fillId="0" borderId="6" xfId="1" applyNumberFormat="1" applyFont="1" applyBorder="1" applyAlignment="1">
      <alignment horizontal="center" vertical="center"/>
    </xf>
    <xf numFmtId="10" fontId="1" fillId="0" borderId="8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94" fillId="2" borderId="2" xfId="0" applyFont="1" applyFill="1" applyBorder="1" applyAlignment="1">
      <alignment horizontal="center" vertical="center"/>
    </xf>
    <xf numFmtId="0" fontId="94" fillId="2" borderId="14" xfId="0" applyFont="1" applyFill="1" applyBorder="1" applyAlignment="1">
      <alignment horizontal="center" vertical="center"/>
    </xf>
    <xf numFmtId="0" fontId="94" fillId="2" borderId="3" xfId="0" applyFont="1" applyFill="1" applyBorder="1" applyAlignment="1">
      <alignment horizontal="center" vertical="center"/>
    </xf>
    <xf numFmtId="0" fontId="94" fillId="2" borderId="6" xfId="0" applyFont="1" applyFill="1" applyBorder="1" applyAlignment="1">
      <alignment horizontal="center" vertical="center"/>
    </xf>
    <xf numFmtId="0" fontId="94" fillId="2" borderId="7" xfId="0" applyFont="1" applyFill="1" applyBorder="1" applyAlignment="1">
      <alignment horizontal="center" vertical="center"/>
    </xf>
    <xf numFmtId="0" fontId="94" fillId="2" borderId="8" xfId="0" applyFont="1" applyFill="1" applyBorder="1" applyAlignment="1">
      <alignment horizontal="center" vertical="center"/>
    </xf>
    <xf numFmtId="0" fontId="93" fillId="2" borderId="4" xfId="0" applyFont="1" applyFill="1" applyBorder="1" applyAlignment="1">
      <alignment horizontal="left" vertical="top"/>
    </xf>
    <xf numFmtId="0" fontId="93" fillId="2" borderId="0" xfId="0" applyFont="1" applyFill="1" applyAlignment="1">
      <alignment horizontal="left" vertical="top"/>
    </xf>
    <xf numFmtId="0" fontId="93" fillId="2" borderId="5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4" fontId="24" fillId="0" borderId="4" xfId="0" applyNumberFormat="1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93" fillId="2" borderId="9" xfId="0" applyFont="1" applyFill="1" applyBorder="1" applyAlignment="1">
      <alignment horizontal="left" vertical="top"/>
    </xf>
    <xf numFmtId="0" fontId="93" fillId="2" borderId="10" xfId="0" applyFont="1" applyFill="1" applyBorder="1" applyAlignment="1">
      <alignment horizontal="left" vertical="top"/>
    </xf>
    <xf numFmtId="0" fontId="93" fillId="2" borderId="11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12" fillId="0" borderId="4" xfId="0" applyNumberFormat="1" applyFont="1" applyBorder="1" applyAlignment="1">
      <alignment horizontal="right" vertical="top" wrapText="1"/>
    </xf>
    <xf numFmtId="164" fontId="12" fillId="0" borderId="0" xfId="0" applyNumberFormat="1" applyFont="1" applyBorder="1" applyAlignment="1">
      <alignment horizontal="right" vertical="top" wrapText="1"/>
    </xf>
    <xf numFmtId="164" fontId="12" fillId="0" borderId="5" xfId="0" applyNumberFormat="1" applyFont="1" applyBorder="1" applyAlignment="1">
      <alignment horizontal="right" vertical="top" wrapText="1"/>
    </xf>
    <xf numFmtId="164" fontId="13" fillId="0" borderId="24" xfId="0" applyNumberFormat="1" applyFont="1" applyBorder="1" applyAlignment="1">
      <alignment horizontal="right" vertical="top" wrapText="1"/>
    </xf>
    <xf numFmtId="164" fontId="13" fillId="0" borderId="25" xfId="0" applyNumberFormat="1" applyFont="1" applyBorder="1" applyAlignment="1">
      <alignment horizontal="right" vertical="top" wrapText="1"/>
    </xf>
    <xf numFmtId="164" fontId="13" fillId="0" borderId="26" xfId="0" applyNumberFormat="1" applyFont="1" applyBorder="1" applyAlignment="1">
      <alignment horizontal="right" vertical="top" wrapText="1"/>
    </xf>
    <xf numFmtId="164" fontId="13" fillId="0" borderId="18" xfId="0" applyNumberFormat="1" applyFont="1" applyBorder="1" applyAlignment="1">
      <alignment horizontal="right" vertical="top" wrapText="1"/>
    </xf>
    <xf numFmtId="164" fontId="13" fillId="0" borderId="15" xfId="0" applyNumberFormat="1" applyFont="1" applyBorder="1" applyAlignment="1">
      <alignment horizontal="right" vertical="top" wrapText="1"/>
    </xf>
    <xf numFmtId="164" fontId="13" fillId="0" borderId="20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164" fontId="12" fillId="0" borderId="16" xfId="0" applyNumberFormat="1" applyFont="1" applyBorder="1" applyAlignment="1">
      <alignment horizontal="right" vertical="top" wrapText="1"/>
    </xf>
    <xf numFmtId="164" fontId="12" fillId="0" borderId="17" xfId="0" applyNumberFormat="1" applyFont="1" applyBorder="1" applyAlignment="1">
      <alignment horizontal="right" vertical="top" wrapText="1"/>
    </xf>
    <xf numFmtId="164" fontId="12" fillId="0" borderId="19" xfId="0" applyNumberFormat="1" applyFont="1" applyBorder="1" applyAlignment="1">
      <alignment horizontal="right" vertical="top" wrapText="1"/>
    </xf>
    <xf numFmtId="0" fontId="12" fillId="0" borderId="16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164" fontId="14" fillId="0" borderId="6" xfId="0" applyNumberFormat="1" applyFont="1" applyBorder="1" applyAlignment="1">
      <alignment horizontal="right" vertical="top" wrapText="1"/>
    </xf>
    <xf numFmtId="164" fontId="14" fillId="0" borderId="7" xfId="0" applyNumberFormat="1" applyFont="1" applyBorder="1" applyAlignment="1">
      <alignment horizontal="right" vertical="top" wrapText="1"/>
    </xf>
    <xf numFmtId="164" fontId="14" fillId="0" borderId="8" xfId="0" applyNumberFormat="1" applyFont="1" applyBorder="1" applyAlignment="1">
      <alignment horizontal="right" vertical="top" wrapText="1"/>
    </xf>
    <xf numFmtId="164" fontId="13" fillId="0" borderId="4" xfId="0" applyNumberFormat="1" applyFont="1" applyBorder="1" applyAlignment="1">
      <alignment horizontal="right" vertical="top" wrapText="1"/>
    </xf>
    <xf numFmtId="164" fontId="13" fillId="0" borderId="0" xfId="0" applyNumberFormat="1" applyFont="1" applyBorder="1" applyAlignment="1">
      <alignment horizontal="right" vertical="top" wrapText="1"/>
    </xf>
    <xf numFmtId="164" fontId="13" fillId="0" borderId="5" xfId="0" applyNumberFormat="1" applyFont="1" applyBorder="1" applyAlignment="1">
      <alignment horizontal="right" vertical="top" wrapText="1"/>
    </xf>
    <xf numFmtId="164" fontId="14" fillId="0" borderId="27" xfId="0" applyNumberFormat="1" applyFont="1" applyBorder="1" applyAlignment="1">
      <alignment horizontal="right" vertical="top" wrapText="1"/>
    </xf>
    <xf numFmtId="164" fontId="14" fillId="0" borderId="28" xfId="0" applyNumberFormat="1" applyFont="1" applyBorder="1" applyAlignment="1">
      <alignment horizontal="right" vertical="top" wrapText="1"/>
    </xf>
    <xf numFmtId="0" fontId="0" fillId="0" borderId="0" xfId="0"/>
    <xf numFmtId="0" fontId="15" fillId="0" borderId="2" xfId="0" applyFont="1" applyBorder="1"/>
    <xf numFmtId="0" fontId="15" fillId="0" borderId="14" xfId="0" applyFont="1" applyBorder="1"/>
    <xf numFmtId="0" fontId="15" fillId="0" borderId="3" xfId="0" applyFont="1" applyBorder="1"/>
    <xf numFmtId="164" fontId="12" fillId="0" borderId="2" xfId="0" applyNumberFormat="1" applyFont="1" applyBorder="1" applyAlignment="1">
      <alignment horizontal="right" vertical="top" wrapText="1"/>
    </xf>
    <xf numFmtId="164" fontId="12" fillId="0" borderId="14" xfId="0" applyNumberFormat="1" applyFont="1" applyBorder="1" applyAlignment="1">
      <alignment horizontal="right" vertical="top" wrapText="1"/>
    </xf>
    <xf numFmtId="164" fontId="14" fillId="0" borderId="21" xfId="0" applyNumberFormat="1" applyFont="1" applyBorder="1" applyAlignment="1">
      <alignment horizontal="right" vertical="top" wrapText="1"/>
    </xf>
    <xf numFmtId="164" fontId="14" fillId="0" borderId="22" xfId="0" applyNumberFormat="1" applyFont="1" applyBorder="1" applyAlignment="1">
      <alignment horizontal="right" vertical="top" wrapText="1"/>
    </xf>
    <xf numFmtId="164" fontId="14" fillId="0" borderId="23" xfId="0" applyNumberFormat="1" applyFont="1" applyBorder="1" applyAlignment="1">
      <alignment horizontal="right" vertical="top" wrapText="1"/>
    </xf>
    <xf numFmtId="164" fontId="13" fillId="0" borderId="30" xfId="0" applyNumberFormat="1" applyFont="1" applyBorder="1" applyAlignment="1">
      <alignment horizontal="right" vertical="top" wrapText="1"/>
    </xf>
    <xf numFmtId="164" fontId="14" fillId="0" borderId="29" xfId="0" applyNumberFormat="1" applyFont="1" applyBorder="1" applyAlignment="1">
      <alignment horizontal="right" vertical="top" wrapText="1"/>
    </xf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13" fillId="0" borderId="4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20" fillId="2" borderId="9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0" xfId="0" applyFont="1" applyFill="1"/>
    <xf numFmtId="0" fontId="4" fillId="2" borderId="0" xfId="0" applyFont="1" applyFill="1" applyAlignment="1">
      <alignment wrapText="1"/>
    </xf>
    <xf numFmtId="0" fontId="92" fillId="2" borderId="0" xfId="0" applyFont="1" applyFill="1" applyAlignment="1">
      <alignment wrapText="1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0" fillId="2" borderId="1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left" vertical="top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38" fillId="0" borderId="34" xfId="0" applyFont="1" applyBorder="1" applyAlignment="1">
      <alignment horizontal="left" vertical="top"/>
    </xf>
    <xf numFmtId="0" fontId="38" fillId="0" borderId="33" xfId="0" applyFont="1" applyBorder="1" applyAlignment="1">
      <alignment horizontal="left" vertical="top"/>
    </xf>
    <xf numFmtId="0" fontId="38" fillId="0" borderId="5" xfId="0" applyFont="1" applyBorder="1" applyAlignment="1">
      <alignment horizontal="left" vertical="top"/>
    </xf>
    <xf numFmtId="0" fontId="37" fillId="0" borderId="4" xfId="0" applyFont="1" applyBorder="1" applyAlignment="1">
      <alignment horizontal="left" vertical="top"/>
    </xf>
    <xf numFmtId="0" fontId="37" fillId="0" borderId="0" xfId="0" applyFont="1" applyBorder="1" applyAlignment="1">
      <alignment horizontal="left" vertical="top"/>
    </xf>
    <xf numFmtId="0" fontId="37" fillId="0" borderId="5" xfId="0" applyFont="1" applyBorder="1" applyAlignment="1">
      <alignment horizontal="left" vertical="top"/>
    </xf>
    <xf numFmtId="0" fontId="38" fillId="0" borderId="24" xfId="0" applyFont="1" applyBorder="1" applyAlignment="1">
      <alignment horizontal="left" vertical="top"/>
    </xf>
    <xf numFmtId="0" fontId="38" fillId="0" borderId="25" xfId="0" applyFont="1" applyBorder="1" applyAlignment="1">
      <alignment horizontal="left" vertical="top"/>
    </xf>
    <xf numFmtId="0" fontId="38" fillId="0" borderId="26" xfId="0" applyFont="1" applyBorder="1" applyAlignment="1">
      <alignment horizontal="left" vertical="top"/>
    </xf>
    <xf numFmtId="0" fontId="36" fillId="0" borderId="34" xfId="0" applyFont="1" applyBorder="1" applyAlignment="1">
      <alignment horizontal="left" vertical="top"/>
    </xf>
    <xf numFmtId="0" fontId="36" fillId="0" borderId="33" xfId="0" applyFont="1" applyBorder="1" applyAlignment="1">
      <alignment horizontal="left" vertical="top"/>
    </xf>
    <xf numFmtId="0" fontId="36" fillId="0" borderId="5" xfId="0" applyFont="1" applyBorder="1" applyAlignment="1">
      <alignment horizontal="left" vertical="top"/>
    </xf>
    <xf numFmtId="0" fontId="37" fillId="0" borderId="34" xfId="0" applyFont="1" applyBorder="1" applyAlignment="1">
      <alignment horizontal="left" vertical="top"/>
    </xf>
    <xf numFmtId="0" fontId="37" fillId="0" borderId="33" xfId="0" applyFont="1" applyBorder="1" applyAlignment="1">
      <alignment horizontal="left" vertical="top"/>
    </xf>
    <xf numFmtId="0" fontId="44" fillId="0" borderId="0" xfId="0" applyFont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0" fontId="36" fillId="0" borderId="4" xfId="0" applyFont="1" applyBorder="1" applyAlignment="1">
      <alignment horizontal="left" vertical="top"/>
    </xf>
    <xf numFmtId="0" fontId="36" fillId="0" borderId="0" xfId="0" applyFont="1" applyBorder="1" applyAlignment="1">
      <alignment horizontal="left" vertical="top"/>
    </xf>
    <xf numFmtId="0" fontId="43" fillId="0" borderId="24" xfId="0" applyFont="1" applyBorder="1" applyAlignment="1">
      <alignment horizontal="left" vertical="top"/>
    </xf>
    <xf numFmtId="0" fontId="65" fillId="0" borderId="34" xfId="0" applyFont="1" applyBorder="1" applyAlignment="1">
      <alignment horizontal="left" vertical="top"/>
    </xf>
    <xf numFmtId="0" fontId="65" fillId="0" borderId="33" xfId="0" applyFont="1" applyBorder="1" applyAlignment="1">
      <alignment horizontal="left" vertical="top"/>
    </xf>
    <xf numFmtId="0" fontId="65" fillId="0" borderId="5" xfId="0" applyFont="1" applyBorder="1" applyAlignment="1">
      <alignment horizontal="left" vertical="top"/>
    </xf>
    <xf numFmtId="0" fontId="40" fillId="0" borderId="34" xfId="0" applyFont="1" applyBorder="1"/>
    <xf numFmtId="0" fontId="40" fillId="0" borderId="33" xfId="0" applyFont="1" applyBorder="1"/>
    <xf numFmtId="0" fontId="40" fillId="0" borderId="5" xfId="0" applyFont="1" applyBorder="1"/>
    <xf numFmtId="0" fontId="42" fillId="0" borderId="34" xfId="0" applyFont="1" applyBorder="1"/>
    <xf numFmtId="0" fontId="42" fillId="0" borderId="33" xfId="0" applyFont="1" applyBorder="1"/>
    <xf numFmtId="0" fontId="42" fillId="0" borderId="5" xfId="0" applyFont="1" applyBorder="1"/>
    <xf numFmtId="0" fontId="66" fillId="2" borderId="6" xfId="0" applyFont="1" applyFill="1" applyBorder="1" applyAlignment="1">
      <alignment horizontal="center" wrapText="1"/>
    </xf>
    <xf numFmtId="0" fontId="66" fillId="2" borderId="7" xfId="0" applyFont="1" applyFill="1" applyBorder="1" applyAlignment="1">
      <alignment horizontal="center" wrapText="1"/>
    </xf>
    <xf numFmtId="0" fontId="66" fillId="2" borderId="8" xfId="0" applyFont="1" applyFill="1" applyBorder="1" applyAlignment="1">
      <alignment horizontal="center" wrapText="1"/>
    </xf>
    <xf numFmtId="0" fontId="26" fillId="2" borderId="9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14" xfId="0" applyFont="1" applyFill="1" applyBorder="1" applyAlignment="1">
      <alignment horizontal="center"/>
    </xf>
    <xf numFmtId="0" fontId="26" fillId="2" borderId="3" xfId="0" applyFont="1" applyFill="1" applyBorder="1" applyAlignment="1">
      <alignment horizontal="center"/>
    </xf>
    <xf numFmtId="0" fontId="44" fillId="0" borderId="4" xfId="0" applyFont="1" applyBorder="1" applyAlignment="1">
      <alignment horizontal="left" vertical="top"/>
    </xf>
    <xf numFmtId="0" fontId="39" fillId="0" borderId="24" xfId="0" applyFont="1" applyBorder="1" applyAlignment="1">
      <alignment horizontal="left" vertical="top"/>
    </xf>
    <xf numFmtId="0" fontId="39" fillId="0" borderId="25" xfId="0" applyFont="1" applyBorder="1" applyAlignment="1">
      <alignment horizontal="left" vertical="top"/>
    </xf>
    <xf numFmtId="0" fontId="39" fillId="0" borderId="26" xfId="0" applyFont="1" applyBorder="1" applyAlignment="1">
      <alignment horizontal="left" vertical="top"/>
    </xf>
    <xf numFmtId="10" fontId="37" fillId="0" borderId="34" xfId="0" applyNumberFormat="1" applyFont="1" applyBorder="1" applyAlignment="1">
      <alignment horizontal="left" vertical="top"/>
    </xf>
    <xf numFmtId="10" fontId="37" fillId="0" borderId="33" xfId="0" applyNumberFormat="1" applyFont="1" applyBorder="1" applyAlignment="1">
      <alignment horizontal="left" vertical="top"/>
    </xf>
    <xf numFmtId="10" fontId="37" fillId="0" borderId="5" xfId="0" applyNumberFormat="1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6" fillId="0" borderId="4" xfId="0" applyFont="1" applyBorder="1" applyAlignment="1">
      <alignment horizontal="left" vertical="top"/>
    </xf>
    <xf numFmtId="0" fontId="46" fillId="0" borderId="0" xfId="0" applyFont="1" applyBorder="1" applyAlignment="1">
      <alignment horizontal="left" vertical="top"/>
    </xf>
    <xf numFmtId="0" fontId="46" fillId="0" borderId="5" xfId="0" applyFont="1" applyBorder="1" applyAlignment="1">
      <alignment horizontal="left" vertical="top"/>
    </xf>
    <xf numFmtId="0" fontId="46" fillId="0" borderId="4" xfId="0" applyFont="1" applyBorder="1" applyAlignment="1">
      <alignment horizontal="center" vertical="top"/>
    </xf>
    <xf numFmtId="0" fontId="46" fillId="0" borderId="0" xfId="0" applyFont="1" applyBorder="1" applyAlignment="1">
      <alignment horizontal="center" vertical="top"/>
    </xf>
    <xf numFmtId="0" fontId="46" fillId="0" borderId="5" xfId="0" applyFont="1" applyBorder="1" applyAlignment="1">
      <alignment horizontal="center" vertical="top"/>
    </xf>
    <xf numFmtId="0" fontId="38" fillId="0" borderId="0" xfId="0" applyFont="1" applyBorder="1" applyAlignment="1">
      <alignment horizontal="left" vertical="top"/>
    </xf>
    <xf numFmtId="171" fontId="42" fillId="0" borderId="34" xfId="0" applyNumberFormat="1" applyFont="1" applyBorder="1"/>
    <xf numFmtId="171" fontId="42" fillId="0" borderId="33" xfId="0" applyNumberFormat="1" applyFont="1" applyBorder="1"/>
    <xf numFmtId="171" fontId="42" fillId="0" borderId="5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1" fontId="25" fillId="0" borderId="34" xfId="0" applyNumberFormat="1" applyFont="1" applyBorder="1"/>
    <xf numFmtId="171" fontId="41" fillId="0" borderId="33" xfId="0" applyNumberFormat="1" applyFont="1" applyBorder="1"/>
    <xf numFmtId="171" fontId="41" fillId="0" borderId="5" xfId="0" applyNumberFormat="1" applyFont="1" applyBorder="1"/>
    <xf numFmtId="171" fontId="25" fillId="0" borderId="4" xfId="0" applyNumberFormat="1" applyFont="1" applyBorder="1"/>
    <xf numFmtId="171" fontId="41" fillId="0" borderId="0" xfId="0" applyNumberFormat="1" applyFont="1" applyBorder="1"/>
    <xf numFmtId="0" fontId="25" fillId="0" borderId="34" xfId="0" applyFont="1" applyBorder="1"/>
    <xf numFmtId="0" fontId="41" fillId="0" borderId="33" xfId="0" applyFont="1" applyBorder="1"/>
    <xf numFmtId="0" fontId="41" fillId="0" borderId="5" xfId="0" applyFont="1" applyBorder="1"/>
    <xf numFmtId="0" fontId="31" fillId="4" borderId="2" xfId="0" applyFont="1" applyFill="1" applyBorder="1"/>
    <xf numFmtId="0" fontId="31" fillId="4" borderId="14" xfId="0" applyFont="1" applyFill="1" applyBorder="1"/>
    <xf numFmtId="0" fontId="31" fillId="4" borderId="3" xfId="0" applyFont="1" applyFill="1" applyBorder="1"/>
    <xf numFmtId="0" fontId="3" fillId="2" borderId="4" xfId="0" applyFont="1" applyFill="1" applyBorder="1" applyAlignment="1">
      <alignment horizontal="center" vertical="top" wrapText="1"/>
    </xf>
    <xf numFmtId="0" fontId="32" fillId="2" borderId="0" xfId="0" applyFont="1" applyFill="1" applyBorder="1" applyAlignment="1">
      <alignment horizontal="center" vertical="top" wrapText="1"/>
    </xf>
    <xf numFmtId="0" fontId="32" fillId="2" borderId="5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wrapText="1"/>
    </xf>
    <xf numFmtId="0" fontId="33" fillId="2" borderId="0" xfId="0" applyFont="1" applyFill="1" applyBorder="1" applyAlignment="1">
      <alignment wrapText="1"/>
    </xf>
    <xf numFmtId="0" fontId="33" fillId="2" borderId="5" xfId="0" applyFont="1" applyFill="1" applyBorder="1" applyAlignment="1">
      <alignment wrapText="1"/>
    </xf>
    <xf numFmtId="0" fontId="35" fillId="0" borderId="34" xfId="0" applyFont="1" applyBorder="1"/>
    <xf numFmtId="0" fontId="35" fillId="0" borderId="33" xfId="0" applyFont="1" applyBorder="1"/>
    <xf numFmtId="0" fontId="35" fillId="0" borderId="5" xfId="0" applyFont="1" applyBorder="1"/>
    <xf numFmtId="0" fontId="32" fillId="0" borderId="2" xfId="0" applyFont="1" applyBorder="1" applyAlignment="1">
      <alignment horizontal="left" vertical="top"/>
    </xf>
    <xf numFmtId="0" fontId="32" fillId="0" borderId="14" xfId="0" applyFont="1" applyBorder="1" applyAlignment="1">
      <alignment horizontal="left" vertical="top"/>
    </xf>
    <xf numFmtId="0" fontId="32" fillId="0" borderId="3" xfId="0" applyFont="1" applyBorder="1" applyAlignment="1">
      <alignment horizontal="left" vertical="top"/>
    </xf>
    <xf numFmtId="0" fontId="45" fillId="0" borderId="34" xfId="0" applyFont="1" applyBorder="1" applyAlignment="1">
      <alignment horizontal="left" vertical="top"/>
    </xf>
    <xf numFmtId="0" fontId="45" fillId="0" borderId="33" xfId="0" applyFont="1" applyBorder="1" applyAlignment="1">
      <alignment horizontal="left" vertical="top"/>
    </xf>
    <xf numFmtId="0" fontId="45" fillId="0" borderId="5" xfId="0" applyFont="1" applyBorder="1" applyAlignment="1">
      <alignment horizontal="left" vertical="top"/>
    </xf>
    <xf numFmtId="164" fontId="32" fillId="0" borderId="4" xfId="0" applyNumberFormat="1" applyFont="1" applyBorder="1" applyAlignment="1">
      <alignment horizontal="right" vertical="top" wrapText="1"/>
    </xf>
    <xf numFmtId="164" fontId="32" fillId="0" borderId="0" xfId="0" applyNumberFormat="1" applyFont="1" applyBorder="1" applyAlignment="1">
      <alignment horizontal="right" vertical="top" wrapText="1"/>
    </xf>
    <xf numFmtId="164" fontId="32" fillId="0" borderId="5" xfId="0" applyNumberFormat="1" applyFont="1" applyBorder="1" applyAlignment="1">
      <alignment horizontal="right" vertical="top" wrapText="1"/>
    </xf>
    <xf numFmtId="164" fontId="34" fillId="0" borderId="4" xfId="0" applyNumberFormat="1" applyFont="1" applyBorder="1" applyAlignment="1">
      <alignment horizontal="right" vertical="top" wrapText="1"/>
    </xf>
    <xf numFmtId="164" fontId="34" fillId="0" borderId="0" xfId="0" applyNumberFormat="1" applyFont="1" applyBorder="1" applyAlignment="1">
      <alignment horizontal="right" vertical="top" wrapText="1"/>
    </xf>
    <xf numFmtId="164" fontId="34" fillId="0" borderId="5" xfId="0" applyNumberFormat="1" applyFont="1" applyBorder="1" applyAlignment="1">
      <alignment horizontal="right" vertical="top" wrapText="1"/>
    </xf>
    <xf numFmtId="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5" fontId="0" fillId="0" borderId="9" xfId="1" applyNumberFormat="1" applyFont="1" applyBorder="1" applyAlignment="1">
      <alignment horizontal="center"/>
    </xf>
    <xf numFmtId="175" fontId="0" fillId="0" borderId="10" xfId="1" applyNumberFormat="1" applyFont="1" applyBorder="1" applyAlignment="1">
      <alignment horizontal="center"/>
    </xf>
    <xf numFmtId="175" fontId="0" fillId="0" borderId="11" xfId="1" applyNumberFormat="1" applyFont="1" applyBorder="1" applyAlignment="1">
      <alignment horizontal="center"/>
    </xf>
    <xf numFmtId="175" fontId="0" fillId="0" borderId="9" xfId="0" applyNumberFormat="1" applyBorder="1" applyAlignment="1">
      <alignment horizontal="center"/>
    </xf>
    <xf numFmtId="175" fontId="0" fillId="0" borderId="10" xfId="0" applyNumberFormat="1" applyBorder="1" applyAlignment="1">
      <alignment horizontal="center"/>
    </xf>
    <xf numFmtId="175" fontId="0" fillId="0" borderId="11" xfId="0" applyNumberFormat="1" applyBorder="1" applyAlignment="1">
      <alignment horizontal="center"/>
    </xf>
    <xf numFmtId="175" fontId="0" fillId="0" borderId="2" xfId="0" applyNumberFormat="1" applyBorder="1" applyAlignment="1">
      <alignment horizontal="center"/>
    </xf>
    <xf numFmtId="175" fontId="0" fillId="0" borderId="14" xfId="0" applyNumberFormat="1" applyBorder="1" applyAlignment="1">
      <alignment horizontal="center"/>
    </xf>
    <xf numFmtId="175" fontId="0" fillId="0" borderId="3" xfId="0" applyNumberFormat="1" applyBorder="1" applyAlignment="1">
      <alignment horizontal="center"/>
    </xf>
    <xf numFmtId="0" fontId="26" fillId="2" borderId="9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74" fontId="0" fillId="0" borderId="6" xfId="1" applyNumberFormat="1" applyFont="1" applyBorder="1" applyAlignment="1">
      <alignment horizontal="center"/>
    </xf>
    <xf numFmtId="174" fontId="0" fillId="0" borderId="7" xfId="1" applyNumberFormat="1" applyFont="1" applyBorder="1" applyAlignment="1">
      <alignment horizontal="center"/>
    </xf>
    <xf numFmtId="174" fontId="0" fillId="0" borderId="8" xfId="1" applyNumberFormat="1" applyFont="1" applyBorder="1" applyAlignment="1">
      <alignment horizontal="center"/>
    </xf>
    <xf numFmtId="174" fontId="0" fillId="0" borderId="9" xfId="1" applyNumberFormat="1" applyFont="1" applyBorder="1" applyAlignment="1">
      <alignment horizontal="center" vertical="center"/>
    </xf>
    <xf numFmtId="174" fontId="0" fillId="0" borderId="10" xfId="1" applyNumberFormat="1" applyFont="1" applyBorder="1" applyAlignment="1">
      <alignment horizontal="center" vertical="center"/>
    </xf>
    <xf numFmtId="174" fontId="0" fillId="0" borderId="11" xfId="1" applyNumberFormat="1" applyFont="1" applyBorder="1" applyAlignment="1">
      <alignment horizontal="center" vertical="center"/>
    </xf>
    <xf numFmtId="9" fontId="0" fillId="0" borderId="9" xfId="1" applyNumberFormat="1" applyFont="1" applyFill="1" applyBorder="1" applyAlignment="1">
      <alignment horizontal="center"/>
    </xf>
    <xf numFmtId="9" fontId="0" fillId="0" borderId="10" xfId="1" applyNumberFormat="1" applyFont="1" applyFill="1" applyBorder="1" applyAlignment="1">
      <alignment horizontal="center"/>
    </xf>
    <xf numFmtId="9" fontId="0" fillId="0" borderId="11" xfId="1" applyNumberFormat="1" applyFont="1" applyFill="1" applyBorder="1" applyAlignment="1">
      <alignment horizont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51" fillId="0" borderId="4" xfId="0" applyFont="1" applyFill="1" applyBorder="1"/>
    <xf numFmtId="0" fontId="0" fillId="0" borderId="0" xfId="0" applyFill="1" applyBorder="1"/>
    <xf numFmtId="0" fontId="51" fillId="0" borderId="6" xfId="0" applyFont="1" applyFill="1" applyBorder="1"/>
    <xf numFmtId="0" fontId="0" fillId="0" borderId="7" xfId="0" applyFill="1" applyBorder="1"/>
    <xf numFmtId="0" fontId="50" fillId="4" borderId="0" xfId="0" applyFont="1" applyFill="1"/>
    <xf numFmtId="0" fontId="31" fillId="4" borderId="0" xfId="0" applyFont="1" applyFill="1"/>
    <xf numFmtId="0" fontId="3" fillId="2" borderId="0" xfId="0" applyFont="1" applyFill="1" applyAlignment="1">
      <alignment wrapText="1"/>
    </xf>
    <xf numFmtId="0" fontId="32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33" fillId="2" borderId="0" xfId="0" applyFont="1" applyFill="1" applyAlignment="1">
      <alignment wrapText="1"/>
    </xf>
    <xf numFmtId="0" fontId="1" fillId="0" borderId="4" xfId="0" applyFont="1" applyBorder="1"/>
    <xf numFmtId="0" fontId="1" fillId="0" borderId="0" xfId="0" applyFont="1" applyBorder="1"/>
    <xf numFmtId="0" fontId="51" fillId="0" borderId="4" xfId="0" applyFont="1" applyBorder="1"/>
    <xf numFmtId="0" fontId="51" fillId="0" borderId="0" xfId="0" applyFont="1" applyBorder="1"/>
    <xf numFmtId="0" fontId="30" fillId="2" borderId="9" xfId="0" applyFont="1" applyFill="1" applyBorder="1" applyAlignment="1">
      <alignment horizontal="center"/>
    </xf>
    <xf numFmtId="0" fontId="30" fillId="2" borderId="10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13" fillId="2" borderId="12" xfId="0" applyNumberFormat="1" applyFont="1" applyFill="1" applyBorder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 wrapText="1"/>
    </xf>
    <xf numFmtId="164" fontId="13" fillId="2" borderId="31" xfId="0" applyNumberFormat="1" applyFont="1" applyFill="1" applyBorder="1" applyAlignment="1">
      <alignment horizontal="center" vertical="center" wrapText="1"/>
    </xf>
    <xf numFmtId="164" fontId="58" fillId="2" borderId="9" xfId="0" applyNumberFormat="1" applyFont="1" applyFill="1" applyBorder="1" applyAlignment="1">
      <alignment horizontal="left" vertical="top" wrapText="1"/>
    </xf>
    <xf numFmtId="164" fontId="58" fillId="2" borderId="10" xfId="0" applyNumberFormat="1" applyFont="1" applyFill="1" applyBorder="1" applyAlignment="1">
      <alignment horizontal="left" vertical="top" wrapText="1"/>
    </xf>
    <xf numFmtId="164" fontId="58" fillId="2" borderId="11" xfId="0" applyNumberFormat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4" fillId="6" borderId="4" xfId="0" applyFont="1" applyFill="1" applyBorder="1" applyAlignment="1">
      <alignment horizontal="left" vertical="top"/>
    </xf>
    <xf numFmtId="0" fontId="62" fillId="6" borderId="5" xfId="0" applyFont="1" applyFill="1" applyBorder="1" applyAlignment="1">
      <alignment horizontal="left" vertical="top"/>
    </xf>
    <xf numFmtId="0" fontId="46" fillId="0" borderId="36" xfId="0" applyFont="1" applyBorder="1" applyAlignment="1">
      <alignment horizontal="left" vertical="top"/>
    </xf>
    <xf numFmtId="0" fontId="46" fillId="0" borderId="37" xfId="0" applyFont="1" applyBorder="1" applyAlignment="1">
      <alignment horizontal="left" vertical="top"/>
    </xf>
    <xf numFmtId="0" fontId="48" fillId="0" borderId="24" xfId="0" applyFont="1" applyBorder="1" applyAlignment="1">
      <alignment horizontal="left" vertical="top"/>
    </xf>
    <xf numFmtId="0" fontId="48" fillId="0" borderId="26" xfId="0" applyFont="1" applyBorder="1" applyAlignment="1">
      <alignment horizontal="left" vertical="top"/>
    </xf>
    <xf numFmtId="0" fontId="48" fillId="0" borderId="34" xfId="0" applyFont="1" applyBorder="1" applyAlignment="1">
      <alignment horizontal="left" vertical="top"/>
    </xf>
    <xf numFmtId="0" fontId="48" fillId="0" borderId="5" xfId="0" applyFont="1" applyBorder="1" applyAlignment="1">
      <alignment horizontal="left" vertical="top"/>
    </xf>
    <xf numFmtId="0" fontId="46" fillId="0" borderId="34" xfId="0" applyFont="1" applyBorder="1" applyAlignment="1">
      <alignment horizontal="left" vertical="top"/>
    </xf>
    <xf numFmtId="9" fontId="0" fillId="0" borderId="2" xfId="0" applyNumberFormat="1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/>
    <xf numFmtId="0" fontId="25" fillId="0" borderId="5" xfId="0" applyFont="1" applyBorder="1"/>
    <xf numFmtId="0" fontId="48" fillId="0" borderId="4" xfId="0" applyFont="1" applyBorder="1" applyAlignment="1">
      <alignment horizontal="left" vertical="top"/>
    </xf>
    <xf numFmtId="0" fontId="42" fillId="0" borderId="6" xfId="0" applyFont="1" applyBorder="1" applyAlignment="1">
      <alignment horizontal="left"/>
    </xf>
    <xf numFmtId="0" fontId="42" fillId="0" borderId="8" xfId="0" applyFont="1" applyBorder="1" applyAlignment="1">
      <alignment horizontal="left"/>
    </xf>
    <xf numFmtId="0" fontId="24" fillId="0" borderId="34" xfId="0" applyFont="1" applyBorder="1"/>
    <xf numFmtId="0" fontId="24" fillId="0" borderId="5" xfId="0" applyFont="1" applyBorder="1"/>
    <xf numFmtId="0" fontId="49" fillId="0" borderId="34" xfId="0" applyFont="1" applyBorder="1"/>
    <xf numFmtId="0" fontId="49" fillId="0" borderId="5" xfId="0" applyFont="1" applyBorder="1"/>
    <xf numFmtId="0" fontId="24" fillId="0" borderId="4" xfId="0" applyFont="1" applyBorder="1"/>
    <xf numFmtId="0" fontId="46" fillId="6" borderId="34" xfId="0" applyFont="1" applyFill="1" applyBorder="1" applyAlignment="1">
      <alignment horizontal="left" vertical="top"/>
    </xf>
    <xf numFmtId="0" fontId="46" fillId="6" borderId="5" xfId="0" applyFont="1" applyFill="1" applyBorder="1" applyAlignment="1">
      <alignment horizontal="left" vertical="top"/>
    </xf>
    <xf numFmtId="14" fontId="25" fillId="2" borderId="4" xfId="0" applyNumberFormat="1" applyFont="1" applyFill="1" applyBorder="1" applyAlignment="1">
      <alignment horizontal="center"/>
    </xf>
    <xf numFmtId="14" fontId="25" fillId="2" borderId="5" xfId="0" applyNumberFormat="1" applyFont="1" applyFill="1" applyBorder="1" applyAlignment="1">
      <alignment horizontal="center"/>
    </xf>
    <xf numFmtId="0" fontId="47" fillId="0" borderId="35" xfId="0" applyFont="1" applyBorder="1"/>
    <xf numFmtId="0" fontId="47" fillId="0" borderId="3" xfId="0" applyFont="1" applyBorder="1"/>
    <xf numFmtId="0" fontId="56" fillId="2" borderId="2" xfId="0" applyFont="1" applyFill="1" applyBorder="1" applyAlignment="1">
      <alignment horizontal="center" textRotation="45"/>
    </xf>
    <xf numFmtId="0" fontId="56" fillId="2" borderId="14" xfId="0" applyFont="1" applyFill="1" applyBorder="1" applyAlignment="1">
      <alignment horizontal="center" textRotation="45"/>
    </xf>
    <xf numFmtId="0" fontId="56" fillId="2" borderId="4" xfId="0" applyFont="1" applyFill="1" applyBorder="1" applyAlignment="1">
      <alignment horizontal="center" textRotation="45"/>
    </xf>
    <xf numFmtId="0" fontId="56" fillId="2" borderId="0" xfId="0" applyFont="1" applyFill="1" applyBorder="1" applyAlignment="1">
      <alignment horizontal="center" textRotation="45"/>
    </xf>
    <xf numFmtId="0" fontId="56" fillId="2" borderId="6" xfId="0" applyFont="1" applyFill="1" applyBorder="1" applyAlignment="1">
      <alignment horizontal="center" textRotation="45"/>
    </xf>
    <xf numFmtId="0" fontId="56" fillId="2" borderId="7" xfId="0" applyFont="1" applyFill="1" applyBorder="1" applyAlignment="1">
      <alignment horizontal="center" textRotation="45"/>
    </xf>
    <xf numFmtId="9" fontId="0" fillId="0" borderId="44" xfId="1" applyFont="1" applyBorder="1" applyAlignment="1"/>
    <xf numFmtId="9" fontId="0" fillId="0" borderId="0" xfId="1" applyFont="1" applyBorder="1" applyAlignment="1"/>
    <xf numFmtId="9" fontId="0" fillId="0" borderId="4" xfId="1" applyFont="1" applyBorder="1" applyAlignment="1"/>
    <xf numFmtId="9" fontId="0" fillId="0" borderId="5" xfId="1" applyFont="1" applyBorder="1" applyAlignment="1"/>
    <xf numFmtId="0" fontId="56" fillId="2" borderId="3" xfId="0" applyFont="1" applyFill="1" applyBorder="1" applyAlignment="1">
      <alignment horizontal="center" textRotation="45"/>
    </xf>
    <xf numFmtId="0" fontId="56" fillId="2" borderId="5" xfId="0" applyFont="1" applyFill="1" applyBorder="1" applyAlignment="1">
      <alignment horizontal="center" textRotation="45"/>
    </xf>
    <xf numFmtId="0" fontId="56" fillId="2" borderId="8" xfId="0" applyFont="1" applyFill="1" applyBorder="1" applyAlignment="1">
      <alignment horizontal="center" textRotation="45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81" fillId="0" borderId="14" xfId="1" applyNumberFormat="1" applyFont="1" applyBorder="1" applyAlignment="1">
      <alignment horizontal="center" vertical="center"/>
    </xf>
    <xf numFmtId="2" fontId="81" fillId="0" borderId="3" xfId="1" applyNumberFormat="1" applyFont="1" applyBorder="1" applyAlignment="1">
      <alignment horizontal="center" vertical="center"/>
    </xf>
    <xf numFmtId="2" fontId="81" fillId="0" borderId="7" xfId="1" applyNumberFormat="1" applyFont="1" applyBorder="1" applyAlignment="1">
      <alignment horizontal="center" vertical="center"/>
    </xf>
    <xf numFmtId="2" fontId="81" fillId="0" borderId="8" xfId="1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0" fontId="1" fillId="6" borderId="2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43" fontId="0" fillId="0" borderId="2" xfId="1" applyNumberFormat="1" applyFont="1" applyBorder="1" applyAlignment="1"/>
    <xf numFmtId="43" fontId="0" fillId="0" borderId="3" xfId="1" applyNumberFormat="1" applyFont="1" applyBorder="1" applyAlignment="1"/>
    <xf numFmtId="0" fontId="71" fillId="2" borderId="2" xfId="0" applyFont="1" applyFill="1" applyBorder="1" applyAlignment="1">
      <alignment horizontal="center" vertical="center"/>
    </xf>
    <xf numFmtId="0" fontId="71" fillId="2" borderId="14" xfId="0" applyFont="1" applyFill="1" applyBorder="1" applyAlignment="1">
      <alignment horizontal="center" vertical="center"/>
    </xf>
    <xf numFmtId="0" fontId="71" fillId="2" borderId="4" xfId="0" applyFont="1" applyFill="1" applyBorder="1" applyAlignment="1">
      <alignment horizontal="center" vertical="center"/>
    </xf>
    <xf numFmtId="0" fontId="71" fillId="2" borderId="0" xfId="0" applyFont="1" applyFill="1" applyBorder="1" applyAlignment="1">
      <alignment horizontal="center" vertical="center"/>
    </xf>
    <xf numFmtId="0" fontId="71" fillId="2" borderId="3" xfId="0" applyFont="1" applyFill="1" applyBorder="1" applyAlignment="1">
      <alignment horizontal="center" vertical="center"/>
    </xf>
    <xf numFmtId="0" fontId="71" fillId="2" borderId="5" xfId="0" applyFont="1" applyFill="1" applyBorder="1" applyAlignment="1">
      <alignment horizontal="center" vertical="center"/>
    </xf>
    <xf numFmtId="181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4" fillId="2" borderId="9" xfId="4" applyFont="1" applyFill="1" applyBorder="1" applyAlignment="1">
      <alignment horizontal="center"/>
    </xf>
    <xf numFmtId="0" fontId="84" fillId="2" borderId="10" xfId="4" applyFont="1" applyFill="1" applyBorder="1" applyAlignment="1">
      <alignment horizontal="center"/>
    </xf>
    <xf numFmtId="0" fontId="84" fillId="2" borderId="11" xfId="4" applyFont="1" applyFill="1" applyBorder="1" applyAlignment="1">
      <alignment horizontal="center"/>
    </xf>
    <xf numFmtId="0" fontId="67" fillId="2" borderId="9" xfId="0" applyFont="1" applyFill="1" applyBorder="1" applyAlignment="1">
      <alignment horizontal="center"/>
    </xf>
    <xf numFmtId="0" fontId="67" fillId="2" borderId="10" xfId="0" applyFont="1" applyFill="1" applyBorder="1" applyAlignment="1">
      <alignment horizontal="center"/>
    </xf>
    <xf numFmtId="0" fontId="67" fillId="2" borderId="11" xfId="0" applyFont="1" applyFill="1" applyBorder="1" applyAlignment="1">
      <alignment horizontal="center"/>
    </xf>
    <xf numFmtId="0" fontId="67" fillId="2" borderId="9" xfId="4" applyFont="1" applyFill="1" applyBorder="1" applyAlignment="1">
      <alignment horizontal="center" vertical="center"/>
    </xf>
    <xf numFmtId="0" fontId="67" fillId="2" borderId="11" xfId="4" applyFont="1" applyFill="1" applyBorder="1" applyAlignment="1">
      <alignment horizontal="center" vertical="center"/>
    </xf>
    <xf numFmtId="0" fontId="84" fillId="2" borderId="9" xfId="4" applyFont="1" applyFill="1" applyBorder="1" applyAlignment="1">
      <alignment horizontal="center" vertical="center"/>
    </xf>
    <xf numFmtId="0" fontId="84" fillId="2" borderId="10" xfId="4" applyFont="1" applyFill="1" applyBorder="1" applyAlignment="1">
      <alignment horizontal="center" vertical="center"/>
    </xf>
    <xf numFmtId="0" fontId="84" fillId="2" borderId="11" xfId="4" applyFont="1" applyFill="1" applyBorder="1" applyAlignment="1">
      <alignment horizontal="center" vertical="center"/>
    </xf>
    <xf numFmtId="178" fontId="0" fillId="0" borderId="2" xfId="0" applyNumberFormat="1" applyBorder="1"/>
    <xf numFmtId="179" fontId="0" fillId="0" borderId="4" xfId="0" applyNumberFormat="1" applyBorder="1"/>
    <xf numFmtId="181" fontId="0" fillId="0" borderId="4" xfId="0" applyNumberFormat="1" applyBorder="1"/>
    <xf numFmtId="0" fontId="88" fillId="2" borderId="47" xfId="0" applyFont="1" applyFill="1" applyBorder="1" applyAlignment="1">
      <alignment horizontal="center" vertical="center"/>
    </xf>
    <xf numFmtId="0" fontId="88" fillId="2" borderId="4" xfId="0" applyFont="1" applyFill="1" applyBorder="1" applyAlignment="1">
      <alignment horizontal="center" vertical="center"/>
    </xf>
    <xf numFmtId="0" fontId="88" fillId="2" borderId="6" xfId="0" applyFont="1" applyFill="1" applyBorder="1" applyAlignment="1">
      <alignment horizontal="center" vertical="center"/>
    </xf>
    <xf numFmtId="0" fontId="84" fillId="2" borderId="2" xfId="0" applyFont="1" applyFill="1" applyBorder="1" applyAlignment="1">
      <alignment horizontal="center" vertical="center"/>
    </xf>
    <xf numFmtId="0" fontId="95" fillId="2" borderId="14" xfId="0" applyFont="1" applyFill="1" applyBorder="1" applyAlignment="1">
      <alignment horizontal="center" vertical="center"/>
    </xf>
    <xf numFmtId="0" fontId="95" fillId="2" borderId="36" xfId="0" applyFont="1" applyFill="1" applyBorder="1" applyAlignment="1">
      <alignment horizontal="center" vertical="center"/>
    </xf>
    <xf numFmtId="0" fontId="95" fillId="2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97" fillId="6" borderId="14" xfId="0" applyFont="1" applyFill="1" applyBorder="1" applyAlignment="1">
      <alignment horizontal="left" vertical="center"/>
    </xf>
    <xf numFmtId="0" fontId="97" fillId="6" borderId="3" xfId="0" applyFont="1" applyFill="1" applyBorder="1" applyAlignment="1">
      <alignment horizontal="left" vertical="center"/>
    </xf>
    <xf numFmtId="0" fontId="97" fillId="6" borderId="7" xfId="0" applyFont="1" applyFill="1" applyBorder="1" applyAlignment="1">
      <alignment horizontal="left" vertical="center"/>
    </xf>
    <xf numFmtId="0" fontId="97" fillId="6" borderId="8" xfId="0" applyFont="1" applyFill="1" applyBorder="1" applyAlignment="1">
      <alignment horizontal="left" vertical="center"/>
    </xf>
    <xf numFmtId="0" fontId="46" fillId="6" borderId="4" xfId="0" applyFont="1" applyFill="1" applyBorder="1" applyAlignment="1">
      <alignment horizontal="left"/>
    </xf>
    <xf numFmtId="0" fontId="46" fillId="6" borderId="0" xfId="0" applyFont="1" applyFill="1" applyBorder="1" applyAlignment="1">
      <alignment horizontal="left"/>
    </xf>
    <xf numFmtId="0" fontId="38" fillId="0" borderId="9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48" fillId="2" borderId="9" xfId="0" applyFont="1" applyFill="1" applyBorder="1" applyAlignment="1">
      <alignment horizontal="center"/>
    </xf>
    <xf numFmtId="0" fontId="48" fillId="2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6">
    <cellStyle name="Comma" xfId="3" builtinId="3"/>
    <cellStyle name="Currency" xfId="2" builtinId="4"/>
    <cellStyle name="Invisible" xfId="5" xr:uid="{9FED30ED-07E7-1440-9490-8A78B2A790C6}"/>
    <cellStyle name="Normal" xfId="0" builtinId="0"/>
    <cellStyle name="Normal 2" xfId="4" xr:uid="{A23832FF-A795-7142-B647-A1D9A6E26CB8}"/>
    <cellStyle name="Per cent" xfId="1" builtinId="5"/>
  </cellStyles>
  <dxfs count="1"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1876168562943"/>
          <c:y val="5.0576507013372185E-2"/>
          <c:w val="0.86499648362210935"/>
          <c:h val="0.69307626806924461"/>
        </c:manualLayout>
      </c:layout>
      <c:lineChart>
        <c:grouping val="standard"/>
        <c:varyColors val="0"/>
        <c:ser>
          <c:idx val="0"/>
          <c:order val="0"/>
          <c:tx>
            <c:strRef>
              <c:f>'Restructuration cap'!$A$6:$C$6</c:f>
              <c:strCache>
                <c:ptCount val="3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'Restructuration cap'!$D$2:$AA$2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('Restructuration cap'!$D$6:$V$6,'Restructuration cap'!$W$5:$AA$5)</c:f>
              <c:numCache>
                <c:formatCode>_(* #,##0.0_);_(* \(#,##0.0\)_)\ ;_(* 0_)</c:formatCode>
                <c:ptCount val="24"/>
                <c:pt idx="0">
                  <c:v>24541</c:v>
                </c:pt>
                <c:pt idx="1">
                  <c:v>23990</c:v>
                </c:pt>
                <c:pt idx="2">
                  <c:v>26578</c:v>
                </c:pt>
                <c:pt idx="3">
                  <c:v>31824</c:v>
                </c:pt>
                <c:pt idx="4">
                  <c:v>35526</c:v>
                </c:pt>
                <c:pt idx="5">
                  <c:v>37213</c:v>
                </c:pt>
                <c:pt idx="6">
                  <c:v>39620</c:v>
                </c:pt>
                <c:pt idx="7">
                  <c:v>41862</c:v>
                </c:pt>
                <c:pt idx="8">
                  <c:v>41372</c:v>
                </c:pt>
                <c:pt idx="9">
                  <c:v>43867</c:v>
                </c:pt>
                <c:pt idx="10">
                  <c:v>45671</c:v>
                </c:pt>
                <c:pt idx="11">
                  <c:v>46499</c:v>
                </c:pt>
                <c:pt idx="12">
                  <c:v>47182</c:v>
                </c:pt>
                <c:pt idx="13">
                  <c:v>45358</c:v>
                </c:pt>
                <c:pt idx="14">
                  <c:v>39946</c:v>
                </c:pt>
                <c:pt idx="15">
                  <c:v>40536</c:v>
                </c:pt>
                <c:pt idx="16">
                  <c:v>47290</c:v>
                </c:pt>
                <c:pt idx="17">
                  <c:v>49960</c:v>
                </c:pt>
                <c:pt idx="18">
                  <c:v>53762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A443-98BE-7E0AA042931C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'Restructuration cap'!$D$2:$AA$2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('Restructuration cap'!$D$5:$U$5,'Restructuration cap'!$V$6:$AA$6)</c:f>
              <c:numCache>
                <c:formatCode>_(* #,##0.0_);_(* \(#,##0.0\)_)\ ;_(* 0_)</c:formatCode>
                <c:ptCount val="24"/>
                <c:pt idx="18">
                  <c:v>53762</c:v>
                </c:pt>
                <c:pt idx="19">
                  <c:v>55093.480701754386</c:v>
                </c:pt>
                <c:pt idx="20">
                  <c:v>56448.418395989975</c:v>
                </c:pt>
                <c:pt idx="21">
                  <c:v>57820.720357386977</c:v>
                </c:pt>
                <c:pt idx="22">
                  <c:v>59354.931037988201</c:v>
                </c:pt>
                <c:pt idx="23">
                  <c:v>60889.94330721259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A443-98BE-7E0AA042931C}"/>
            </c:ext>
          </c:extLst>
        </c:ser>
        <c:ser>
          <c:idx val="2"/>
          <c:order val="2"/>
          <c:tx>
            <c:v>Lower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'Restructuration cap'!$D$2:$AA$2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('Restructuration cap'!$D$5:$U$5,'Restructuration cap'!$V$6,'Restructuration cap'!$AE$3:$AI$3)</c:f>
              <c:numCache>
                <c:formatCode>_(* #,##0.0_);_(* \(#,##0.0\)_)\ ;_(* 0_)</c:formatCode>
                <c:ptCount val="24"/>
                <c:pt idx="18">
                  <c:v>53762</c:v>
                </c:pt>
                <c:pt idx="19" formatCode="_(* #,##0.00_);_(* \(#,##0.00\);_(* &quot;-&quot;??_);_(@_)">
                  <c:v>49514.425296209964</c:v>
                </c:pt>
                <c:pt idx="20" formatCode="_(* #,##0.00_);_(* \(#,##0.00\);_(* &quot;-&quot;??_);_(@_)">
                  <c:v>50909.839650062488</c:v>
                </c:pt>
                <c:pt idx="21" formatCode="_(* #,##0.00_);_(* \(#,##0.00\);_(* &quot;-&quot;??_);_(@_)">
                  <c:v>52471.228221695506</c:v>
                </c:pt>
                <c:pt idx="22" formatCode="_(* #,##0.00_);_(* \(#,##0.00\);_(* &quot;-&quot;??_);_(@_)">
                  <c:v>54469.483200579227</c:v>
                </c:pt>
                <c:pt idx="23" formatCode="_(* #,##0.00_);_(* \(#,##0.00\);_(* &quot;-&quot;??_);_(@_)">
                  <c:v>56112.645468223549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8-A443-98BE-7E0AA042931C}"/>
            </c:ext>
          </c:extLst>
        </c:ser>
        <c:ser>
          <c:idx val="3"/>
          <c:order val="3"/>
          <c:tx>
            <c:v>Upper bound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'Restructuration cap'!$D$2:$AA$2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('Restructuration cap'!$D$5:$U$5,'Restructuration cap'!$V$6,'Restructuration cap'!$AE$4:$AI$4)</c:f>
              <c:numCache>
                <c:formatCode>_(* #,##0.0_);_(* \(#,##0.0\)_)\ ;_(* 0_)</c:formatCode>
                <c:ptCount val="24"/>
                <c:pt idx="18">
                  <c:v>53762</c:v>
                </c:pt>
                <c:pt idx="19" formatCode="_(* #,##0.00_);_(* \(#,##0.00\);_(* &quot;-&quot;??_);_(@_)">
                  <c:v>60672.536107298809</c:v>
                </c:pt>
                <c:pt idx="20" formatCode="_(* #,##0.00_);_(* \(#,##0.00\);_(* &quot;-&quot;??_);_(@_)">
                  <c:v>61986.997141917462</c:v>
                </c:pt>
                <c:pt idx="21" formatCode="_(* #,##0.00_);_(* \(#,##0.00\);_(* &quot;-&quot;??_);_(@_)">
                  <c:v>63170.212493078448</c:v>
                </c:pt>
                <c:pt idx="22" formatCode="_(* #,##0.00_);_(* \(#,##0.00\);_(* &quot;-&quot;??_);_(@_)">
                  <c:v>64240.378875397175</c:v>
                </c:pt>
                <c:pt idx="23" formatCode="_(* #,##0.00_);_(* \(#,##0.00\);_(* &quot;-&quot;??_);_(@_)">
                  <c:v>65667.241146201632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8-A443-98BE-7E0AA042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6079"/>
        <c:axId val="58557775"/>
      </c:lineChart>
      <c:catAx>
        <c:axId val="5781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557775"/>
        <c:crosses val="autoZero"/>
        <c:auto val="1"/>
        <c:lblAlgn val="ctr"/>
        <c:lblOffset val="100"/>
        <c:noMultiLvlLbl val="0"/>
      </c:catAx>
      <c:valAx>
        <c:axId val="585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_)\ ;_(* 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81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Risk free rates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Regressions!$B$9:$B$164</c:f>
              <c:numCache>
                <c:formatCode>m/d/yy</c:formatCode>
                <c:ptCount val="156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42853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  <c:pt idx="139">
                  <c:v>42978</c:v>
                </c:pt>
                <c:pt idx="140">
                  <c:v>43007</c:v>
                </c:pt>
                <c:pt idx="141">
                  <c:v>43039</c:v>
                </c:pt>
                <c:pt idx="142">
                  <c:v>43069</c:v>
                </c:pt>
                <c:pt idx="143">
                  <c:v>43098</c:v>
                </c:pt>
                <c:pt idx="144">
                  <c:v>43131</c:v>
                </c:pt>
                <c:pt idx="145">
                  <c:v>43159</c:v>
                </c:pt>
                <c:pt idx="146">
                  <c:v>43189</c:v>
                </c:pt>
                <c:pt idx="147">
                  <c:v>43220</c:v>
                </c:pt>
                <c:pt idx="148">
                  <c:v>43251</c:v>
                </c:pt>
                <c:pt idx="149">
                  <c:v>43280</c:v>
                </c:pt>
                <c:pt idx="150">
                  <c:v>43312</c:v>
                </c:pt>
                <c:pt idx="151">
                  <c:v>43343</c:v>
                </c:pt>
                <c:pt idx="152">
                  <c:v>43371</c:v>
                </c:pt>
                <c:pt idx="153">
                  <c:v>43404</c:v>
                </c:pt>
                <c:pt idx="154">
                  <c:v>43434</c:v>
                </c:pt>
                <c:pt idx="155">
                  <c:v>43465</c:v>
                </c:pt>
              </c:numCache>
            </c:numRef>
          </c:cat>
          <c:val>
            <c:numRef>
              <c:f>Regressions!$C$9:$C$164</c:f>
              <c:numCache>
                <c:formatCode>General</c:formatCode>
                <c:ptCount val="156"/>
                <c:pt idx="0">
                  <c:v>4.37</c:v>
                </c:pt>
                <c:pt idx="1">
                  <c:v>4.51</c:v>
                </c:pt>
                <c:pt idx="2">
                  <c:v>4.5199999999999996</c:v>
                </c:pt>
                <c:pt idx="3">
                  <c:v>4.6500000000000004</c:v>
                </c:pt>
                <c:pt idx="4">
                  <c:v>4.74</c:v>
                </c:pt>
                <c:pt idx="5">
                  <c:v>4.87</c:v>
                </c:pt>
                <c:pt idx="6">
                  <c:v>4.97</c:v>
                </c:pt>
                <c:pt idx="7">
                  <c:v>4.92</c:v>
                </c:pt>
                <c:pt idx="8">
                  <c:v>4.7699999999999996</c:v>
                </c:pt>
                <c:pt idx="9">
                  <c:v>4.95</c:v>
                </c:pt>
                <c:pt idx="10">
                  <c:v>4.9000000000000004</c:v>
                </c:pt>
                <c:pt idx="11">
                  <c:v>4.8899999999999997</c:v>
                </c:pt>
                <c:pt idx="12">
                  <c:v>4.99</c:v>
                </c:pt>
                <c:pt idx="13">
                  <c:v>5.01</c:v>
                </c:pt>
                <c:pt idx="14">
                  <c:v>4.9000000000000004</c:v>
                </c:pt>
                <c:pt idx="15">
                  <c:v>4.79</c:v>
                </c:pt>
                <c:pt idx="16">
                  <c:v>4.5999999999999996</c:v>
                </c:pt>
                <c:pt idx="17">
                  <c:v>4.68</c:v>
                </c:pt>
                <c:pt idx="18">
                  <c:v>4.82</c:v>
                </c:pt>
                <c:pt idx="19">
                  <c:v>3.91</c:v>
                </c:pt>
                <c:pt idx="20">
                  <c:v>3.72</c:v>
                </c:pt>
                <c:pt idx="21">
                  <c:v>3.84</c:v>
                </c:pt>
                <c:pt idx="22">
                  <c:v>3.08</c:v>
                </c:pt>
                <c:pt idx="23">
                  <c:v>3.29</c:v>
                </c:pt>
                <c:pt idx="24">
                  <c:v>1.92</c:v>
                </c:pt>
                <c:pt idx="25">
                  <c:v>1.81</c:v>
                </c:pt>
                <c:pt idx="26">
                  <c:v>1.36</c:v>
                </c:pt>
                <c:pt idx="27">
                  <c:v>1.41</c:v>
                </c:pt>
                <c:pt idx="28">
                  <c:v>1.85</c:v>
                </c:pt>
                <c:pt idx="29">
                  <c:v>1.87</c:v>
                </c:pt>
                <c:pt idx="30">
                  <c:v>1.65</c:v>
                </c:pt>
                <c:pt idx="31">
                  <c:v>1.69</c:v>
                </c:pt>
                <c:pt idx="32">
                  <c:v>0.9</c:v>
                </c:pt>
                <c:pt idx="33">
                  <c:v>0.44</c:v>
                </c:pt>
                <c:pt idx="34">
                  <c:v>0.01</c:v>
                </c:pt>
                <c:pt idx="35">
                  <c:v>0.11</c:v>
                </c:pt>
                <c:pt idx="36">
                  <c:v>0.24</c:v>
                </c:pt>
                <c:pt idx="37">
                  <c:v>0.26</c:v>
                </c:pt>
                <c:pt idx="38">
                  <c:v>0.21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0.19</c:v>
                </c:pt>
                <c:pt idx="42">
                  <c:v>0.18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0.08</c:v>
                </c:pt>
                <c:pt idx="49">
                  <c:v>0.13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0.18</c:v>
                </c:pt>
                <c:pt idx="54">
                  <c:v>0.15</c:v>
                </c:pt>
                <c:pt idx="55">
                  <c:v>0.14000000000000001</c:v>
                </c:pt>
                <c:pt idx="56">
                  <c:v>0.16</c:v>
                </c:pt>
                <c:pt idx="57">
                  <c:v>0.12</c:v>
                </c:pt>
                <c:pt idx="58">
                  <c:v>0.17</c:v>
                </c:pt>
                <c:pt idx="59">
                  <c:v>0.12</c:v>
                </c:pt>
                <c:pt idx="60">
                  <c:v>0.15</c:v>
                </c:pt>
                <c:pt idx="61">
                  <c:v>0.15</c:v>
                </c:pt>
                <c:pt idx="62">
                  <c:v>0.09</c:v>
                </c:pt>
                <c:pt idx="63">
                  <c:v>0.04</c:v>
                </c:pt>
                <c:pt idx="64">
                  <c:v>0.06</c:v>
                </c:pt>
                <c:pt idx="65">
                  <c:v>0.03</c:v>
                </c:pt>
                <c:pt idx="66">
                  <c:v>0.1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0.01</c:v>
                </c:pt>
                <c:pt idx="71">
                  <c:v>0.02</c:v>
                </c:pt>
                <c:pt idx="72">
                  <c:v>0.06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0.1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0.11</c:v>
                </c:pt>
                <c:pt idx="79">
                  <c:v>0.09</c:v>
                </c:pt>
                <c:pt idx="80">
                  <c:v>0.1</c:v>
                </c:pt>
                <c:pt idx="81">
                  <c:v>0.11</c:v>
                </c:pt>
                <c:pt idx="82">
                  <c:v>0.08</c:v>
                </c:pt>
                <c:pt idx="83">
                  <c:v>0.05</c:v>
                </c:pt>
                <c:pt idx="84">
                  <c:v>7.0000000000000007E-2</c:v>
                </c:pt>
                <c:pt idx="85">
                  <c:v>0.11</c:v>
                </c:pt>
                <c:pt idx="86">
                  <c:v>7.0000000000000007E-2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0.03</c:v>
                </c:pt>
                <c:pt idx="92">
                  <c:v>0.02</c:v>
                </c:pt>
                <c:pt idx="93">
                  <c:v>0.04</c:v>
                </c:pt>
                <c:pt idx="94">
                  <c:v>0.06</c:v>
                </c:pt>
                <c:pt idx="95">
                  <c:v>7.0000000000000007E-2</c:v>
                </c:pt>
                <c:pt idx="96">
                  <c:v>0.02</c:v>
                </c:pt>
                <c:pt idx="97">
                  <c:v>0.05</c:v>
                </c:pt>
                <c:pt idx="98">
                  <c:v>0.05</c:v>
                </c:pt>
                <c:pt idx="99">
                  <c:v>0.03</c:v>
                </c:pt>
                <c:pt idx="100">
                  <c:v>0.04</c:v>
                </c:pt>
                <c:pt idx="101">
                  <c:v>0.04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0.04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0.08</c:v>
                </c:pt>
                <c:pt idx="115">
                  <c:v>0.08</c:v>
                </c:pt>
                <c:pt idx="116">
                  <c:v>-0.01</c:v>
                </c:pt>
                <c:pt idx="117">
                  <c:v>0.08</c:v>
                </c:pt>
                <c:pt idx="118">
                  <c:v>0.22</c:v>
                </c:pt>
                <c:pt idx="119">
                  <c:v>0.16</c:v>
                </c:pt>
                <c:pt idx="120">
                  <c:v>0.32</c:v>
                </c:pt>
                <c:pt idx="121">
                  <c:v>0.33</c:v>
                </c:pt>
                <c:pt idx="122">
                  <c:v>0.21</c:v>
                </c:pt>
                <c:pt idx="123">
                  <c:v>0.22</c:v>
                </c:pt>
                <c:pt idx="124">
                  <c:v>0.34</c:v>
                </c:pt>
                <c:pt idx="125">
                  <c:v>0.26</c:v>
                </c:pt>
                <c:pt idx="126">
                  <c:v>0.27</c:v>
                </c:pt>
                <c:pt idx="127">
                  <c:v>0.33</c:v>
                </c:pt>
                <c:pt idx="128">
                  <c:v>0.28000000000000003</c:v>
                </c:pt>
                <c:pt idx="129">
                  <c:v>0.34</c:v>
                </c:pt>
                <c:pt idx="130">
                  <c:v>0.48</c:v>
                </c:pt>
                <c:pt idx="131">
                  <c:v>0.5</c:v>
                </c:pt>
                <c:pt idx="132">
                  <c:v>0.52</c:v>
                </c:pt>
                <c:pt idx="133">
                  <c:v>0.53</c:v>
                </c:pt>
                <c:pt idx="134">
                  <c:v>0.75</c:v>
                </c:pt>
                <c:pt idx="135">
                  <c:v>0.79</c:v>
                </c:pt>
                <c:pt idx="136">
                  <c:v>0.96</c:v>
                </c:pt>
                <c:pt idx="137">
                  <c:v>1.01</c:v>
                </c:pt>
                <c:pt idx="138">
                  <c:v>1.05</c:v>
                </c:pt>
                <c:pt idx="139">
                  <c:v>0.99</c:v>
                </c:pt>
                <c:pt idx="140">
                  <c:v>1.04</c:v>
                </c:pt>
                <c:pt idx="141">
                  <c:v>1.1299999999999999</c:v>
                </c:pt>
                <c:pt idx="142">
                  <c:v>1.25</c:v>
                </c:pt>
                <c:pt idx="143">
                  <c:v>1.37</c:v>
                </c:pt>
                <c:pt idx="144">
                  <c:v>1.44</c:v>
                </c:pt>
                <c:pt idx="145">
                  <c:v>1.63</c:v>
                </c:pt>
                <c:pt idx="146">
                  <c:v>1.7</c:v>
                </c:pt>
                <c:pt idx="147">
                  <c:v>1.84</c:v>
                </c:pt>
                <c:pt idx="148">
                  <c:v>1.89</c:v>
                </c:pt>
                <c:pt idx="149">
                  <c:v>1.89</c:v>
                </c:pt>
                <c:pt idx="150">
                  <c:v>1.99</c:v>
                </c:pt>
                <c:pt idx="151">
                  <c:v>2.0699999999999998</c:v>
                </c:pt>
                <c:pt idx="152">
                  <c:v>2.15</c:v>
                </c:pt>
                <c:pt idx="153">
                  <c:v>2.29</c:v>
                </c:pt>
                <c:pt idx="154">
                  <c:v>2.3199999999999998</c:v>
                </c:pt>
                <c:pt idx="15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D54C-8257-39496A245FC9}"/>
            </c:ext>
          </c:extLst>
        </c:ser>
        <c:ser>
          <c:idx val="1"/>
          <c:order val="1"/>
          <c:tx>
            <c:v>Forecasts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Regressions!$B$9:$B$164</c:f>
              <c:numCache>
                <c:formatCode>m/d/yy</c:formatCode>
                <c:ptCount val="156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38835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38989</c:v>
                </c:pt>
                <c:pt idx="9">
                  <c:v>39021</c:v>
                </c:pt>
                <c:pt idx="10">
                  <c:v>39051</c:v>
                </c:pt>
                <c:pt idx="11">
                  <c:v>39080</c:v>
                </c:pt>
                <c:pt idx="12">
                  <c:v>39113</c:v>
                </c:pt>
                <c:pt idx="13">
                  <c:v>39141</c:v>
                </c:pt>
                <c:pt idx="14">
                  <c:v>39171</c:v>
                </c:pt>
                <c:pt idx="15">
                  <c:v>39202</c:v>
                </c:pt>
                <c:pt idx="16">
                  <c:v>39233</c:v>
                </c:pt>
                <c:pt idx="17">
                  <c:v>39262</c:v>
                </c:pt>
                <c:pt idx="18">
                  <c:v>39294</c:v>
                </c:pt>
                <c:pt idx="19">
                  <c:v>39325</c:v>
                </c:pt>
                <c:pt idx="20">
                  <c:v>39353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39598</c:v>
                </c:pt>
                <c:pt idx="29">
                  <c:v>39629</c:v>
                </c:pt>
                <c:pt idx="30">
                  <c:v>39660</c:v>
                </c:pt>
                <c:pt idx="31">
                  <c:v>39689</c:v>
                </c:pt>
                <c:pt idx="32">
                  <c:v>39721</c:v>
                </c:pt>
                <c:pt idx="33">
                  <c:v>39752</c:v>
                </c:pt>
                <c:pt idx="34">
                  <c:v>39780</c:v>
                </c:pt>
                <c:pt idx="35">
                  <c:v>39813</c:v>
                </c:pt>
                <c:pt idx="36">
                  <c:v>39843</c:v>
                </c:pt>
                <c:pt idx="37">
                  <c:v>39871</c:v>
                </c:pt>
                <c:pt idx="38">
                  <c:v>39903</c:v>
                </c:pt>
                <c:pt idx="39">
                  <c:v>39933</c:v>
                </c:pt>
                <c:pt idx="40">
                  <c:v>39962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40116</c:v>
                </c:pt>
                <c:pt idx="46">
                  <c:v>40147</c:v>
                </c:pt>
                <c:pt idx="47">
                  <c:v>40178</c:v>
                </c:pt>
                <c:pt idx="48">
                  <c:v>40207</c:v>
                </c:pt>
                <c:pt idx="49">
                  <c:v>40235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40389</c:v>
                </c:pt>
                <c:pt idx="55">
                  <c:v>40421</c:v>
                </c:pt>
                <c:pt idx="56">
                  <c:v>40451</c:v>
                </c:pt>
                <c:pt idx="57">
                  <c:v>40480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40662</c:v>
                </c:pt>
                <c:pt idx="64">
                  <c:v>40694</c:v>
                </c:pt>
                <c:pt idx="65">
                  <c:v>40724</c:v>
                </c:pt>
                <c:pt idx="66">
                  <c:v>40753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40907</c:v>
                </c:pt>
                <c:pt idx="72">
                  <c:v>40939</c:v>
                </c:pt>
                <c:pt idx="73">
                  <c:v>40968</c:v>
                </c:pt>
                <c:pt idx="74">
                  <c:v>40998</c:v>
                </c:pt>
                <c:pt idx="75">
                  <c:v>41029</c:v>
                </c:pt>
                <c:pt idx="76">
                  <c:v>41060</c:v>
                </c:pt>
                <c:pt idx="77">
                  <c:v>41089</c:v>
                </c:pt>
                <c:pt idx="78">
                  <c:v>41121</c:v>
                </c:pt>
                <c:pt idx="79">
                  <c:v>41152</c:v>
                </c:pt>
                <c:pt idx="80">
                  <c:v>41180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41362</c:v>
                </c:pt>
                <c:pt idx="87">
                  <c:v>41394</c:v>
                </c:pt>
                <c:pt idx="88">
                  <c:v>41425</c:v>
                </c:pt>
                <c:pt idx="89">
                  <c:v>41453</c:v>
                </c:pt>
                <c:pt idx="90">
                  <c:v>41486</c:v>
                </c:pt>
                <c:pt idx="91">
                  <c:v>41516</c:v>
                </c:pt>
                <c:pt idx="92">
                  <c:v>41547</c:v>
                </c:pt>
                <c:pt idx="93">
                  <c:v>41578</c:v>
                </c:pt>
                <c:pt idx="94">
                  <c:v>41607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41789</c:v>
                </c:pt>
                <c:pt idx="101">
                  <c:v>41820</c:v>
                </c:pt>
                <c:pt idx="102">
                  <c:v>41851</c:v>
                </c:pt>
                <c:pt idx="103">
                  <c:v>41880</c:v>
                </c:pt>
                <c:pt idx="104">
                  <c:v>41912</c:v>
                </c:pt>
                <c:pt idx="105">
                  <c:v>41943</c:v>
                </c:pt>
                <c:pt idx="106">
                  <c:v>41971</c:v>
                </c:pt>
                <c:pt idx="107">
                  <c:v>42004</c:v>
                </c:pt>
                <c:pt idx="108">
                  <c:v>42034</c:v>
                </c:pt>
                <c:pt idx="109">
                  <c:v>42062</c:v>
                </c:pt>
                <c:pt idx="110">
                  <c:v>42094</c:v>
                </c:pt>
                <c:pt idx="111">
                  <c:v>42124</c:v>
                </c:pt>
                <c:pt idx="112">
                  <c:v>42153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42307</c:v>
                </c:pt>
                <c:pt idx="118">
                  <c:v>42338</c:v>
                </c:pt>
                <c:pt idx="119">
                  <c:v>42369</c:v>
                </c:pt>
                <c:pt idx="120">
                  <c:v>42398</c:v>
                </c:pt>
                <c:pt idx="121">
                  <c:v>42429</c:v>
                </c:pt>
                <c:pt idx="122">
                  <c:v>42460</c:v>
                </c:pt>
                <c:pt idx="123">
                  <c:v>42489</c:v>
                </c:pt>
                <c:pt idx="124">
                  <c:v>42521</c:v>
                </c:pt>
                <c:pt idx="125">
                  <c:v>42551</c:v>
                </c:pt>
                <c:pt idx="126">
                  <c:v>42580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42734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42853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  <c:pt idx="139">
                  <c:v>42978</c:v>
                </c:pt>
                <c:pt idx="140">
                  <c:v>43007</c:v>
                </c:pt>
                <c:pt idx="141">
                  <c:v>43039</c:v>
                </c:pt>
                <c:pt idx="142">
                  <c:v>43069</c:v>
                </c:pt>
                <c:pt idx="143">
                  <c:v>43098</c:v>
                </c:pt>
                <c:pt idx="144">
                  <c:v>43131</c:v>
                </c:pt>
                <c:pt idx="145">
                  <c:v>43159</c:v>
                </c:pt>
                <c:pt idx="146">
                  <c:v>43189</c:v>
                </c:pt>
                <c:pt idx="147">
                  <c:v>43220</c:v>
                </c:pt>
                <c:pt idx="148">
                  <c:v>43251</c:v>
                </c:pt>
                <c:pt idx="149">
                  <c:v>43280</c:v>
                </c:pt>
                <c:pt idx="150">
                  <c:v>43312</c:v>
                </c:pt>
                <c:pt idx="151">
                  <c:v>43343</c:v>
                </c:pt>
                <c:pt idx="152">
                  <c:v>43371</c:v>
                </c:pt>
                <c:pt idx="153">
                  <c:v>43404</c:v>
                </c:pt>
                <c:pt idx="154">
                  <c:v>43434</c:v>
                </c:pt>
                <c:pt idx="155">
                  <c:v>43465</c:v>
                </c:pt>
              </c:numCache>
            </c:numRef>
          </c:cat>
          <c:val>
            <c:numRef>
              <c:f>Regressions!$D$9:$D$164</c:f>
              <c:numCache>
                <c:formatCode>General</c:formatCode>
                <c:ptCount val="156"/>
                <c:pt idx="0">
                  <c:v>4.1587996012325661</c:v>
                </c:pt>
                <c:pt idx="1">
                  <c:v>4.4478949172570843</c:v>
                </c:pt>
                <c:pt idx="2">
                  <c:v>4.5704584552994731</c:v>
                </c:pt>
                <c:pt idx="3">
                  <c:v>4.6845841617458905</c:v>
                </c:pt>
                <c:pt idx="4">
                  <c:v>4.855448988297649</c:v>
                </c:pt>
                <c:pt idx="5">
                  <c:v>4.9614707388711183</c:v>
                </c:pt>
                <c:pt idx="6">
                  <c:v>5.0970810426445787</c:v>
                </c:pt>
                <c:pt idx="7">
                  <c:v>5.2354661878332021</c:v>
                </c:pt>
                <c:pt idx="8">
                  <c:v>5.2940674176707816</c:v>
                </c:pt>
                <c:pt idx="9">
                  <c:v>5.3245995329352311</c:v>
                </c:pt>
                <c:pt idx="10">
                  <c:v>5.3788050786637109</c:v>
                </c:pt>
                <c:pt idx="11">
                  <c:v>5.4145394899626034</c:v>
                </c:pt>
                <c:pt idx="12">
                  <c:v>5.0164228611500699</c:v>
                </c:pt>
                <c:pt idx="13">
                  <c:v>5.0932109181141438</c:v>
                </c:pt>
                <c:pt idx="14">
                  <c:v>5.1270239867659226</c:v>
                </c:pt>
                <c:pt idx="15">
                  <c:v>5.0047435897435903</c:v>
                </c:pt>
                <c:pt idx="16">
                  <c:v>4.8921975033988376</c:v>
                </c:pt>
                <c:pt idx="17">
                  <c:v>4.6864193548387094</c:v>
                </c:pt>
                <c:pt idx="18">
                  <c:v>4.772521726649682</c:v>
                </c:pt>
                <c:pt idx="19">
                  <c:v>4.9027620967741941</c:v>
                </c:pt>
                <c:pt idx="20">
                  <c:v>3.9765682054677893</c:v>
                </c:pt>
                <c:pt idx="21">
                  <c:v>3.7910483870967746</c:v>
                </c:pt>
                <c:pt idx="22">
                  <c:v>3.8957623401266663</c:v>
                </c:pt>
                <c:pt idx="23">
                  <c:v>3.1292679136170598</c:v>
                </c:pt>
                <c:pt idx="24">
                  <c:v>3.2013606831241308</c:v>
                </c:pt>
                <c:pt idx="25">
                  <c:v>1.9458888175102105</c:v>
                </c:pt>
                <c:pt idx="26">
                  <c:v>1.8275967230126819</c:v>
                </c:pt>
                <c:pt idx="27">
                  <c:v>1.365052239780594</c:v>
                </c:pt>
                <c:pt idx="28">
                  <c:v>1.4056885553470915</c:v>
                </c:pt>
                <c:pt idx="29">
                  <c:v>0.66031753121144388</c:v>
                </c:pt>
                <c:pt idx="30">
                  <c:v>1.8528511831790697</c:v>
                </c:pt>
                <c:pt idx="31">
                  <c:v>1.6292772381407044</c:v>
                </c:pt>
                <c:pt idx="32">
                  <c:v>1.6623264740427526</c:v>
                </c:pt>
                <c:pt idx="33">
                  <c:v>0.94045848781861208</c:v>
                </c:pt>
                <c:pt idx="34">
                  <c:v>0.40415393950245149</c:v>
                </c:pt>
                <c:pt idx="35">
                  <c:v>-4.1072036047864212E-2</c:v>
                </c:pt>
                <c:pt idx="36">
                  <c:v>-0.1389591391452869</c:v>
                </c:pt>
                <c:pt idx="37">
                  <c:v>0.16922969222907111</c:v>
                </c:pt>
                <c:pt idx="38">
                  <c:v>0.18224966344780053</c:v>
                </c:pt>
                <c:pt idx="39">
                  <c:v>0.1465030294752932</c:v>
                </c:pt>
                <c:pt idx="40">
                  <c:v>-5.8233586408185656E-3</c:v>
                </c:pt>
                <c:pt idx="41">
                  <c:v>-4.33104557079333E-2</c:v>
                </c:pt>
                <c:pt idx="42">
                  <c:v>8.3656852152200215E-2</c:v>
                </c:pt>
                <c:pt idx="43">
                  <c:v>6.407528912435935E-2</c:v>
                </c:pt>
                <c:pt idx="44">
                  <c:v>5.107008168924318E-2</c:v>
                </c:pt>
                <c:pt idx="45">
                  <c:v>5.895443037411225E-2</c:v>
                </c:pt>
                <c:pt idx="46">
                  <c:v>-2.4361546303934941E-2</c:v>
                </c:pt>
                <c:pt idx="47">
                  <c:v>-3.9699022668540133E-2</c:v>
                </c:pt>
                <c:pt idx="48">
                  <c:v>-1.3549982522027562E-2</c:v>
                </c:pt>
                <c:pt idx="49">
                  <c:v>8.6136367513357098E-3</c:v>
                </c:pt>
                <c:pt idx="50">
                  <c:v>3.8013559255945933E-2</c:v>
                </c:pt>
                <c:pt idx="51">
                  <c:v>8.3347610376097392E-2</c:v>
                </c:pt>
                <c:pt idx="52">
                  <c:v>7.8358265390522486E-2</c:v>
                </c:pt>
                <c:pt idx="53">
                  <c:v>8.3671046695241016E-2</c:v>
                </c:pt>
                <c:pt idx="54">
                  <c:v>0.10145892913057021</c:v>
                </c:pt>
                <c:pt idx="55">
                  <c:v>6.9304426633437319E-2</c:v>
                </c:pt>
                <c:pt idx="56">
                  <c:v>6.4757205639157711E-2</c:v>
                </c:pt>
                <c:pt idx="57">
                  <c:v>8.5332505175984341E-2</c:v>
                </c:pt>
                <c:pt idx="58">
                  <c:v>4.0711305514244289E-2</c:v>
                </c:pt>
                <c:pt idx="59">
                  <c:v>9.1431730165942665E-2</c:v>
                </c:pt>
                <c:pt idx="60">
                  <c:v>4.4484693549423811E-2</c:v>
                </c:pt>
                <c:pt idx="61">
                  <c:v>8.2395170247579128E-2</c:v>
                </c:pt>
                <c:pt idx="62">
                  <c:v>6.8671087172014381E-2</c:v>
                </c:pt>
                <c:pt idx="63">
                  <c:v>2.1244996099665889E-2</c:v>
                </c:pt>
                <c:pt idx="64">
                  <c:v>-3.7568081494058519E-2</c:v>
                </c:pt>
                <c:pt idx="65">
                  <c:v>-9.8634981317485271E-3</c:v>
                </c:pt>
                <c:pt idx="66">
                  <c:v>-3.9142844497275703E-2</c:v>
                </c:pt>
                <c:pt idx="67">
                  <c:v>2.4656979300814359E-2</c:v>
                </c:pt>
                <c:pt idx="68">
                  <c:v>-4.7828932444082276E-2</c:v>
                </c:pt>
                <c:pt idx="69">
                  <c:v>-5.1627706384589918E-2</c:v>
                </c:pt>
                <c:pt idx="70">
                  <c:v>-5.6470761093153903E-2</c:v>
                </c:pt>
                <c:pt idx="71">
                  <c:v>-2.6342466947295792E-3</c:v>
                </c:pt>
                <c:pt idx="72">
                  <c:v>-4.9415043747775861E-2</c:v>
                </c:pt>
                <c:pt idx="73">
                  <c:v>-2.1907556721105573E-3</c:v>
                </c:pt>
                <c:pt idx="74">
                  <c:v>1.2184165716884795E-2</c:v>
                </c:pt>
                <c:pt idx="75">
                  <c:v>5.0774586279806518E-3</c:v>
                </c:pt>
                <c:pt idx="76">
                  <c:v>3.3804011039390382E-2</c:v>
                </c:pt>
                <c:pt idx="77">
                  <c:v>1.0728640152888803E-2</c:v>
                </c:pt>
                <c:pt idx="78">
                  <c:v>2.3382854912393832E-2</c:v>
                </c:pt>
                <c:pt idx="79">
                  <c:v>4.8208472686734408E-2</c:v>
                </c:pt>
                <c:pt idx="80">
                  <c:v>3.4881272643114233E-2</c:v>
                </c:pt>
                <c:pt idx="81">
                  <c:v>3.3911917223136891E-2</c:v>
                </c:pt>
                <c:pt idx="82">
                  <c:v>5.2429020721928468E-2</c:v>
                </c:pt>
                <c:pt idx="83">
                  <c:v>1.93535382725867E-2</c:v>
                </c:pt>
                <c:pt idx="84">
                  <c:v>-8.0392023874124984E-3</c:v>
                </c:pt>
                <c:pt idx="85">
                  <c:v>1.8226162763077383E-2</c:v>
                </c:pt>
                <c:pt idx="86">
                  <c:v>5.1588892049245647E-2</c:v>
                </c:pt>
                <c:pt idx="87">
                  <c:v>1.2253090084519403E-2</c:v>
                </c:pt>
                <c:pt idx="88">
                  <c:v>-6.9831228284124554E-3</c:v>
                </c:pt>
                <c:pt idx="89">
                  <c:v>-9.2565803069865338E-3</c:v>
                </c:pt>
                <c:pt idx="90">
                  <c:v>-1.9086677850372723E-2</c:v>
                </c:pt>
                <c:pt idx="91">
                  <c:v>-1.1503040446224175E-2</c:v>
                </c:pt>
                <c:pt idx="92">
                  <c:v>-2.257969700202795E-2</c:v>
                </c:pt>
                <c:pt idx="93">
                  <c:v>-3.3628406894382963E-2</c:v>
                </c:pt>
                <c:pt idx="94">
                  <c:v>-8.011010826365364E-3</c:v>
                </c:pt>
                <c:pt idx="95">
                  <c:v>6.0403429635409317E-3</c:v>
                </c:pt>
                <c:pt idx="96">
                  <c:v>1.9939790600854723E-2</c:v>
                </c:pt>
                <c:pt idx="97">
                  <c:v>-2.4678080000955886E-2</c:v>
                </c:pt>
                <c:pt idx="98">
                  <c:v>-3.5912999280867E-3</c:v>
                </c:pt>
                <c:pt idx="99">
                  <c:v>3.2883637722354864E-3</c:v>
                </c:pt>
                <c:pt idx="100">
                  <c:v>-1.7692580380634298E-2</c:v>
                </c:pt>
                <c:pt idx="101">
                  <c:v>-7.1196520061207321E-3</c:v>
                </c:pt>
                <c:pt idx="102">
                  <c:v>-8.0565556427287209E-3</c:v>
                </c:pt>
                <c:pt idx="103">
                  <c:v>-1.3034546394034858E-2</c:v>
                </c:pt>
                <c:pt idx="104">
                  <c:v>-1.697310959904743E-2</c:v>
                </c:pt>
                <c:pt idx="105">
                  <c:v>-2.6374497908970493E-2</c:v>
                </c:pt>
                <c:pt idx="106">
                  <c:v>-3.0107238252159069E-2</c:v>
                </c:pt>
                <c:pt idx="107">
                  <c:v>-2.8133640552994686E-2</c:v>
                </c:pt>
                <c:pt idx="108">
                  <c:v>-1.9687747132985239E-3</c:v>
                </c:pt>
                <c:pt idx="109">
                  <c:v>-1.8716521495906392E-2</c:v>
                </c:pt>
                <c:pt idx="110">
                  <c:v>-2.783585899151475E-2</c:v>
                </c:pt>
                <c:pt idx="111">
                  <c:v>-1.0525433947128009E-2</c:v>
                </c:pt>
                <c:pt idx="112">
                  <c:v>-3.0018691843693428E-2</c:v>
                </c:pt>
                <c:pt idx="113">
                  <c:v>-3.2292063492062741E-2</c:v>
                </c:pt>
                <c:pt idx="114">
                  <c:v>-3.1768962105544037E-2</c:v>
                </c:pt>
                <c:pt idx="115">
                  <c:v>4.0019626452944136E-2</c:v>
                </c:pt>
                <c:pt idx="116">
                  <c:v>4.1769508568086124E-2</c:v>
                </c:pt>
                <c:pt idx="117">
                  <c:v>-4.9069152504471497E-2</c:v>
                </c:pt>
                <c:pt idx="118">
                  <c:v>4.1392208005024474E-2</c:v>
                </c:pt>
                <c:pt idx="119">
                  <c:v>0.1806655290043625</c:v>
                </c:pt>
                <c:pt idx="120">
                  <c:v>0.12479519100632572</c:v>
                </c:pt>
                <c:pt idx="121">
                  <c:v>0.28288535109823476</c:v>
                </c:pt>
                <c:pt idx="122">
                  <c:v>0.29103466658943866</c:v>
                </c:pt>
                <c:pt idx="123">
                  <c:v>0.17618920734719892</c:v>
                </c:pt>
                <c:pt idx="124">
                  <c:v>0.18201110587865868</c:v>
                </c:pt>
                <c:pt idx="125">
                  <c:v>0.30593473232496959</c:v>
                </c:pt>
                <c:pt idx="126">
                  <c:v>0.22640848286144097</c:v>
                </c:pt>
                <c:pt idx="127">
                  <c:v>0.23348251601083461</c:v>
                </c:pt>
                <c:pt idx="128">
                  <c:v>0.29724297980969988</c:v>
                </c:pt>
                <c:pt idx="129">
                  <c:v>0.24550453303209857</c:v>
                </c:pt>
                <c:pt idx="130">
                  <c:v>0.30808733717972187</c:v>
                </c:pt>
                <c:pt idx="131">
                  <c:v>0.44749679897567302</c:v>
                </c:pt>
                <c:pt idx="132">
                  <c:v>0.46693229203129011</c:v>
                </c:pt>
                <c:pt idx="133">
                  <c:v>0.49148527790899144</c:v>
                </c:pt>
                <c:pt idx="134">
                  <c:v>0.49587649620318597</c:v>
                </c:pt>
                <c:pt idx="135">
                  <c:v>0.72235722560512727</c:v>
                </c:pt>
                <c:pt idx="136">
                  <c:v>0.75698983204101755</c:v>
                </c:pt>
                <c:pt idx="137">
                  <c:v>0.93139651147142</c:v>
                </c:pt>
                <c:pt idx="138">
                  <c:v>0.98004734776742686</c:v>
                </c:pt>
                <c:pt idx="139">
                  <c:v>1.0215205298013255</c:v>
                </c:pt>
                <c:pt idx="140">
                  <c:v>0.96383323699058721</c:v>
                </c:pt>
                <c:pt idx="141">
                  <c:v>1.0107651124966119</c:v>
                </c:pt>
                <c:pt idx="142">
                  <c:v>1.1039243800821803</c:v>
                </c:pt>
                <c:pt idx="143">
                  <c:v>1.224470448905933</c:v>
                </c:pt>
                <c:pt idx="144">
                  <c:v>1.3424722532516296</c:v>
                </c:pt>
                <c:pt idx="145">
                  <c:v>1.4171425147481931</c:v>
                </c:pt>
                <c:pt idx="146">
                  <c:v>1.6036820593293908</c:v>
                </c:pt>
                <c:pt idx="147">
                  <c:v>1.6758612670169577</c:v>
                </c:pt>
                <c:pt idx="148">
                  <c:v>1.8157027555259841</c:v>
                </c:pt>
                <c:pt idx="149">
                  <c:v>1.8685377791135158</c:v>
                </c:pt>
                <c:pt idx="150">
                  <c:v>1.8661938346556177</c:v>
                </c:pt>
                <c:pt idx="151">
                  <c:v>1.968222050420914</c:v>
                </c:pt>
                <c:pt idx="152">
                  <c:v>2.0508596311470901</c:v>
                </c:pt>
                <c:pt idx="153">
                  <c:v>2.1274029297937052</c:v>
                </c:pt>
                <c:pt idx="154">
                  <c:v>2.270643676079279</c:v>
                </c:pt>
                <c:pt idx="155">
                  <c:v>2.29996332912987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B-D54C-8257-39496A245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4928"/>
        <c:axId val="1789707727"/>
      </c:lineChart>
      <c:dateAx>
        <c:axId val="533449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9707727"/>
        <c:crosses val="autoZero"/>
        <c:auto val="1"/>
        <c:lblOffset val="100"/>
        <c:baseTimeUnit val="months"/>
      </c:dateAx>
      <c:valAx>
        <c:axId val="1789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344928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8354639940254764"/>
          <c:y val="0.91109757459882246"/>
          <c:w val="0.23290720119490477"/>
          <c:h val="7.7760634561542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Value of firm in function of the perpetual growth rate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Analysis'!$S$1</c:f>
              <c:strCache>
                <c:ptCount val="1"/>
                <c:pt idx="0">
                  <c:v>Value of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Analysis'!$N$2:$N$47</c:f>
              <c:numCache>
                <c:formatCode>0.0%</c:formatCode>
                <c:ptCount val="46"/>
                <c:pt idx="0">
                  <c:v>0.02</c:v>
                </c:pt>
                <c:pt idx="1">
                  <c:v>2.1000000000000001E-2</c:v>
                </c:pt>
                <c:pt idx="2">
                  <c:v>2.2000000000000002E-2</c:v>
                </c:pt>
                <c:pt idx="3">
                  <c:v>2.3000000000000003E-2</c:v>
                </c:pt>
                <c:pt idx="4">
                  <c:v>2.4000000000000004E-2</c:v>
                </c:pt>
                <c:pt idx="5">
                  <c:v>2.5000000000000005E-2</c:v>
                </c:pt>
                <c:pt idx="6">
                  <c:v>2.6000000000000006E-2</c:v>
                </c:pt>
                <c:pt idx="7">
                  <c:v>2.7000000000000007E-2</c:v>
                </c:pt>
                <c:pt idx="8">
                  <c:v>2.8000000000000008E-2</c:v>
                </c:pt>
                <c:pt idx="9">
                  <c:v>2.9000000000000008E-2</c:v>
                </c:pt>
                <c:pt idx="10">
                  <c:v>3.0000000000000009E-2</c:v>
                </c:pt>
                <c:pt idx="11">
                  <c:v>3.100000000000001E-2</c:v>
                </c:pt>
                <c:pt idx="12">
                  <c:v>3.2000000000000008E-2</c:v>
                </c:pt>
                <c:pt idx="13">
                  <c:v>3.3000000000000008E-2</c:v>
                </c:pt>
                <c:pt idx="14">
                  <c:v>3.4000000000000009E-2</c:v>
                </c:pt>
                <c:pt idx="15">
                  <c:v>3.500000000000001E-2</c:v>
                </c:pt>
                <c:pt idx="16">
                  <c:v>3.6000000000000011E-2</c:v>
                </c:pt>
                <c:pt idx="17">
                  <c:v>3.7000000000000012E-2</c:v>
                </c:pt>
                <c:pt idx="18">
                  <c:v>3.8000000000000013E-2</c:v>
                </c:pt>
                <c:pt idx="19">
                  <c:v>3.9000000000000014E-2</c:v>
                </c:pt>
                <c:pt idx="20">
                  <c:v>4.0000000000000015E-2</c:v>
                </c:pt>
                <c:pt idx="21">
                  <c:v>4.1000000000000016E-2</c:v>
                </c:pt>
                <c:pt idx="22">
                  <c:v>4.2000000000000016E-2</c:v>
                </c:pt>
                <c:pt idx="23">
                  <c:v>4.3000000000000017E-2</c:v>
                </c:pt>
                <c:pt idx="24">
                  <c:v>4.4000000000000018E-2</c:v>
                </c:pt>
                <c:pt idx="25">
                  <c:v>4.5000000000000019E-2</c:v>
                </c:pt>
                <c:pt idx="26">
                  <c:v>4.600000000000002E-2</c:v>
                </c:pt>
                <c:pt idx="27">
                  <c:v>4.7000000000000021E-2</c:v>
                </c:pt>
                <c:pt idx="28">
                  <c:v>4.8000000000000022E-2</c:v>
                </c:pt>
                <c:pt idx="29">
                  <c:v>4.9000000000000023E-2</c:v>
                </c:pt>
                <c:pt idx="30">
                  <c:v>5.0000000000000024E-2</c:v>
                </c:pt>
                <c:pt idx="31">
                  <c:v>5.1000000000000024E-2</c:v>
                </c:pt>
                <c:pt idx="32">
                  <c:v>5.2000000000000025E-2</c:v>
                </c:pt>
                <c:pt idx="33">
                  <c:v>5.3000000000000026E-2</c:v>
                </c:pt>
                <c:pt idx="34">
                  <c:v>5.4000000000000027E-2</c:v>
                </c:pt>
                <c:pt idx="35">
                  <c:v>5.5000000000000028E-2</c:v>
                </c:pt>
                <c:pt idx="36">
                  <c:v>5.6000000000000029E-2</c:v>
                </c:pt>
                <c:pt idx="37">
                  <c:v>5.700000000000003E-2</c:v>
                </c:pt>
                <c:pt idx="38">
                  <c:v>5.8000000000000031E-2</c:v>
                </c:pt>
                <c:pt idx="39">
                  <c:v>5.9000000000000032E-2</c:v>
                </c:pt>
                <c:pt idx="40">
                  <c:v>6.0000000000000032E-2</c:v>
                </c:pt>
                <c:pt idx="41">
                  <c:v>6.1000000000000033E-2</c:v>
                </c:pt>
                <c:pt idx="42">
                  <c:v>6.2000000000000034E-2</c:v>
                </c:pt>
                <c:pt idx="43">
                  <c:v>6.3000000000000028E-2</c:v>
                </c:pt>
                <c:pt idx="44">
                  <c:v>6.4000000000000029E-2</c:v>
                </c:pt>
                <c:pt idx="45">
                  <c:v>6.500000000000003E-2</c:v>
                </c:pt>
              </c:numCache>
            </c:numRef>
          </c:cat>
          <c:val>
            <c:numRef>
              <c:f>'Sensitivity Analysis'!$S$2:$S$47</c:f>
              <c:numCache>
                <c:formatCode>0.00</c:formatCode>
                <c:ptCount val="46"/>
                <c:pt idx="0">
                  <c:v>93236.376006819599</c:v>
                </c:pt>
                <c:pt idx="1">
                  <c:v>94768.416724242459</c:v>
                </c:pt>
                <c:pt idx="2">
                  <c:v>96363.369014771495</c:v>
                </c:pt>
                <c:pt idx="3">
                  <c:v>98025.189201653688</c:v>
                </c:pt>
                <c:pt idx="4">
                  <c:v>99758.17244631116</c:v>
                </c:pt>
                <c:pt idx="5">
                  <c:v>101566.98981664071</c:v>
                </c:pt>
                <c:pt idx="6">
                  <c:v>103456.73033041475</c:v>
                </c:pt>
                <c:pt idx="7">
                  <c:v>105432.94877062725</c:v>
                </c:pt>
                <c:pt idx="8">
                  <c:v>107501.72021890394</c:v>
                </c:pt>
                <c:pt idx="9">
                  <c:v>109669.70243458549</c:v>
                </c:pt>
                <c:pt idx="10">
                  <c:v>111944.20742871084</c:v>
                </c:pt>
                <c:pt idx="11">
                  <c:v>114333.28385398068</c:v>
                </c:pt>
                <c:pt idx="12">
                  <c:v>116845.8121668488</c:v>
                </c:pt>
                <c:pt idx="13">
                  <c:v>119491.61493293625</c:v>
                </c:pt>
                <c:pt idx="14">
                  <c:v>122281.58516378024</c:v>
                </c:pt>
                <c:pt idx="15">
                  <c:v>125227.83622002079</c:v>
                </c:pt>
                <c:pt idx="16">
                  <c:v>128343.87763102991</c:v>
                </c:pt>
                <c:pt idx="17">
                  <c:v>131644.82221348933</c:v>
                </c:pt>
                <c:pt idx="18">
                  <c:v>135147.63118806138</c:v>
                </c:pt>
                <c:pt idx="19">
                  <c:v>138871.40568368658</c:v>
                </c:pt>
                <c:pt idx="20">
                  <c:v>142837.73520491752</c:v>
                </c:pt>
                <c:pt idx="21">
                  <c:v>147071.11648585007</c:v>
                </c:pt>
                <c:pt idx="22">
                  <c:v>151599.45989538103</c:v>
                </c:pt>
                <c:pt idx="23">
                  <c:v>156454.70551502035</c:v>
                </c:pt>
                <c:pt idx="24">
                  <c:v>161673.57763743764</c:v>
                </c:pt>
                <c:pt idx="25">
                  <c:v>167298.51538117687</c:v>
                </c:pt>
                <c:pt idx="26">
                  <c:v>173378.82932376186</c:v>
                </c:pt>
                <c:pt idx="27">
                  <c:v>179972.15089679416</c:v>
                </c:pt>
                <c:pt idx="28">
                  <c:v>187146.26480388074</c:v>
                </c:pt>
                <c:pt idx="29">
                  <c:v>194981.44799109822</c:v>
                </c:pt>
                <c:pt idx="30">
                  <c:v>203573.48643010316</c:v>
                </c:pt>
                <c:pt idx="31">
                  <c:v>213037.61050509824</c:v>
                </c:pt>
                <c:pt idx="32">
                  <c:v>223513.6927819555</c:v>
                </c:pt>
                <c:pt idx="33">
                  <c:v>235173.2072776639</c:v>
                </c:pt>
                <c:pt idx="34">
                  <c:v>248228.68838131209</c:v>
                </c:pt>
                <c:pt idx="35">
                  <c:v>262946.80359624373</c:v>
                </c:pt>
                <c:pt idx="36">
                  <c:v>279666.760435195</c:v>
                </c:pt>
                <c:pt idx="37">
                  <c:v>298826.77203818003</c:v>
                </c:pt>
                <c:pt idx="38">
                  <c:v>321003.02172926092</c:v>
                </c:pt>
                <c:pt idx="39">
                  <c:v>346968.60158683988</c:v>
                </c:pt>
                <c:pt idx="40">
                  <c:v>377785.48655432346</c:v>
                </c:pt>
                <c:pt idx="41">
                  <c:v>414953.37293281866</c:v>
                </c:pt>
                <c:pt idx="42">
                  <c:v>460661.11015948054</c:v>
                </c:pt>
                <c:pt idx="43">
                  <c:v>518233.93711203057</c:v>
                </c:pt>
                <c:pt idx="44">
                  <c:v>592980.9552367701</c:v>
                </c:pt>
                <c:pt idx="45">
                  <c:v>693933.96320826712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9-294A-9367-D4ED0598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77775"/>
        <c:axId val="1779915967"/>
      </c:lineChart>
      <c:catAx>
        <c:axId val="178017777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9915967"/>
        <c:crosses val="autoZero"/>
        <c:auto val="1"/>
        <c:lblAlgn val="ctr"/>
        <c:lblOffset val="100"/>
        <c:noMultiLvlLbl val="0"/>
      </c:catAx>
      <c:valAx>
        <c:axId val="17799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801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Terminal Value in function</a:t>
            </a:r>
            <a:r>
              <a:rPr lang="en-US" b="1" baseline="0"/>
              <a:t> of the unlevered cost of capital</a:t>
            </a:r>
          </a:p>
          <a:p>
            <a:pPr>
              <a:defRPr b="1"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Analysis'!$S$52</c:f>
              <c:strCache>
                <c:ptCount val="1"/>
                <c:pt idx="0">
                  <c:v>Terminal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Analysis'!$N$53:$N$103</c:f>
              <c:numCache>
                <c:formatCode>0.00%</c:formatCode>
                <c:ptCount val="51"/>
                <c:pt idx="0">
                  <c:v>6.0704575065611395E-2</c:v>
                </c:pt>
                <c:pt idx="1">
                  <c:v>6.1704575065611396E-2</c:v>
                </c:pt>
                <c:pt idx="2">
                  <c:v>6.270457506561139E-2</c:v>
                </c:pt>
                <c:pt idx="3">
                  <c:v>6.3704575065611391E-2</c:v>
                </c:pt>
                <c:pt idx="4">
                  <c:v>6.4704575065611392E-2</c:v>
                </c:pt>
                <c:pt idx="5">
                  <c:v>6.5704575065611392E-2</c:v>
                </c:pt>
                <c:pt idx="6">
                  <c:v>6.6704575065611393E-2</c:v>
                </c:pt>
                <c:pt idx="7">
                  <c:v>6.7704575065611394E-2</c:v>
                </c:pt>
                <c:pt idx="8">
                  <c:v>6.8704575065611395E-2</c:v>
                </c:pt>
                <c:pt idx="9">
                  <c:v>6.9704575065611396E-2</c:v>
                </c:pt>
                <c:pt idx="10">
                  <c:v>7.0704575065611397E-2</c:v>
                </c:pt>
                <c:pt idx="11">
                  <c:v>7.1704575065611398E-2</c:v>
                </c:pt>
                <c:pt idx="12">
                  <c:v>7.2704575065611399E-2</c:v>
                </c:pt>
                <c:pt idx="13">
                  <c:v>7.37045750656114E-2</c:v>
                </c:pt>
                <c:pt idx="14">
                  <c:v>7.47045750656114E-2</c:v>
                </c:pt>
                <c:pt idx="15">
                  <c:v>7.5704575065611401E-2</c:v>
                </c:pt>
                <c:pt idx="16">
                  <c:v>7.6704575065611402E-2</c:v>
                </c:pt>
                <c:pt idx="17">
                  <c:v>7.7704575065611403E-2</c:v>
                </c:pt>
                <c:pt idx="18">
                  <c:v>7.8704575065611404E-2</c:v>
                </c:pt>
                <c:pt idx="19">
                  <c:v>7.9704575065611405E-2</c:v>
                </c:pt>
                <c:pt idx="20">
                  <c:v>8.0704575065611406E-2</c:v>
                </c:pt>
                <c:pt idx="21">
                  <c:v>8.1704575065611407E-2</c:v>
                </c:pt>
                <c:pt idx="22">
                  <c:v>8.2704575065611408E-2</c:v>
                </c:pt>
                <c:pt idx="23">
                  <c:v>8.3704575065611408E-2</c:v>
                </c:pt>
                <c:pt idx="24">
                  <c:v>8.4704575065611409E-2</c:v>
                </c:pt>
                <c:pt idx="25">
                  <c:v>8.570457506561141E-2</c:v>
                </c:pt>
                <c:pt idx="26">
                  <c:v>8.6704575065611411E-2</c:v>
                </c:pt>
                <c:pt idx="27">
                  <c:v>8.7704575065611412E-2</c:v>
                </c:pt>
                <c:pt idx="28">
                  <c:v>8.8704575065611413E-2</c:v>
                </c:pt>
                <c:pt idx="29">
                  <c:v>8.9704575065611414E-2</c:v>
                </c:pt>
                <c:pt idx="30">
                  <c:v>9.0704575065611415E-2</c:v>
                </c:pt>
                <c:pt idx="31">
                  <c:v>9.1704575065611416E-2</c:v>
                </c:pt>
                <c:pt idx="32">
                  <c:v>9.2704575065611416E-2</c:v>
                </c:pt>
                <c:pt idx="33">
                  <c:v>9.3704575065611417E-2</c:v>
                </c:pt>
                <c:pt idx="34">
                  <c:v>9.4704575065611418E-2</c:v>
                </c:pt>
                <c:pt idx="35">
                  <c:v>9.5704575065611419E-2</c:v>
                </c:pt>
                <c:pt idx="36">
                  <c:v>9.670457506561142E-2</c:v>
                </c:pt>
                <c:pt idx="37">
                  <c:v>9.7704575065611421E-2</c:v>
                </c:pt>
                <c:pt idx="38">
                  <c:v>9.8704575065611422E-2</c:v>
                </c:pt>
                <c:pt idx="39">
                  <c:v>9.9704575065611423E-2</c:v>
                </c:pt>
                <c:pt idx="40">
                  <c:v>0.10070457506561142</c:v>
                </c:pt>
                <c:pt idx="41">
                  <c:v>0.10170457506561142</c:v>
                </c:pt>
                <c:pt idx="42">
                  <c:v>0.10270457506561143</c:v>
                </c:pt>
                <c:pt idx="43">
                  <c:v>0.10370457506561143</c:v>
                </c:pt>
                <c:pt idx="44">
                  <c:v>0.10470457506561143</c:v>
                </c:pt>
                <c:pt idx="45">
                  <c:v>0.10570457506561143</c:v>
                </c:pt>
                <c:pt idx="46">
                  <c:v>0.10670457506561143</c:v>
                </c:pt>
                <c:pt idx="47">
                  <c:v>0.10770457506561143</c:v>
                </c:pt>
                <c:pt idx="48">
                  <c:v>0.10870457506561143</c:v>
                </c:pt>
                <c:pt idx="49">
                  <c:v>0.10970457506561143</c:v>
                </c:pt>
                <c:pt idx="50">
                  <c:v>0.11070457506561143</c:v>
                </c:pt>
              </c:numCache>
            </c:numRef>
          </c:cat>
          <c:val>
            <c:numRef>
              <c:f>'Sensitivity Analysis'!$S$53:$S$103</c:f>
              <c:numCache>
                <c:formatCode>0.00</c:formatCode>
                <c:ptCount val="51"/>
                <c:pt idx="0">
                  <c:v>154705.49577318798</c:v>
                </c:pt>
                <c:pt idx="1">
                  <c:v>148409.06607557487</c:v>
                </c:pt>
                <c:pt idx="2">
                  <c:v>142620.67164696159</c:v>
                </c:pt>
                <c:pt idx="3">
                  <c:v>137281.20905252572</c:v>
                </c:pt>
                <c:pt idx="4">
                  <c:v>132340.40049682936</c:v>
                </c:pt>
                <c:pt idx="5">
                  <c:v>127755.20574490742</c:v>
                </c:pt>
                <c:pt idx="6">
                  <c:v>123488.56504073643</c:v>
                </c:pt>
                <c:pt idx="7">
                  <c:v>119508.39523850122</c:v>
                </c:pt>
                <c:pt idx="8">
                  <c:v>115786.78157428512</c:v>
                </c:pt>
                <c:pt idx="9">
                  <c:v>112299.32199528474</c:v>
                </c:pt>
                <c:pt idx="10">
                  <c:v>109024.59147578404</c:v>
                </c:pt>
                <c:pt idx="11">
                  <c:v>105943.70146111638</c:v>
                </c:pt>
                <c:pt idx="12">
                  <c:v>103039.93529760587</c:v>
                </c:pt>
                <c:pt idx="13">
                  <c:v>100298.44478556637</c:v>
                </c:pt>
                <c:pt idx="14">
                  <c:v>97705.996224626433</c:v>
                </c:pt>
                <c:pt idx="15">
                  <c:v>95250.756783022705</c:v>
                </c:pt>
                <c:pt idx="16">
                  <c:v>92922.113913507477</c:v>
                </c:pt>
                <c:pt idx="17">
                  <c:v>90710.522001778038</c:v>
                </c:pt>
                <c:pt idx="18">
                  <c:v>88607.371573707453</c:v>
                </c:pt>
                <c:pt idx="19">
                  <c:v>86604.877282429254</c:v>
                </c:pt>
                <c:pt idx="20">
                  <c:v>84695.981602879037</c:v>
                </c:pt>
                <c:pt idx="21">
                  <c:v>82874.271722735852</c:v>
                </c:pt>
                <c:pt idx="22">
                  <c:v>81133.907567231683</c:v>
                </c:pt>
                <c:pt idx="23">
                  <c:v>79469.559255671498</c:v>
                </c:pt>
                <c:pt idx="24">
                  <c:v>77876.35257854806</c:v>
                </c:pt>
                <c:pt idx="25">
                  <c:v>76349.821320374147</c:v>
                </c:pt>
                <c:pt idx="26">
                  <c:v>74885.865446003983</c:v>
                </c:pt>
                <c:pt idx="27">
                  <c:v>73480.7143260476</c:v>
                </c:pt>
                <c:pt idx="28">
                  <c:v>72130.894306838134</c:v>
                </c:pt>
                <c:pt idx="29">
                  <c:v>70833.200037705741</c:v>
                </c:pt>
                <c:pt idx="30">
                  <c:v>69584.669057308114</c:v>
                </c:pt>
                <c:pt idx="31">
                  <c:v>68382.559214876732</c:v>
                </c:pt>
                <c:pt idx="32">
                  <c:v>67224.328564168201</c:v>
                </c:pt>
                <c:pt idx="33">
                  <c:v>66107.617419855058</c:v>
                </c:pt>
                <c:pt idx="34">
                  <c:v>65030.232309795902</c:v>
                </c:pt>
                <c:pt idx="35">
                  <c:v>63990.131593531332</c:v>
                </c:pt>
                <c:pt idx="36">
                  <c:v>62985.412548599823</c:v>
                </c:pt>
                <c:pt idx="37">
                  <c:v>62014.29975282037</c:v>
                </c:pt>
                <c:pt idx="38">
                  <c:v>61075.134613301751</c:v>
                </c:pt>
                <c:pt idx="39">
                  <c:v>60166.365912265195</c:v>
                </c:pt>
                <c:pt idx="40">
                  <c:v>59286.541256316086</c:v>
                </c:pt>
                <c:pt idx="41">
                  <c:v>58434.299330022608</c:v>
                </c:pt>
                <c:pt idx="42">
                  <c:v>57608.362866896612</c:v>
                </c:pt>
                <c:pt idx="43">
                  <c:v>56807.53226144478</c:v>
                </c:pt>
                <c:pt idx="44">
                  <c:v>56030.679755097088</c:v>
                </c:pt>
                <c:pt idx="45">
                  <c:v>55276.744136753201</c:v>
                </c:pt>
                <c:pt idx="46">
                  <c:v>54544.72590557611</c:v>
                </c:pt>
                <c:pt idx="47">
                  <c:v>53833.682849668803</c:v>
                </c:pt>
                <c:pt idx="48">
                  <c:v>53142.725999506591</c:v>
                </c:pt>
                <c:pt idx="49">
                  <c:v>52471.015919584024</c:v>
                </c:pt>
                <c:pt idx="50">
                  <c:v>51817.759305748586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7-BD43-8DFA-0221AFE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753631"/>
        <c:axId val="1773993887"/>
      </c:lineChart>
      <c:catAx>
        <c:axId val="2118753631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3993887"/>
        <c:crosses val="autoZero"/>
        <c:auto val="1"/>
        <c:lblAlgn val="ctr"/>
        <c:lblOffset val="100"/>
        <c:noMultiLvlLbl val="0"/>
      </c:catAx>
      <c:valAx>
        <c:axId val="17739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187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Value of firm in function</a:t>
            </a:r>
            <a:r>
              <a:rPr lang="en-US" sz="2000" b="1" baseline="0"/>
              <a:t> of corporate taxes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Analysis'!$J$73</c:f>
              <c:strCache>
                <c:ptCount val="1"/>
                <c:pt idx="0">
                  <c:v>Value of 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Analysis'!$B$74:$B$274</c:f>
              <c:numCache>
                <c:formatCode>0.000%</c:formatCode>
                <c:ptCount val="201"/>
                <c:pt idx="0" formatCode="0%">
                  <c:v>0.1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0.10900000000000001</c:v>
                </c:pt>
                <c:pt idx="10">
                  <c:v>0.11000000000000001</c:v>
                </c:pt>
                <c:pt idx="11">
                  <c:v>0.11100000000000002</c:v>
                </c:pt>
                <c:pt idx="12">
                  <c:v>0.11200000000000002</c:v>
                </c:pt>
                <c:pt idx="13">
                  <c:v>0.11300000000000002</c:v>
                </c:pt>
                <c:pt idx="14">
                  <c:v>0.11400000000000002</c:v>
                </c:pt>
                <c:pt idx="15">
                  <c:v>0.11500000000000002</c:v>
                </c:pt>
                <c:pt idx="16">
                  <c:v>0.11600000000000002</c:v>
                </c:pt>
                <c:pt idx="17">
                  <c:v>0.11700000000000002</c:v>
                </c:pt>
                <c:pt idx="18">
                  <c:v>0.11800000000000002</c:v>
                </c:pt>
                <c:pt idx="19">
                  <c:v>0.11900000000000002</c:v>
                </c:pt>
                <c:pt idx="20">
                  <c:v>0.12000000000000002</c:v>
                </c:pt>
                <c:pt idx="21">
                  <c:v>0.12100000000000002</c:v>
                </c:pt>
                <c:pt idx="22">
                  <c:v>0.12200000000000003</c:v>
                </c:pt>
                <c:pt idx="23">
                  <c:v>0.12300000000000003</c:v>
                </c:pt>
                <c:pt idx="24">
                  <c:v>0.12400000000000003</c:v>
                </c:pt>
                <c:pt idx="25">
                  <c:v>0.12500000000000003</c:v>
                </c:pt>
                <c:pt idx="26">
                  <c:v>0.12600000000000003</c:v>
                </c:pt>
                <c:pt idx="27">
                  <c:v>0.12700000000000003</c:v>
                </c:pt>
                <c:pt idx="28">
                  <c:v>0.12800000000000003</c:v>
                </c:pt>
                <c:pt idx="29">
                  <c:v>0.12900000000000003</c:v>
                </c:pt>
                <c:pt idx="30">
                  <c:v>0.13000000000000003</c:v>
                </c:pt>
                <c:pt idx="31">
                  <c:v>0.13100000000000003</c:v>
                </c:pt>
                <c:pt idx="32">
                  <c:v>0.13200000000000003</c:v>
                </c:pt>
                <c:pt idx="33">
                  <c:v>0.13300000000000003</c:v>
                </c:pt>
                <c:pt idx="34">
                  <c:v>0.13400000000000004</c:v>
                </c:pt>
                <c:pt idx="35">
                  <c:v>0.13500000000000004</c:v>
                </c:pt>
                <c:pt idx="36">
                  <c:v>0.13600000000000004</c:v>
                </c:pt>
                <c:pt idx="37">
                  <c:v>0.13700000000000004</c:v>
                </c:pt>
                <c:pt idx="38">
                  <c:v>0.13800000000000004</c:v>
                </c:pt>
                <c:pt idx="39">
                  <c:v>0.13900000000000004</c:v>
                </c:pt>
                <c:pt idx="40">
                  <c:v>0.14000000000000004</c:v>
                </c:pt>
                <c:pt idx="41">
                  <c:v>0.14100000000000004</c:v>
                </c:pt>
                <c:pt idx="42">
                  <c:v>0.14200000000000004</c:v>
                </c:pt>
                <c:pt idx="43">
                  <c:v>0.14300000000000004</c:v>
                </c:pt>
                <c:pt idx="44">
                  <c:v>0.14400000000000004</c:v>
                </c:pt>
                <c:pt idx="45">
                  <c:v>0.14500000000000005</c:v>
                </c:pt>
                <c:pt idx="46">
                  <c:v>0.14600000000000005</c:v>
                </c:pt>
                <c:pt idx="47">
                  <c:v>0.14700000000000005</c:v>
                </c:pt>
                <c:pt idx="48">
                  <c:v>0.14800000000000005</c:v>
                </c:pt>
                <c:pt idx="49">
                  <c:v>0.14900000000000005</c:v>
                </c:pt>
                <c:pt idx="50">
                  <c:v>0.15000000000000005</c:v>
                </c:pt>
                <c:pt idx="51">
                  <c:v>0.15100000000000005</c:v>
                </c:pt>
                <c:pt idx="52">
                  <c:v>0.15200000000000005</c:v>
                </c:pt>
                <c:pt idx="53">
                  <c:v>0.15300000000000005</c:v>
                </c:pt>
                <c:pt idx="54">
                  <c:v>0.15400000000000005</c:v>
                </c:pt>
                <c:pt idx="55">
                  <c:v>0.15500000000000005</c:v>
                </c:pt>
                <c:pt idx="56">
                  <c:v>0.15600000000000006</c:v>
                </c:pt>
                <c:pt idx="57">
                  <c:v>0.15700000000000006</c:v>
                </c:pt>
                <c:pt idx="58">
                  <c:v>0.15800000000000006</c:v>
                </c:pt>
                <c:pt idx="59">
                  <c:v>0.15900000000000006</c:v>
                </c:pt>
                <c:pt idx="60">
                  <c:v>0.16000000000000006</c:v>
                </c:pt>
                <c:pt idx="61">
                  <c:v>0.16100000000000006</c:v>
                </c:pt>
                <c:pt idx="62">
                  <c:v>0.16200000000000006</c:v>
                </c:pt>
                <c:pt idx="63">
                  <c:v>0.16300000000000006</c:v>
                </c:pt>
                <c:pt idx="64">
                  <c:v>0.16400000000000006</c:v>
                </c:pt>
                <c:pt idx="65">
                  <c:v>0.16500000000000006</c:v>
                </c:pt>
                <c:pt idx="66">
                  <c:v>0.16600000000000006</c:v>
                </c:pt>
                <c:pt idx="67">
                  <c:v>0.16700000000000007</c:v>
                </c:pt>
                <c:pt idx="68">
                  <c:v>0.16800000000000007</c:v>
                </c:pt>
                <c:pt idx="69">
                  <c:v>0.16900000000000007</c:v>
                </c:pt>
                <c:pt idx="70">
                  <c:v>0.17000000000000007</c:v>
                </c:pt>
                <c:pt idx="71">
                  <c:v>0.17100000000000007</c:v>
                </c:pt>
                <c:pt idx="72">
                  <c:v>0.17200000000000007</c:v>
                </c:pt>
                <c:pt idx="73">
                  <c:v>0.17300000000000007</c:v>
                </c:pt>
                <c:pt idx="74">
                  <c:v>0.17400000000000007</c:v>
                </c:pt>
                <c:pt idx="75">
                  <c:v>0.17500000000000007</c:v>
                </c:pt>
                <c:pt idx="76">
                  <c:v>0.17600000000000007</c:v>
                </c:pt>
                <c:pt idx="77">
                  <c:v>0.17700000000000007</c:v>
                </c:pt>
                <c:pt idx="78">
                  <c:v>0.17800000000000007</c:v>
                </c:pt>
                <c:pt idx="79">
                  <c:v>0.17900000000000008</c:v>
                </c:pt>
                <c:pt idx="80">
                  <c:v>0.18000000000000008</c:v>
                </c:pt>
                <c:pt idx="81">
                  <c:v>0.18100000000000008</c:v>
                </c:pt>
                <c:pt idx="82">
                  <c:v>0.18200000000000008</c:v>
                </c:pt>
                <c:pt idx="83">
                  <c:v>0.18300000000000008</c:v>
                </c:pt>
                <c:pt idx="84">
                  <c:v>0.18400000000000008</c:v>
                </c:pt>
                <c:pt idx="85">
                  <c:v>0.18500000000000008</c:v>
                </c:pt>
                <c:pt idx="86">
                  <c:v>0.18600000000000008</c:v>
                </c:pt>
                <c:pt idx="87">
                  <c:v>0.18700000000000008</c:v>
                </c:pt>
                <c:pt idx="88">
                  <c:v>0.18800000000000008</c:v>
                </c:pt>
                <c:pt idx="89">
                  <c:v>0.18900000000000008</c:v>
                </c:pt>
                <c:pt idx="90">
                  <c:v>0.19000000000000009</c:v>
                </c:pt>
                <c:pt idx="91">
                  <c:v>0.19100000000000009</c:v>
                </c:pt>
                <c:pt idx="92">
                  <c:v>0.19200000000000009</c:v>
                </c:pt>
                <c:pt idx="93">
                  <c:v>0.19300000000000009</c:v>
                </c:pt>
                <c:pt idx="94">
                  <c:v>0.19400000000000009</c:v>
                </c:pt>
                <c:pt idx="95">
                  <c:v>0.19500000000000009</c:v>
                </c:pt>
                <c:pt idx="96">
                  <c:v>0.19600000000000009</c:v>
                </c:pt>
                <c:pt idx="97">
                  <c:v>0.19700000000000009</c:v>
                </c:pt>
                <c:pt idx="98">
                  <c:v>0.19800000000000009</c:v>
                </c:pt>
                <c:pt idx="99">
                  <c:v>0.19900000000000009</c:v>
                </c:pt>
                <c:pt idx="100">
                  <c:v>0.20000000000000009</c:v>
                </c:pt>
                <c:pt idx="101">
                  <c:v>0.2010000000000001</c:v>
                </c:pt>
                <c:pt idx="102">
                  <c:v>0.2020000000000001</c:v>
                </c:pt>
                <c:pt idx="103">
                  <c:v>0.2030000000000001</c:v>
                </c:pt>
                <c:pt idx="104">
                  <c:v>0.2040000000000001</c:v>
                </c:pt>
                <c:pt idx="105">
                  <c:v>0.2050000000000001</c:v>
                </c:pt>
                <c:pt idx="106">
                  <c:v>0.2060000000000001</c:v>
                </c:pt>
                <c:pt idx="107">
                  <c:v>0.2070000000000001</c:v>
                </c:pt>
                <c:pt idx="108">
                  <c:v>0.2080000000000001</c:v>
                </c:pt>
                <c:pt idx="109">
                  <c:v>0.2090000000000001</c:v>
                </c:pt>
                <c:pt idx="110">
                  <c:v>0.2100000000000001</c:v>
                </c:pt>
                <c:pt idx="111">
                  <c:v>0.2110000000000001</c:v>
                </c:pt>
                <c:pt idx="112">
                  <c:v>0.21200000000000011</c:v>
                </c:pt>
                <c:pt idx="113">
                  <c:v>0.21300000000000011</c:v>
                </c:pt>
                <c:pt idx="114">
                  <c:v>0.21400000000000011</c:v>
                </c:pt>
                <c:pt idx="115">
                  <c:v>0.21500000000000011</c:v>
                </c:pt>
                <c:pt idx="116">
                  <c:v>0.21600000000000011</c:v>
                </c:pt>
                <c:pt idx="117">
                  <c:v>0.21700000000000011</c:v>
                </c:pt>
                <c:pt idx="118">
                  <c:v>0.21800000000000011</c:v>
                </c:pt>
                <c:pt idx="119">
                  <c:v>0.21900000000000011</c:v>
                </c:pt>
                <c:pt idx="120">
                  <c:v>0.22000000000000011</c:v>
                </c:pt>
                <c:pt idx="121">
                  <c:v>0.22100000000000011</c:v>
                </c:pt>
                <c:pt idx="122">
                  <c:v>0.22200000000000011</c:v>
                </c:pt>
                <c:pt idx="123">
                  <c:v>0.22300000000000011</c:v>
                </c:pt>
                <c:pt idx="124">
                  <c:v>0.22400000000000012</c:v>
                </c:pt>
                <c:pt idx="125">
                  <c:v>0.22500000000000012</c:v>
                </c:pt>
                <c:pt idx="126">
                  <c:v>0.22600000000000012</c:v>
                </c:pt>
                <c:pt idx="127">
                  <c:v>0.22700000000000012</c:v>
                </c:pt>
                <c:pt idx="128">
                  <c:v>0.22800000000000012</c:v>
                </c:pt>
                <c:pt idx="129">
                  <c:v>0.22900000000000012</c:v>
                </c:pt>
                <c:pt idx="130">
                  <c:v>0.23000000000000012</c:v>
                </c:pt>
                <c:pt idx="131">
                  <c:v>0.23100000000000012</c:v>
                </c:pt>
                <c:pt idx="132">
                  <c:v>0.23200000000000012</c:v>
                </c:pt>
                <c:pt idx="133">
                  <c:v>0.23300000000000012</c:v>
                </c:pt>
                <c:pt idx="134">
                  <c:v>0.23400000000000012</c:v>
                </c:pt>
                <c:pt idx="135">
                  <c:v>0.23500000000000013</c:v>
                </c:pt>
                <c:pt idx="136">
                  <c:v>0.23600000000000013</c:v>
                </c:pt>
                <c:pt idx="137">
                  <c:v>0.23700000000000013</c:v>
                </c:pt>
                <c:pt idx="138">
                  <c:v>0.23800000000000013</c:v>
                </c:pt>
                <c:pt idx="139">
                  <c:v>0.23900000000000013</c:v>
                </c:pt>
                <c:pt idx="140">
                  <c:v>0.24000000000000013</c:v>
                </c:pt>
                <c:pt idx="141">
                  <c:v>0.24100000000000013</c:v>
                </c:pt>
                <c:pt idx="142">
                  <c:v>0.24200000000000013</c:v>
                </c:pt>
                <c:pt idx="143">
                  <c:v>0.24300000000000013</c:v>
                </c:pt>
                <c:pt idx="144">
                  <c:v>0.24400000000000013</c:v>
                </c:pt>
                <c:pt idx="145">
                  <c:v>0.24500000000000013</c:v>
                </c:pt>
                <c:pt idx="146">
                  <c:v>0.24600000000000014</c:v>
                </c:pt>
                <c:pt idx="147">
                  <c:v>0.24700000000000014</c:v>
                </c:pt>
                <c:pt idx="148">
                  <c:v>0.24800000000000014</c:v>
                </c:pt>
                <c:pt idx="149">
                  <c:v>0.24900000000000014</c:v>
                </c:pt>
                <c:pt idx="150">
                  <c:v>0.25000000000000011</c:v>
                </c:pt>
                <c:pt idx="151">
                  <c:v>0.25100000000000011</c:v>
                </c:pt>
                <c:pt idx="152">
                  <c:v>0.25200000000000011</c:v>
                </c:pt>
                <c:pt idx="153">
                  <c:v>0.25300000000000011</c:v>
                </c:pt>
                <c:pt idx="154">
                  <c:v>0.25400000000000011</c:v>
                </c:pt>
                <c:pt idx="155">
                  <c:v>0.25500000000000012</c:v>
                </c:pt>
                <c:pt idx="156">
                  <c:v>0.25600000000000012</c:v>
                </c:pt>
                <c:pt idx="157">
                  <c:v>0.25700000000000012</c:v>
                </c:pt>
                <c:pt idx="158">
                  <c:v>0.25800000000000012</c:v>
                </c:pt>
                <c:pt idx="159">
                  <c:v>0.25900000000000012</c:v>
                </c:pt>
                <c:pt idx="160">
                  <c:v>0.26000000000000012</c:v>
                </c:pt>
                <c:pt idx="161">
                  <c:v>0.26100000000000012</c:v>
                </c:pt>
                <c:pt idx="162">
                  <c:v>0.26200000000000012</c:v>
                </c:pt>
                <c:pt idx="163">
                  <c:v>0.26300000000000012</c:v>
                </c:pt>
                <c:pt idx="164">
                  <c:v>0.26400000000000012</c:v>
                </c:pt>
                <c:pt idx="165">
                  <c:v>0.26500000000000012</c:v>
                </c:pt>
                <c:pt idx="166">
                  <c:v>0.26600000000000013</c:v>
                </c:pt>
                <c:pt idx="167">
                  <c:v>0.26700000000000013</c:v>
                </c:pt>
                <c:pt idx="168">
                  <c:v>0.26800000000000013</c:v>
                </c:pt>
                <c:pt idx="169">
                  <c:v>0.26900000000000013</c:v>
                </c:pt>
                <c:pt idx="170">
                  <c:v>0.27000000000000013</c:v>
                </c:pt>
                <c:pt idx="171">
                  <c:v>0.27100000000000013</c:v>
                </c:pt>
                <c:pt idx="172">
                  <c:v>0.27200000000000013</c:v>
                </c:pt>
                <c:pt idx="173">
                  <c:v>0.27300000000000013</c:v>
                </c:pt>
                <c:pt idx="174">
                  <c:v>0.27400000000000013</c:v>
                </c:pt>
                <c:pt idx="175">
                  <c:v>0.27500000000000013</c:v>
                </c:pt>
                <c:pt idx="176">
                  <c:v>0.27600000000000013</c:v>
                </c:pt>
                <c:pt idx="177">
                  <c:v>0.27700000000000014</c:v>
                </c:pt>
                <c:pt idx="178">
                  <c:v>0.27800000000000014</c:v>
                </c:pt>
                <c:pt idx="179">
                  <c:v>0.27900000000000014</c:v>
                </c:pt>
                <c:pt idx="180">
                  <c:v>0.28000000000000014</c:v>
                </c:pt>
                <c:pt idx="181">
                  <c:v>0.28100000000000014</c:v>
                </c:pt>
                <c:pt idx="182">
                  <c:v>0.28200000000000014</c:v>
                </c:pt>
                <c:pt idx="183">
                  <c:v>0.28300000000000014</c:v>
                </c:pt>
                <c:pt idx="184">
                  <c:v>0.28400000000000014</c:v>
                </c:pt>
                <c:pt idx="185">
                  <c:v>0.28500000000000014</c:v>
                </c:pt>
                <c:pt idx="186">
                  <c:v>0.28600000000000014</c:v>
                </c:pt>
                <c:pt idx="187">
                  <c:v>0.28700000000000014</c:v>
                </c:pt>
                <c:pt idx="188">
                  <c:v>0.28800000000000014</c:v>
                </c:pt>
                <c:pt idx="189">
                  <c:v>0.28900000000000015</c:v>
                </c:pt>
                <c:pt idx="190">
                  <c:v>0.29000000000000015</c:v>
                </c:pt>
                <c:pt idx="191">
                  <c:v>0.29100000000000015</c:v>
                </c:pt>
                <c:pt idx="192">
                  <c:v>0.29200000000000015</c:v>
                </c:pt>
                <c:pt idx="193">
                  <c:v>0.29300000000000015</c:v>
                </c:pt>
                <c:pt idx="194">
                  <c:v>0.29400000000000015</c:v>
                </c:pt>
                <c:pt idx="195">
                  <c:v>0.29500000000000015</c:v>
                </c:pt>
                <c:pt idx="196">
                  <c:v>0.29600000000000015</c:v>
                </c:pt>
                <c:pt idx="197">
                  <c:v>0.29700000000000015</c:v>
                </c:pt>
                <c:pt idx="198">
                  <c:v>0.29800000000000015</c:v>
                </c:pt>
                <c:pt idx="199">
                  <c:v>0.29900000000000015</c:v>
                </c:pt>
                <c:pt idx="200">
                  <c:v>0.30000000000000016</c:v>
                </c:pt>
              </c:numCache>
            </c:numRef>
          </c:cat>
          <c:val>
            <c:numRef>
              <c:f>'Sensitivity Analysis'!$J$74:$J$274</c:f>
              <c:numCache>
                <c:formatCode>0.00</c:formatCode>
                <c:ptCount val="201"/>
                <c:pt idx="0">
                  <c:v>104596.78388720898</c:v>
                </c:pt>
                <c:pt idx="1">
                  <c:v>104621.63438010502</c:v>
                </c:pt>
                <c:pt idx="2">
                  <c:v>104646.48487300109</c:v>
                </c:pt>
                <c:pt idx="3">
                  <c:v>104671.33536589713</c:v>
                </c:pt>
                <c:pt idx="4">
                  <c:v>104696.18585879319</c:v>
                </c:pt>
                <c:pt idx="5">
                  <c:v>104721.03635168924</c:v>
                </c:pt>
                <c:pt idx="6">
                  <c:v>104745.8868445853</c:v>
                </c:pt>
                <c:pt idx="7">
                  <c:v>104770.73733748135</c:v>
                </c:pt>
                <c:pt idx="8">
                  <c:v>104795.58783037741</c:v>
                </c:pt>
                <c:pt idx="9">
                  <c:v>104820.43832327347</c:v>
                </c:pt>
                <c:pt idx="10">
                  <c:v>104845.28881616952</c:v>
                </c:pt>
                <c:pt idx="11">
                  <c:v>104870.13930906558</c:v>
                </c:pt>
                <c:pt idx="12">
                  <c:v>104894.98980196162</c:v>
                </c:pt>
                <c:pt idx="13">
                  <c:v>104919.84029485768</c:v>
                </c:pt>
                <c:pt idx="14">
                  <c:v>104944.69078775373</c:v>
                </c:pt>
                <c:pt idx="15">
                  <c:v>104969.54128064979</c:v>
                </c:pt>
                <c:pt idx="16">
                  <c:v>104994.39177354584</c:v>
                </c:pt>
                <c:pt idx="17">
                  <c:v>105019.2422664419</c:v>
                </c:pt>
                <c:pt idx="18">
                  <c:v>105044.09275933795</c:v>
                </c:pt>
                <c:pt idx="19">
                  <c:v>105068.94325223401</c:v>
                </c:pt>
                <c:pt idx="20">
                  <c:v>105093.79374513005</c:v>
                </c:pt>
                <c:pt idx="21">
                  <c:v>105118.64423802611</c:v>
                </c:pt>
                <c:pt idx="22">
                  <c:v>105143.49473092216</c:v>
                </c:pt>
                <c:pt idx="23">
                  <c:v>105168.34522381822</c:v>
                </c:pt>
                <c:pt idx="24">
                  <c:v>105193.19571671427</c:v>
                </c:pt>
                <c:pt idx="25">
                  <c:v>105218.04620961033</c:v>
                </c:pt>
                <c:pt idx="26">
                  <c:v>105242.89670250638</c:v>
                </c:pt>
                <c:pt idx="27">
                  <c:v>105267.74719540244</c:v>
                </c:pt>
                <c:pt idx="28">
                  <c:v>105292.59768829848</c:v>
                </c:pt>
                <c:pt idx="29">
                  <c:v>105317.44818119454</c:v>
                </c:pt>
                <c:pt idx="30">
                  <c:v>105342.29867409059</c:v>
                </c:pt>
                <c:pt idx="31">
                  <c:v>105367.14916698665</c:v>
                </c:pt>
                <c:pt idx="32">
                  <c:v>105391.9996598827</c:v>
                </c:pt>
                <c:pt idx="33">
                  <c:v>105416.85015277876</c:v>
                </c:pt>
                <c:pt idx="34">
                  <c:v>105441.70064567481</c:v>
                </c:pt>
                <c:pt idx="35">
                  <c:v>105466.55113857087</c:v>
                </c:pt>
                <c:pt idx="36">
                  <c:v>105491.40163146693</c:v>
                </c:pt>
                <c:pt idx="37">
                  <c:v>105516.25212436297</c:v>
                </c:pt>
                <c:pt idx="38">
                  <c:v>105541.10261725904</c:v>
                </c:pt>
                <c:pt idx="39">
                  <c:v>105565.95311015508</c:v>
                </c:pt>
                <c:pt idx="40">
                  <c:v>105590.80360305114</c:v>
                </c:pt>
                <c:pt idx="41">
                  <c:v>105615.65409594719</c:v>
                </c:pt>
                <c:pt idx="42">
                  <c:v>105640.50458884325</c:v>
                </c:pt>
                <c:pt idx="43">
                  <c:v>105665.3550817393</c:v>
                </c:pt>
                <c:pt idx="44">
                  <c:v>105690.20557463536</c:v>
                </c:pt>
                <c:pt idx="45">
                  <c:v>105715.0560675314</c:v>
                </c:pt>
                <c:pt idx="46">
                  <c:v>105739.90656042747</c:v>
                </c:pt>
                <c:pt idx="47">
                  <c:v>105764.75705332351</c:v>
                </c:pt>
                <c:pt idx="48">
                  <c:v>105789.60754621957</c:v>
                </c:pt>
                <c:pt idx="49">
                  <c:v>105814.45803911562</c:v>
                </c:pt>
                <c:pt idx="50">
                  <c:v>105839.30853201168</c:v>
                </c:pt>
                <c:pt idx="51">
                  <c:v>105864.15902490773</c:v>
                </c:pt>
                <c:pt idx="52">
                  <c:v>105889.00951780379</c:v>
                </c:pt>
                <c:pt idx="53">
                  <c:v>105913.86001069983</c:v>
                </c:pt>
                <c:pt idx="54">
                  <c:v>105938.7105035959</c:v>
                </c:pt>
                <c:pt idx="55">
                  <c:v>105963.56099649194</c:v>
                </c:pt>
                <c:pt idx="56">
                  <c:v>105988.411489388</c:v>
                </c:pt>
                <c:pt idx="57">
                  <c:v>106013.26198228405</c:v>
                </c:pt>
                <c:pt idx="58">
                  <c:v>106038.11247518011</c:v>
                </c:pt>
                <c:pt idx="59">
                  <c:v>106062.96296807616</c:v>
                </c:pt>
                <c:pt idx="60">
                  <c:v>106087.81346097222</c:v>
                </c:pt>
                <c:pt idx="61">
                  <c:v>106112.66395386826</c:v>
                </c:pt>
                <c:pt idx="62">
                  <c:v>106137.51444676433</c:v>
                </c:pt>
                <c:pt idx="63">
                  <c:v>106162.36493966039</c:v>
                </c:pt>
                <c:pt idx="64">
                  <c:v>106187.21543255643</c:v>
                </c:pt>
                <c:pt idx="65">
                  <c:v>106212.06592545249</c:v>
                </c:pt>
                <c:pt idx="66">
                  <c:v>106236.91641834854</c:v>
                </c:pt>
                <c:pt idx="67">
                  <c:v>106261.7669112446</c:v>
                </c:pt>
                <c:pt idx="68">
                  <c:v>106286.61740414065</c:v>
                </c:pt>
                <c:pt idx="69">
                  <c:v>106311.46789703671</c:v>
                </c:pt>
                <c:pt idx="70">
                  <c:v>106336.31838993276</c:v>
                </c:pt>
                <c:pt idx="71">
                  <c:v>106361.16888282882</c:v>
                </c:pt>
                <c:pt idx="72">
                  <c:v>106386.01937572486</c:v>
                </c:pt>
                <c:pt idx="73">
                  <c:v>106410.86986862092</c:v>
                </c:pt>
                <c:pt idx="74">
                  <c:v>106435.72036151697</c:v>
                </c:pt>
                <c:pt idx="75">
                  <c:v>106460.57085441303</c:v>
                </c:pt>
                <c:pt idx="76">
                  <c:v>106485.42134730908</c:v>
                </c:pt>
                <c:pt idx="77">
                  <c:v>106510.27184020514</c:v>
                </c:pt>
                <c:pt idx="78">
                  <c:v>106535.12233310119</c:v>
                </c:pt>
                <c:pt idx="79">
                  <c:v>106559.97282599725</c:v>
                </c:pt>
                <c:pt idx="80">
                  <c:v>106584.82331889329</c:v>
                </c:pt>
                <c:pt idx="81">
                  <c:v>106609.67381178935</c:v>
                </c:pt>
                <c:pt idx="82">
                  <c:v>106634.5243046854</c:v>
                </c:pt>
                <c:pt idx="83">
                  <c:v>106659.37479758146</c:v>
                </c:pt>
                <c:pt idx="84">
                  <c:v>106684.22529047751</c:v>
                </c:pt>
                <c:pt idx="85">
                  <c:v>106709.07578337357</c:v>
                </c:pt>
                <c:pt idx="86">
                  <c:v>106733.92627626963</c:v>
                </c:pt>
                <c:pt idx="87">
                  <c:v>106758.77676916568</c:v>
                </c:pt>
                <c:pt idx="88">
                  <c:v>106783.62726206172</c:v>
                </c:pt>
                <c:pt idx="89">
                  <c:v>106808.47775495778</c:v>
                </c:pt>
                <c:pt idx="90">
                  <c:v>106833.32824785385</c:v>
                </c:pt>
                <c:pt idx="91">
                  <c:v>106858.17874074989</c:v>
                </c:pt>
                <c:pt idx="92">
                  <c:v>106883.02923364595</c:v>
                </c:pt>
                <c:pt idx="93">
                  <c:v>106907.879726542</c:v>
                </c:pt>
                <c:pt idx="94">
                  <c:v>106932.73021943806</c:v>
                </c:pt>
                <c:pt idx="95">
                  <c:v>106957.58071233411</c:v>
                </c:pt>
                <c:pt idx="96">
                  <c:v>106982.43120523017</c:v>
                </c:pt>
                <c:pt idx="97">
                  <c:v>107007.28169812621</c:v>
                </c:pt>
                <c:pt idx="98">
                  <c:v>107032.13219102228</c:v>
                </c:pt>
                <c:pt idx="99">
                  <c:v>107056.98268391832</c:v>
                </c:pt>
                <c:pt idx="100">
                  <c:v>107081.83317681438</c:v>
                </c:pt>
                <c:pt idx="101">
                  <c:v>107106.68366971043</c:v>
                </c:pt>
                <c:pt idx="102">
                  <c:v>107131.53416260649</c:v>
                </c:pt>
                <c:pt idx="103">
                  <c:v>107156.38465550254</c:v>
                </c:pt>
                <c:pt idx="104">
                  <c:v>107181.2351483986</c:v>
                </c:pt>
                <c:pt idx="105">
                  <c:v>107206.08564129465</c:v>
                </c:pt>
                <c:pt idx="106">
                  <c:v>107230.93613419071</c:v>
                </c:pt>
                <c:pt idx="107">
                  <c:v>107255.78662708675</c:v>
                </c:pt>
                <c:pt idx="108">
                  <c:v>107280.63711998281</c:v>
                </c:pt>
                <c:pt idx="109">
                  <c:v>107305.48761287886</c:v>
                </c:pt>
                <c:pt idx="110">
                  <c:v>107330.33810577492</c:v>
                </c:pt>
                <c:pt idx="111">
                  <c:v>107355.18859867097</c:v>
                </c:pt>
                <c:pt idx="112">
                  <c:v>107380.03909156703</c:v>
                </c:pt>
                <c:pt idx="113">
                  <c:v>107404.88958446308</c:v>
                </c:pt>
                <c:pt idx="114">
                  <c:v>107429.74007735914</c:v>
                </c:pt>
                <c:pt idx="115">
                  <c:v>107454.5905702552</c:v>
                </c:pt>
                <c:pt idx="116">
                  <c:v>107479.44106315124</c:v>
                </c:pt>
                <c:pt idx="117">
                  <c:v>107504.2915560473</c:v>
                </c:pt>
                <c:pt idx="118">
                  <c:v>107529.14204894335</c:v>
                </c:pt>
                <c:pt idx="119">
                  <c:v>107553.99254183941</c:v>
                </c:pt>
                <c:pt idx="120">
                  <c:v>107578.84303473546</c:v>
                </c:pt>
                <c:pt idx="121">
                  <c:v>107603.69352763152</c:v>
                </c:pt>
                <c:pt idx="122">
                  <c:v>107628.54402052757</c:v>
                </c:pt>
                <c:pt idx="123">
                  <c:v>107653.39451342363</c:v>
                </c:pt>
                <c:pt idx="124">
                  <c:v>107678.24500631967</c:v>
                </c:pt>
                <c:pt idx="125">
                  <c:v>107703.09549921573</c:v>
                </c:pt>
                <c:pt idx="126">
                  <c:v>107727.94599211178</c:v>
                </c:pt>
                <c:pt idx="127">
                  <c:v>107752.79648500784</c:v>
                </c:pt>
                <c:pt idx="128">
                  <c:v>107777.64697790389</c:v>
                </c:pt>
                <c:pt idx="129">
                  <c:v>107802.49747079995</c:v>
                </c:pt>
                <c:pt idx="130">
                  <c:v>107827.347963696</c:v>
                </c:pt>
                <c:pt idx="131">
                  <c:v>107852.19845659206</c:v>
                </c:pt>
                <c:pt idx="132">
                  <c:v>107877.0489494881</c:v>
                </c:pt>
                <c:pt idx="133">
                  <c:v>107901.89944238417</c:v>
                </c:pt>
                <c:pt idx="134">
                  <c:v>107926.74993528021</c:v>
                </c:pt>
                <c:pt idx="135">
                  <c:v>107951.60042817627</c:v>
                </c:pt>
                <c:pt idx="136">
                  <c:v>107976.45092107232</c:v>
                </c:pt>
                <c:pt idx="137">
                  <c:v>108001.30141396838</c:v>
                </c:pt>
                <c:pt idx="138">
                  <c:v>108026.15190686443</c:v>
                </c:pt>
                <c:pt idx="139">
                  <c:v>108051.00239976049</c:v>
                </c:pt>
                <c:pt idx="140">
                  <c:v>108075.85289265655</c:v>
                </c:pt>
                <c:pt idx="141">
                  <c:v>108100.7033855526</c:v>
                </c:pt>
                <c:pt idx="142">
                  <c:v>108125.55387844866</c:v>
                </c:pt>
                <c:pt idx="143">
                  <c:v>108150.4043713447</c:v>
                </c:pt>
                <c:pt idx="144">
                  <c:v>108175.25486424076</c:v>
                </c:pt>
                <c:pt idx="145">
                  <c:v>108200.10535713681</c:v>
                </c:pt>
                <c:pt idx="146">
                  <c:v>108224.95585003287</c:v>
                </c:pt>
                <c:pt idx="147">
                  <c:v>108249.80634292892</c:v>
                </c:pt>
                <c:pt idx="148">
                  <c:v>108274.65683582498</c:v>
                </c:pt>
                <c:pt idx="149">
                  <c:v>108299.50732872103</c:v>
                </c:pt>
                <c:pt idx="150">
                  <c:v>108324.35782161709</c:v>
                </c:pt>
                <c:pt idx="151">
                  <c:v>108349.20831451313</c:v>
                </c:pt>
                <c:pt idx="152">
                  <c:v>108374.05880740919</c:v>
                </c:pt>
                <c:pt idx="153">
                  <c:v>108398.90930030524</c:v>
                </c:pt>
                <c:pt idx="154">
                  <c:v>108423.7597932013</c:v>
                </c:pt>
                <c:pt idx="155">
                  <c:v>108448.61028609735</c:v>
                </c:pt>
                <c:pt idx="156">
                  <c:v>108473.46077899341</c:v>
                </c:pt>
                <c:pt idx="157">
                  <c:v>108498.31127188946</c:v>
                </c:pt>
                <c:pt idx="158">
                  <c:v>108523.16176478552</c:v>
                </c:pt>
                <c:pt idx="159">
                  <c:v>108548.01225768156</c:v>
                </c:pt>
                <c:pt idx="160">
                  <c:v>108572.86275057762</c:v>
                </c:pt>
                <c:pt idx="161">
                  <c:v>108597.71324347367</c:v>
                </c:pt>
                <c:pt idx="162">
                  <c:v>108622.56373636973</c:v>
                </c:pt>
                <c:pt idx="163">
                  <c:v>108647.41422926579</c:v>
                </c:pt>
                <c:pt idx="164">
                  <c:v>108672.26472216184</c:v>
                </c:pt>
                <c:pt idx="165">
                  <c:v>108697.11521505789</c:v>
                </c:pt>
                <c:pt idx="166">
                  <c:v>108721.96570795395</c:v>
                </c:pt>
                <c:pt idx="167">
                  <c:v>108746.81620085001</c:v>
                </c:pt>
                <c:pt idx="168">
                  <c:v>108771.66669374605</c:v>
                </c:pt>
                <c:pt idx="169">
                  <c:v>108796.51718664212</c:v>
                </c:pt>
                <c:pt idx="170">
                  <c:v>108821.36767953816</c:v>
                </c:pt>
                <c:pt idx="171">
                  <c:v>108846.21817243422</c:v>
                </c:pt>
                <c:pt idx="172">
                  <c:v>108871.06866533027</c:v>
                </c:pt>
                <c:pt idx="173">
                  <c:v>108895.91915822633</c:v>
                </c:pt>
                <c:pt idx="174">
                  <c:v>108920.76965112238</c:v>
                </c:pt>
                <c:pt idx="175">
                  <c:v>108945.62014401844</c:v>
                </c:pt>
                <c:pt idx="176">
                  <c:v>108970.47063691448</c:v>
                </c:pt>
                <c:pt idx="177">
                  <c:v>108995.32112981055</c:v>
                </c:pt>
                <c:pt idx="178">
                  <c:v>109020.17162270659</c:v>
                </c:pt>
                <c:pt idx="179">
                  <c:v>109045.02211560265</c:v>
                </c:pt>
                <c:pt idx="180">
                  <c:v>109069.8726084987</c:v>
                </c:pt>
                <c:pt idx="181">
                  <c:v>109094.72310139476</c:v>
                </c:pt>
                <c:pt idx="182">
                  <c:v>109119.57359429081</c:v>
                </c:pt>
                <c:pt idx="183">
                  <c:v>109144.42408718687</c:v>
                </c:pt>
                <c:pt idx="184">
                  <c:v>109169.27458008291</c:v>
                </c:pt>
                <c:pt idx="185">
                  <c:v>109194.12507297898</c:v>
                </c:pt>
                <c:pt idx="186">
                  <c:v>109218.97556587502</c:v>
                </c:pt>
                <c:pt idx="187">
                  <c:v>109243.82605877108</c:v>
                </c:pt>
                <c:pt idx="188">
                  <c:v>109268.67655166713</c:v>
                </c:pt>
                <c:pt idx="189">
                  <c:v>109293.52704456319</c:v>
                </c:pt>
                <c:pt idx="190">
                  <c:v>109318.37753745925</c:v>
                </c:pt>
                <c:pt idx="191">
                  <c:v>109343.2280303553</c:v>
                </c:pt>
                <c:pt idx="192">
                  <c:v>109368.07852325134</c:v>
                </c:pt>
                <c:pt idx="193">
                  <c:v>109392.92901614741</c:v>
                </c:pt>
                <c:pt idx="194">
                  <c:v>109417.77950904347</c:v>
                </c:pt>
                <c:pt idx="195">
                  <c:v>109442.63000193951</c:v>
                </c:pt>
                <c:pt idx="196">
                  <c:v>109467.48049483557</c:v>
                </c:pt>
                <c:pt idx="197">
                  <c:v>109492.33098773162</c:v>
                </c:pt>
                <c:pt idx="198">
                  <c:v>109517.18148062768</c:v>
                </c:pt>
                <c:pt idx="199">
                  <c:v>109542.03197352373</c:v>
                </c:pt>
                <c:pt idx="200">
                  <c:v>109566.88246641979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4-794C-A62C-DEAB5AAC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404927"/>
        <c:axId val="1750832591"/>
      </c:lineChart>
      <c:catAx>
        <c:axId val="17504049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0832591"/>
        <c:crosses val="autoZero"/>
        <c:auto val="1"/>
        <c:lblAlgn val="ctr"/>
        <c:lblOffset val="100"/>
        <c:noMultiLvlLbl val="0"/>
      </c:catAx>
      <c:valAx>
        <c:axId val="17508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04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303068</xdr:colOff>
      <xdr:row>45</xdr:row>
      <xdr:rowOff>86591</xdr:rowOff>
    </xdr:from>
    <xdr:to>
      <xdr:col>41</xdr:col>
      <xdr:colOff>548409</xdr:colOff>
      <xdr:row>72</xdr:row>
      <xdr:rowOff>32470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01B093-C376-924E-AD75-205C7A160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58863" y="10795000"/>
          <a:ext cx="10982614" cy="58484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6814</xdr:colOff>
      <xdr:row>5</xdr:row>
      <xdr:rowOff>78395</xdr:rowOff>
    </xdr:from>
    <xdr:to>
      <xdr:col>36</xdr:col>
      <xdr:colOff>31358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198BF-73BE-B448-A258-915EC552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758902</xdr:colOff>
      <xdr:row>33</xdr:row>
      <xdr:rowOff>38053</xdr:rowOff>
    </xdr:from>
    <xdr:to>
      <xdr:col>26</xdr:col>
      <xdr:colOff>214351</xdr:colOff>
      <xdr:row>62</xdr:row>
      <xdr:rowOff>200412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543CF4-97AE-6544-BD0A-6369D48D8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77317" y="6899151"/>
          <a:ext cx="9692888" cy="6001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273538</xdr:colOff>
      <xdr:row>33</xdr:row>
      <xdr:rowOff>32060</xdr:rowOff>
    </xdr:from>
    <xdr:to>
      <xdr:col>13</xdr:col>
      <xdr:colOff>1446836</xdr:colOff>
      <xdr:row>64</xdr:row>
      <xdr:rowOff>78153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57165-1E36-3E42-9C43-7BD75730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14598</xdr:rowOff>
    </xdr:from>
    <xdr:to>
      <xdr:col>5</xdr:col>
      <xdr:colOff>1605746</xdr:colOff>
      <xdr:row>31</xdr:row>
      <xdr:rowOff>72989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4D56B-3C0B-1D4F-993E-B18806AA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202907</xdr:colOff>
      <xdr:row>0</xdr:row>
      <xdr:rowOff>0</xdr:rowOff>
    </xdr:from>
    <xdr:to>
      <xdr:col>12</xdr:col>
      <xdr:colOff>131379</xdr:colOff>
      <xdr:row>31</xdr:row>
      <xdr:rowOff>72989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061E1-0233-1A45-B6A0-1B11A6C5D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48</xdr:row>
      <xdr:rowOff>152400</xdr:rowOff>
    </xdr:from>
    <xdr:to>
      <xdr:col>9</xdr:col>
      <xdr:colOff>1143000</xdr:colOff>
      <xdr:row>71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218D2-E2CC-654C-9B6E-C6AEF853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01DD8-A4D7-4140-85EC-8690B50181E9}">
  <dimension ref="A1:BO126"/>
  <sheetViews>
    <sheetView zoomScale="125" zoomScaleNormal="88" workbookViewId="0">
      <selection activeCell="A5" sqref="A5:H5"/>
    </sheetView>
  </sheetViews>
  <sheetFormatPr baseColWidth="10" defaultRowHeight="16"/>
  <cols>
    <col min="31" max="31" width="22.1640625" customWidth="1"/>
  </cols>
  <sheetData>
    <row r="1" spans="1:67">
      <c r="A1" s="901" t="s">
        <v>33</v>
      </c>
      <c r="B1" s="901"/>
      <c r="C1" s="901"/>
      <c r="D1" s="901"/>
      <c r="E1" s="901"/>
      <c r="F1" s="901"/>
      <c r="G1" s="901"/>
      <c r="H1" s="901"/>
    </row>
    <row r="2" spans="1:67">
      <c r="A2" s="901"/>
      <c r="B2" s="901"/>
      <c r="C2" s="901"/>
      <c r="D2" s="901"/>
      <c r="E2" s="901"/>
      <c r="F2" s="901"/>
      <c r="G2" s="901"/>
      <c r="H2" s="901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>
      <c r="A3" s="901"/>
      <c r="B3" s="901"/>
      <c r="C3" s="901"/>
      <c r="D3" s="901"/>
      <c r="E3" s="901"/>
      <c r="F3" s="901"/>
      <c r="G3" s="901"/>
      <c r="H3" s="901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ht="17" thickBot="1">
      <c r="A4" s="902" t="s">
        <v>429</v>
      </c>
      <c r="B4" s="902"/>
      <c r="C4" s="902"/>
      <c r="D4" s="902"/>
      <c r="E4" s="902"/>
      <c r="F4" s="902"/>
      <c r="G4" s="902"/>
      <c r="H4" s="902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7" ht="37" customHeight="1" thickBot="1">
      <c r="A5" s="903" t="s">
        <v>384</v>
      </c>
      <c r="B5" s="903"/>
      <c r="C5" s="903"/>
      <c r="D5" s="903"/>
      <c r="E5" s="903"/>
      <c r="F5" s="903"/>
      <c r="G5" s="903"/>
      <c r="H5" s="903"/>
      <c r="I5" s="824" t="s">
        <v>35</v>
      </c>
      <c r="J5" s="907"/>
      <c r="K5" s="907"/>
      <c r="L5" s="908"/>
      <c r="M5" s="824" t="s">
        <v>38</v>
      </c>
      <c r="N5" s="836"/>
      <c r="O5" s="836"/>
      <c r="P5" s="825"/>
      <c r="Q5" s="824" t="s">
        <v>36</v>
      </c>
      <c r="R5" s="836"/>
      <c r="S5" s="836"/>
      <c r="T5" s="825"/>
      <c r="U5" s="824" t="s">
        <v>37</v>
      </c>
      <c r="V5" s="836"/>
      <c r="W5" s="836"/>
      <c r="X5" s="825"/>
      <c r="Y5" s="824" t="s">
        <v>39</v>
      </c>
      <c r="Z5" s="836"/>
      <c r="AA5" s="836"/>
      <c r="AB5" s="825"/>
      <c r="AE5" s="844" t="s">
        <v>41</v>
      </c>
      <c r="AF5" s="845"/>
      <c r="AG5" s="846"/>
      <c r="AH5" s="550" t="s">
        <v>42</v>
      </c>
      <c r="AI5" s="550" t="s">
        <v>43</v>
      </c>
      <c r="AJ5" s="550" t="s">
        <v>44</v>
      </c>
      <c r="AK5" s="550" t="s">
        <v>45</v>
      </c>
      <c r="AL5" s="550" t="s">
        <v>46</v>
      </c>
      <c r="AM5" s="551" t="s">
        <v>47</v>
      </c>
      <c r="AN5" s="847" t="s">
        <v>48</v>
      </c>
      <c r="AO5" s="848"/>
      <c r="AP5" s="848"/>
      <c r="AQ5" s="849"/>
      <c r="AT5" s="5"/>
      <c r="AU5" s="16"/>
      <c r="AV5" s="17"/>
      <c r="AW5" s="17"/>
      <c r="AX5" s="5"/>
      <c r="AY5" s="16"/>
      <c r="AZ5" s="17"/>
      <c r="BA5" s="17"/>
      <c r="BB5" s="16"/>
      <c r="BC5" s="5"/>
      <c r="BD5" s="16"/>
      <c r="BE5" s="17"/>
      <c r="BF5" s="17"/>
      <c r="BG5" s="16"/>
      <c r="BH5" s="6"/>
      <c r="BI5" s="6"/>
      <c r="BJ5" s="6"/>
    </row>
    <row r="6" spans="1:67" ht="17" thickBot="1">
      <c r="A6" s="904" t="s">
        <v>383</v>
      </c>
      <c r="B6" s="904"/>
      <c r="C6" s="904"/>
      <c r="D6" s="904"/>
      <c r="E6" s="904"/>
      <c r="F6" s="904"/>
      <c r="G6" s="904"/>
      <c r="H6" s="904"/>
      <c r="I6" s="909"/>
      <c r="J6" s="910"/>
      <c r="K6" s="910"/>
      <c r="L6" s="911"/>
      <c r="M6" s="912"/>
      <c r="N6" s="913"/>
      <c r="O6" s="913"/>
      <c r="P6" s="914"/>
      <c r="Q6" s="826"/>
      <c r="R6" s="837"/>
      <c r="S6" s="837"/>
      <c r="T6" s="827"/>
      <c r="U6" s="826"/>
      <c r="V6" s="837"/>
      <c r="W6" s="837"/>
      <c r="X6" s="827"/>
      <c r="Y6" s="826"/>
      <c r="Z6" s="837"/>
      <c r="AA6" s="837"/>
      <c r="AB6" s="827"/>
      <c r="AE6" s="806" t="s">
        <v>52</v>
      </c>
      <c r="AF6" s="807"/>
      <c r="AG6" s="808"/>
      <c r="AH6" s="656">
        <v>6.7460000000000006E-2</v>
      </c>
      <c r="AI6" s="657">
        <v>7.6100000000000001E-2</v>
      </c>
      <c r="AJ6" s="656">
        <v>0.16853299999999999</v>
      </c>
      <c r="AK6" s="656">
        <v>0.111369</v>
      </c>
      <c r="AL6" s="656">
        <v>0.15732099999999999</v>
      </c>
      <c r="AM6" s="658">
        <v>7.0092000000000002E-2</v>
      </c>
      <c r="AN6" s="850" t="s">
        <v>53</v>
      </c>
      <c r="AO6" s="851"/>
      <c r="AP6" s="852"/>
      <c r="AQ6" s="659">
        <f>AVERAGE(AJ6:AM6,AH6)</f>
        <v>0.11495499999999999</v>
      </c>
      <c r="AT6" s="771" t="s">
        <v>87</v>
      </c>
      <c r="AU6" s="771"/>
      <c r="AV6" s="771"/>
      <c r="AW6" s="771"/>
      <c r="AX6" s="771"/>
      <c r="AY6" s="8"/>
      <c r="AZ6" s="8"/>
      <c r="BA6" s="8"/>
      <c r="BB6" s="8"/>
      <c r="BC6" s="10"/>
      <c r="BD6" s="8"/>
      <c r="BE6" s="8"/>
      <c r="BF6" s="8"/>
      <c r="BG6" s="8"/>
      <c r="BH6" s="6"/>
      <c r="BI6" s="6"/>
      <c r="BJ6" s="6"/>
    </row>
    <row r="7" spans="1:67" ht="19">
      <c r="A7" s="905" t="s">
        <v>4</v>
      </c>
      <c r="B7" s="906"/>
      <c r="C7" s="906"/>
      <c r="D7" s="906"/>
      <c r="E7" s="906"/>
      <c r="F7" s="906"/>
      <c r="G7" s="906"/>
      <c r="H7" s="906"/>
      <c r="I7" s="890"/>
      <c r="J7" s="891"/>
      <c r="K7" s="891"/>
      <c r="L7" s="892"/>
      <c r="M7" s="883"/>
      <c r="N7" s="884"/>
      <c r="O7" s="884"/>
      <c r="P7" s="884"/>
      <c r="Q7" s="880"/>
      <c r="R7" s="881"/>
      <c r="S7" s="881"/>
      <c r="T7" s="882"/>
      <c r="U7" s="883"/>
      <c r="V7" s="884"/>
      <c r="W7" s="884"/>
      <c r="X7" s="884"/>
      <c r="Y7" s="880"/>
      <c r="Z7" s="881"/>
      <c r="AA7" s="881"/>
      <c r="AB7" s="882"/>
      <c r="AE7" s="806" t="s">
        <v>62</v>
      </c>
      <c r="AF7" s="807"/>
      <c r="AG7" s="808"/>
      <c r="AH7" s="656">
        <v>6.8065000000000001E-2</v>
      </c>
      <c r="AI7" s="657">
        <v>0.156804</v>
      </c>
      <c r="AJ7" s="656">
        <v>7.5775999999999996E-2</v>
      </c>
      <c r="AK7" s="656">
        <v>6.5681000000000003E-2</v>
      </c>
      <c r="AL7" s="656">
        <v>0.150084</v>
      </c>
      <c r="AM7" s="658">
        <v>5.5272000000000002E-2</v>
      </c>
      <c r="AN7" s="809" t="s">
        <v>63</v>
      </c>
      <c r="AO7" s="810"/>
      <c r="AP7" s="811"/>
      <c r="AQ7" s="660">
        <f>AVERAGE(AJ7:AM7,AH7)</f>
        <v>8.2975599999999997E-2</v>
      </c>
      <c r="AT7" s="7"/>
      <c r="AU7" s="11"/>
      <c r="AV7" s="11"/>
      <c r="AW7" s="11"/>
      <c r="AX7" s="9"/>
      <c r="AY7" s="11"/>
      <c r="AZ7" s="11"/>
      <c r="BA7" s="11"/>
      <c r="BB7" s="11"/>
      <c r="BC7" s="10"/>
      <c r="BD7" s="11"/>
      <c r="BE7" s="10"/>
      <c r="BF7" s="10"/>
      <c r="BG7" s="10"/>
      <c r="BH7" s="6"/>
      <c r="BI7" s="6"/>
      <c r="BJ7" s="6"/>
    </row>
    <row r="8" spans="1:67" ht="18">
      <c r="A8" s="862" t="s">
        <v>5</v>
      </c>
      <c r="B8" s="863"/>
      <c r="C8" s="863"/>
      <c r="D8" s="863"/>
      <c r="E8" s="863"/>
      <c r="F8" s="863"/>
      <c r="G8" s="863"/>
      <c r="H8" s="863"/>
      <c r="I8" s="853">
        <v>30095</v>
      </c>
      <c r="J8" s="854"/>
      <c r="K8" s="854"/>
      <c r="L8" s="855"/>
      <c r="M8" s="853">
        <v>10244</v>
      </c>
      <c r="N8" s="854"/>
      <c r="O8" s="854"/>
      <c r="P8" s="854"/>
      <c r="Q8" s="853">
        <v>36193</v>
      </c>
      <c r="R8" s="854"/>
      <c r="S8" s="854"/>
      <c r="T8" s="855"/>
      <c r="U8" s="853">
        <v>66501</v>
      </c>
      <c r="V8" s="854"/>
      <c r="W8" s="854"/>
      <c r="X8" s="854"/>
      <c r="Y8" s="853">
        <v>27058</v>
      </c>
      <c r="Z8" s="854"/>
      <c r="AA8" s="854"/>
      <c r="AB8" s="855"/>
      <c r="AE8" s="812" t="s">
        <v>68</v>
      </c>
      <c r="AF8" s="813"/>
      <c r="AG8" s="814"/>
      <c r="AH8" s="656">
        <v>6.5922999999999995E-2</v>
      </c>
      <c r="AI8" s="656">
        <v>9.8965999999999998E-2</v>
      </c>
      <c r="AJ8" s="656">
        <v>6.9651000000000005E-2</v>
      </c>
      <c r="AK8" s="656">
        <v>4.7716000000000001E-2</v>
      </c>
      <c r="AL8" s="656">
        <v>7.2184999999999999E-2</v>
      </c>
      <c r="AM8" s="658">
        <v>5.2528999999999999E-2</v>
      </c>
      <c r="AN8" s="809" t="s">
        <v>69</v>
      </c>
      <c r="AO8" s="810"/>
      <c r="AP8" s="811"/>
      <c r="AQ8" s="660">
        <f>AVERAGE(AH8,AJ8:AM8)</f>
        <v>6.1600799999999997E-2</v>
      </c>
      <c r="AT8" s="5"/>
      <c r="AU8" s="7"/>
      <c r="AV8" s="12"/>
      <c r="AW8" s="12"/>
      <c r="AX8" s="12"/>
      <c r="AY8" s="13"/>
      <c r="AZ8" s="13"/>
      <c r="BA8" s="12"/>
      <c r="BB8" s="13"/>
      <c r="BC8" s="5"/>
      <c r="BD8" s="14"/>
      <c r="BE8" s="14"/>
      <c r="BF8" s="14"/>
      <c r="BG8" s="14"/>
      <c r="BH8" s="6"/>
      <c r="BI8" s="6"/>
      <c r="BJ8" s="6"/>
    </row>
    <row r="9" spans="1:67" ht="19" thickBot="1">
      <c r="A9" s="862" t="s">
        <v>6</v>
      </c>
      <c r="B9" s="863"/>
      <c r="C9" s="863"/>
      <c r="D9" s="863"/>
      <c r="E9" s="863"/>
      <c r="F9" s="863"/>
      <c r="G9" s="863"/>
      <c r="H9" s="863"/>
      <c r="I9" s="853" t="s">
        <v>34</v>
      </c>
      <c r="J9" s="854"/>
      <c r="K9" s="854"/>
      <c r="L9" s="855"/>
      <c r="M9" s="865" t="s">
        <v>34</v>
      </c>
      <c r="N9" s="866"/>
      <c r="O9" s="866"/>
      <c r="P9" s="866"/>
      <c r="Q9" s="853" t="s">
        <v>34</v>
      </c>
      <c r="R9" s="854"/>
      <c r="S9" s="854"/>
      <c r="T9" s="855"/>
      <c r="U9" s="853" t="s">
        <v>34</v>
      </c>
      <c r="V9" s="854"/>
      <c r="W9" s="854"/>
      <c r="X9" s="854"/>
      <c r="Y9" s="865" t="s">
        <v>34</v>
      </c>
      <c r="Z9" s="866"/>
      <c r="AA9" s="866"/>
      <c r="AB9" s="867"/>
      <c r="AE9" s="838" t="s">
        <v>3</v>
      </c>
      <c r="AF9" s="839"/>
      <c r="AG9" s="840"/>
      <c r="AH9" s="661">
        <v>0.27662700000000001</v>
      </c>
      <c r="AI9" s="661">
        <v>0.13708500000000001</v>
      </c>
      <c r="AJ9" s="661">
        <v>0.185533</v>
      </c>
      <c r="AK9" s="661">
        <v>0.25056699999999998</v>
      </c>
      <c r="AL9" s="661">
        <v>0.22661500000000001</v>
      </c>
      <c r="AM9" s="662">
        <v>0.26278699999999999</v>
      </c>
      <c r="AN9" s="841" t="s">
        <v>71</v>
      </c>
      <c r="AO9" s="842"/>
      <c r="AP9" s="843"/>
      <c r="AQ9" s="663">
        <f>AVERAGE(AH9,AJ9:AM9)</f>
        <v>0.2404258</v>
      </c>
      <c r="AT9" s="5"/>
      <c r="AU9" s="7"/>
      <c r="AV9" s="12"/>
      <c r="AW9" s="12"/>
      <c r="AX9" s="12"/>
      <c r="AY9" s="13"/>
      <c r="AZ9" s="12"/>
      <c r="BA9" s="12"/>
      <c r="BB9" s="12"/>
      <c r="BC9" s="5"/>
      <c r="BD9" s="14"/>
      <c r="BE9" s="14"/>
      <c r="BF9" s="14"/>
      <c r="BG9" s="14"/>
      <c r="BH9" s="6"/>
      <c r="BI9" s="6"/>
      <c r="BJ9" s="6"/>
    </row>
    <row r="10" spans="1:67" ht="18">
      <c r="A10" s="893" t="s">
        <v>7</v>
      </c>
      <c r="B10" s="894"/>
      <c r="C10" s="894"/>
      <c r="D10" s="894"/>
      <c r="E10" s="894"/>
      <c r="F10" s="894"/>
      <c r="G10" s="894"/>
      <c r="H10" s="894"/>
      <c r="I10" s="856">
        <v>30095</v>
      </c>
      <c r="J10" s="857"/>
      <c r="K10" s="857"/>
      <c r="L10" s="858"/>
      <c r="M10" s="859">
        <v>10244</v>
      </c>
      <c r="N10" s="860"/>
      <c r="O10" s="860"/>
      <c r="P10" s="860"/>
      <c r="Q10" s="856">
        <v>36193</v>
      </c>
      <c r="R10" s="857"/>
      <c r="S10" s="857"/>
      <c r="T10" s="858"/>
      <c r="U10" s="856">
        <v>66501</v>
      </c>
      <c r="V10" s="857"/>
      <c r="W10" s="857"/>
      <c r="X10" s="857"/>
      <c r="Y10" s="859">
        <v>27058</v>
      </c>
      <c r="Z10" s="860"/>
      <c r="AA10" s="860"/>
      <c r="AB10" s="861"/>
      <c r="AU10" s="5"/>
      <c r="AV10" s="7"/>
      <c r="AW10" s="12"/>
      <c r="AX10" s="12"/>
      <c r="AY10" s="12"/>
      <c r="AZ10" s="12"/>
      <c r="BA10" s="12"/>
      <c r="BB10" s="12"/>
      <c r="BC10" s="12"/>
      <c r="BD10" s="5"/>
      <c r="BE10" s="14"/>
      <c r="BF10" s="14"/>
      <c r="BG10" s="14"/>
      <c r="BH10" s="14"/>
      <c r="BI10" s="6"/>
      <c r="BJ10" s="6"/>
      <c r="BK10" s="6"/>
    </row>
    <row r="11" spans="1:67" ht="18">
      <c r="A11" s="862"/>
      <c r="B11" s="863"/>
      <c r="C11" s="863"/>
      <c r="D11" s="863"/>
      <c r="E11" s="863"/>
      <c r="F11" s="863"/>
      <c r="G11" s="863"/>
      <c r="H11" s="863"/>
      <c r="I11" s="862"/>
      <c r="J11" s="863"/>
      <c r="K11" s="863"/>
      <c r="L11" s="864"/>
      <c r="M11" s="862"/>
      <c r="N11" s="863"/>
      <c r="O11" s="863"/>
      <c r="P11" s="863"/>
      <c r="Q11" s="862"/>
      <c r="R11" s="863"/>
      <c r="S11" s="863"/>
      <c r="T11" s="864"/>
      <c r="U11" s="862"/>
      <c r="V11" s="863"/>
      <c r="W11" s="863"/>
      <c r="X11" s="863"/>
      <c r="Y11" s="862"/>
      <c r="Z11" s="863"/>
      <c r="AA11" s="863"/>
      <c r="AB11" s="864"/>
      <c r="AU11" s="5"/>
      <c r="AV11" s="7"/>
      <c r="AW11" s="12"/>
      <c r="AX11" s="12"/>
      <c r="AY11" s="12"/>
      <c r="AZ11" s="12"/>
      <c r="BA11" s="12"/>
      <c r="BB11" s="13"/>
      <c r="BC11" s="12"/>
      <c r="BD11" s="5"/>
      <c r="BE11" s="14"/>
      <c r="BF11" s="14"/>
      <c r="BG11" s="14"/>
      <c r="BH11" s="14"/>
      <c r="BI11" s="6"/>
      <c r="BJ11" s="6"/>
      <c r="BK11" s="6"/>
    </row>
    <row r="12" spans="1:67" ht="18">
      <c r="A12" s="862" t="s">
        <v>8</v>
      </c>
      <c r="B12" s="863"/>
      <c r="C12" s="863"/>
      <c r="D12" s="863"/>
      <c r="E12" s="863"/>
      <c r="F12" s="863"/>
      <c r="G12" s="863"/>
      <c r="H12" s="863"/>
      <c r="I12" s="853">
        <v>23275</v>
      </c>
      <c r="J12" s="854"/>
      <c r="K12" s="854"/>
      <c r="L12" s="855"/>
      <c r="M12" s="865">
        <v>7552</v>
      </c>
      <c r="N12" s="866"/>
      <c r="O12" s="866"/>
      <c r="P12" s="866"/>
      <c r="Q12" s="853">
        <v>29478</v>
      </c>
      <c r="R12" s="854"/>
      <c r="S12" s="854"/>
      <c r="T12" s="855"/>
      <c r="U12" s="853">
        <v>49838</v>
      </c>
      <c r="V12" s="854"/>
      <c r="W12" s="854"/>
      <c r="X12" s="854"/>
      <c r="Y12" s="865">
        <v>19573</v>
      </c>
      <c r="Z12" s="866"/>
      <c r="AA12" s="866"/>
      <c r="AB12" s="867"/>
      <c r="AU12" s="5"/>
      <c r="AV12" s="7"/>
      <c r="AW12" s="13"/>
      <c r="AX12" s="12"/>
      <c r="AY12" s="12"/>
      <c r="AZ12" s="12"/>
      <c r="BA12" s="12"/>
      <c r="BB12" s="12"/>
      <c r="BC12" s="12"/>
      <c r="BD12" s="5"/>
      <c r="BE12" s="14"/>
      <c r="BF12" s="14"/>
      <c r="BG12" s="14"/>
      <c r="BH12" s="14"/>
      <c r="BI12" s="6"/>
      <c r="BJ12" s="6"/>
      <c r="BK12" s="6"/>
    </row>
    <row r="13" spans="1:67" ht="18">
      <c r="A13" s="893" t="s">
        <v>9</v>
      </c>
      <c r="B13" s="894"/>
      <c r="C13" s="894"/>
      <c r="D13" s="894"/>
      <c r="E13" s="894"/>
      <c r="F13" s="894"/>
      <c r="G13" s="894"/>
      <c r="H13" s="894"/>
      <c r="I13" s="856">
        <v>6820</v>
      </c>
      <c r="J13" s="857"/>
      <c r="K13" s="857"/>
      <c r="L13" s="858"/>
      <c r="M13" s="859">
        <v>2692</v>
      </c>
      <c r="N13" s="860"/>
      <c r="O13" s="860"/>
      <c r="P13" s="860"/>
      <c r="Q13" s="856">
        <v>6715</v>
      </c>
      <c r="R13" s="857"/>
      <c r="S13" s="857"/>
      <c r="T13" s="858"/>
      <c r="U13" s="856">
        <v>16663</v>
      </c>
      <c r="V13" s="857"/>
      <c r="W13" s="857"/>
      <c r="X13" s="857"/>
      <c r="Y13" s="859">
        <v>7485</v>
      </c>
      <c r="Z13" s="860"/>
      <c r="AA13" s="860"/>
      <c r="AB13" s="861"/>
      <c r="AU13" s="5"/>
      <c r="AV13" s="7"/>
      <c r="AW13" s="13"/>
      <c r="AX13" s="12"/>
      <c r="AY13" s="7"/>
      <c r="AZ13" s="12"/>
      <c r="BA13" s="12"/>
      <c r="BB13" s="12"/>
      <c r="BC13" s="12"/>
      <c r="BD13" s="5"/>
      <c r="BE13" s="14"/>
      <c r="BF13" s="14"/>
      <c r="BG13" s="14"/>
      <c r="BH13" s="14"/>
      <c r="BI13" s="6"/>
      <c r="BJ13" s="6"/>
      <c r="BK13" s="6"/>
    </row>
    <row r="14" spans="1:67" ht="18">
      <c r="A14" s="862"/>
      <c r="B14" s="863"/>
      <c r="C14" s="863"/>
      <c r="D14" s="863"/>
      <c r="E14" s="863"/>
      <c r="F14" s="863"/>
      <c r="G14" s="863"/>
      <c r="H14" s="863"/>
      <c r="I14" s="862"/>
      <c r="J14" s="863"/>
      <c r="K14" s="863"/>
      <c r="L14" s="864"/>
      <c r="M14" s="862"/>
      <c r="N14" s="863"/>
      <c r="O14" s="863"/>
      <c r="P14" s="863"/>
      <c r="Q14" s="862"/>
      <c r="R14" s="863"/>
      <c r="S14" s="863"/>
      <c r="T14" s="864"/>
      <c r="U14" s="862"/>
      <c r="V14" s="863"/>
      <c r="W14" s="863"/>
      <c r="X14" s="863"/>
      <c r="Y14" s="862"/>
      <c r="Z14" s="863"/>
      <c r="AA14" s="863"/>
      <c r="AB14" s="864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15"/>
      <c r="BF14" s="15"/>
      <c r="BG14" s="15"/>
      <c r="BH14" s="15"/>
      <c r="BI14" s="6"/>
      <c r="BJ14" s="6"/>
      <c r="BK14" s="6"/>
    </row>
    <row r="15" spans="1:67" ht="18">
      <c r="A15" s="862" t="s">
        <v>10</v>
      </c>
      <c r="B15" s="863"/>
      <c r="C15" s="863"/>
      <c r="D15" s="863"/>
      <c r="E15" s="863"/>
      <c r="F15" s="863"/>
      <c r="G15" s="863"/>
      <c r="H15" s="863"/>
      <c r="I15" s="853">
        <v>2617</v>
      </c>
      <c r="J15" s="854"/>
      <c r="K15" s="854"/>
      <c r="L15" s="855"/>
      <c r="M15" s="853">
        <v>1589</v>
      </c>
      <c r="N15" s="854"/>
      <c r="O15" s="854"/>
      <c r="P15" s="854"/>
      <c r="Q15" s="853">
        <v>2232</v>
      </c>
      <c r="R15" s="854"/>
      <c r="S15" s="854"/>
      <c r="T15" s="855"/>
      <c r="U15" s="853">
        <v>6029</v>
      </c>
      <c r="V15" s="854"/>
      <c r="W15" s="854"/>
      <c r="X15" s="854"/>
      <c r="Y15" s="853">
        <v>4177</v>
      </c>
      <c r="Z15" s="854"/>
      <c r="AA15" s="854"/>
      <c r="AB15" s="855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15"/>
      <c r="BF15" s="15"/>
      <c r="BG15" s="15"/>
      <c r="BH15" s="15"/>
      <c r="BI15" s="6"/>
      <c r="BJ15" s="6"/>
      <c r="BK15" s="6"/>
    </row>
    <row r="16" spans="1:67" ht="19" thickBot="1">
      <c r="A16" s="862" t="s">
        <v>11</v>
      </c>
      <c r="B16" s="863"/>
      <c r="C16" s="863"/>
      <c r="D16" s="863"/>
      <c r="E16" s="863"/>
      <c r="F16" s="863"/>
      <c r="G16" s="863"/>
      <c r="H16" s="863"/>
      <c r="I16" s="853" t="s">
        <v>34</v>
      </c>
      <c r="J16" s="854"/>
      <c r="K16" s="854"/>
      <c r="L16" s="855"/>
      <c r="M16" s="853" t="s">
        <v>34</v>
      </c>
      <c r="N16" s="854"/>
      <c r="O16" s="854"/>
      <c r="P16" s="854"/>
      <c r="Q16" s="853" t="s">
        <v>34</v>
      </c>
      <c r="R16" s="854"/>
      <c r="S16" s="854"/>
      <c r="T16" s="855"/>
      <c r="U16" s="853">
        <v>2462</v>
      </c>
      <c r="V16" s="854"/>
      <c r="W16" s="854"/>
      <c r="X16" s="854"/>
      <c r="Y16" s="853" t="s">
        <v>34</v>
      </c>
      <c r="Z16" s="854"/>
      <c r="AA16" s="854"/>
      <c r="AB16" s="855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9" thickBot="1">
      <c r="A17" s="862" t="s">
        <v>12</v>
      </c>
      <c r="B17" s="863"/>
      <c r="C17" s="863"/>
      <c r="D17" s="863"/>
      <c r="E17" s="863"/>
      <c r="F17" s="863"/>
      <c r="G17" s="863"/>
      <c r="H17" s="863"/>
      <c r="I17" s="853" t="s">
        <v>34</v>
      </c>
      <c r="J17" s="854"/>
      <c r="K17" s="854"/>
      <c r="L17" s="855"/>
      <c r="M17" s="853" t="s">
        <v>34</v>
      </c>
      <c r="N17" s="854"/>
      <c r="O17" s="854"/>
      <c r="P17" s="854"/>
      <c r="Q17" s="853" t="s">
        <v>34</v>
      </c>
      <c r="R17" s="854"/>
      <c r="S17" s="854"/>
      <c r="T17" s="855"/>
      <c r="U17" s="853" t="s">
        <v>34</v>
      </c>
      <c r="V17" s="854"/>
      <c r="W17" s="854"/>
      <c r="X17" s="854"/>
      <c r="Y17" s="853" t="s">
        <v>34</v>
      </c>
      <c r="Z17" s="854"/>
      <c r="AA17" s="854"/>
      <c r="AB17" s="855"/>
      <c r="AE17" s="640"/>
      <c r="AF17" s="898" t="s">
        <v>49</v>
      </c>
      <c r="AG17" s="899"/>
      <c r="AH17" s="900"/>
      <c r="AI17" s="641"/>
      <c r="AJ17" s="898" t="s">
        <v>50</v>
      </c>
      <c r="AK17" s="899"/>
      <c r="AL17" s="899"/>
      <c r="AM17" s="900"/>
      <c r="AN17" s="641"/>
      <c r="AO17" s="898" t="s">
        <v>51</v>
      </c>
      <c r="AP17" s="899"/>
      <c r="AQ17" s="899"/>
      <c r="AR17" s="900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">
      <c r="A18" s="862" t="s">
        <v>13</v>
      </c>
      <c r="B18" s="863"/>
      <c r="C18" s="863"/>
      <c r="D18" s="863"/>
      <c r="E18" s="863"/>
      <c r="F18" s="863"/>
      <c r="G18" s="863"/>
      <c r="H18" s="863"/>
      <c r="I18" s="853" t="s">
        <v>34</v>
      </c>
      <c r="J18" s="854"/>
      <c r="K18" s="854"/>
      <c r="L18" s="855"/>
      <c r="M18" s="853" t="s">
        <v>34</v>
      </c>
      <c r="N18" s="854"/>
      <c r="O18" s="854"/>
      <c r="P18" s="854"/>
      <c r="Q18" s="853" t="s">
        <v>34</v>
      </c>
      <c r="R18" s="854"/>
      <c r="S18" s="854"/>
      <c r="T18" s="855"/>
      <c r="U18" s="853">
        <v>-651</v>
      </c>
      <c r="V18" s="854"/>
      <c r="W18" s="854"/>
      <c r="X18" s="854"/>
      <c r="Y18" s="853" t="s">
        <v>34</v>
      </c>
      <c r="Z18" s="854"/>
      <c r="AA18" s="854"/>
      <c r="AB18" s="855"/>
      <c r="AE18" s="642"/>
      <c r="AF18" s="643" t="s">
        <v>54</v>
      </c>
      <c r="AG18" s="643" t="s">
        <v>55</v>
      </c>
      <c r="AH18" s="643" t="s">
        <v>56</v>
      </c>
      <c r="AI18" s="644"/>
      <c r="AJ18" s="643" t="s">
        <v>5</v>
      </c>
      <c r="AK18" s="643" t="s">
        <v>2</v>
      </c>
      <c r="AL18" s="643" t="s">
        <v>1</v>
      </c>
      <c r="AM18" s="643" t="s">
        <v>57</v>
      </c>
      <c r="AN18" s="645"/>
      <c r="AO18" s="643" t="s">
        <v>58</v>
      </c>
      <c r="AP18" s="643" t="s">
        <v>59</v>
      </c>
      <c r="AQ18" s="643" t="s">
        <v>60</v>
      </c>
      <c r="AR18" s="643" t="s">
        <v>61</v>
      </c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19" thickBot="1">
      <c r="A19" s="862"/>
      <c r="B19" s="863"/>
      <c r="C19" s="863"/>
      <c r="D19" s="863"/>
      <c r="E19" s="863"/>
      <c r="F19" s="863"/>
      <c r="G19" s="863"/>
      <c r="H19" s="863"/>
      <c r="I19" s="862"/>
      <c r="J19" s="863"/>
      <c r="K19" s="863"/>
      <c r="L19" s="864"/>
      <c r="M19" s="868"/>
      <c r="N19" s="869"/>
      <c r="O19" s="869"/>
      <c r="P19" s="869"/>
      <c r="Q19" s="862"/>
      <c r="R19" s="863"/>
      <c r="S19" s="863"/>
      <c r="T19" s="864"/>
      <c r="U19" s="862"/>
      <c r="V19" s="863"/>
      <c r="W19" s="863"/>
      <c r="X19" s="863"/>
      <c r="Y19" s="868"/>
      <c r="Z19" s="869"/>
      <c r="AA19" s="869"/>
      <c r="AB19" s="870"/>
      <c r="AE19" s="642" t="s">
        <v>64</v>
      </c>
      <c r="AF19" s="646" t="s">
        <v>65</v>
      </c>
      <c r="AG19" s="646" t="s">
        <v>66</v>
      </c>
      <c r="AH19" s="646" t="s">
        <v>66</v>
      </c>
      <c r="AI19" s="644"/>
      <c r="AJ19" s="646" t="s">
        <v>66</v>
      </c>
      <c r="AK19" s="646" t="s">
        <v>66</v>
      </c>
      <c r="AL19" s="646" t="s">
        <v>66</v>
      </c>
      <c r="AM19" s="646" t="s">
        <v>66</v>
      </c>
      <c r="AN19" s="645"/>
      <c r="AO19" s="646" t="s">
        <v>67</v>
      </c>
      <c r="AP19" s="647" t="s">
        <v>67</v>
      </c>
      <c r="AQ19" s="647" t="s">
        <v>67</v>
      </c>
      <c r="AR19" s="647" t="s">
        <v>67</v>
      </c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18">
      <c r="A20" s="893" t="s">
        <v>14</v>
      </c>
      <c r="B20" s="894"/>
      <c r="C20" s="894"/>
      <c r="D20" s="894"/>
      <c r="E20" s="894"/>
      <c r="F20" s="894"/>
      <c r="G20" s="894"/>
      <c r="H20" s="894"/>
      <c r="I20" s="856">
        <v>2617</v>
      </c>
      <c r="J20" s="857"/>
      <c r="K20" s="857"/>
      <c r="L20" s="858"/>
      <c r="M20" s="859">
        <v>1589</v>
      </c>
      <c r="N20" s="860"/>
      <c r="O20" s="860"/>
      <c r="P20" s="860"/>
      <c r="Q20" s="856">
        <v>2232</v>
      </c>
      <c r="R20" s="857"/>
      <c r="S20" s="857"/>
      <c r="T20" s="858"/>
      <c r="U20" s="856">
        <v>7840</v>
      </c>
      <c r="V20" s="857"/>
      <c r="W20" s="857"/>
      <c r="X20" s="857"/>
      <c r="Y20" s="859">
        <v>4177</v>
      </c>
      <c r="Z20" s="860"/>
      <c r="AA20" s="860"/>
      <c r="AB20" s="861"/>
      <c r="AE20" s="48" t="s">
        <v>70</v>
      </c>
      <c r="AF20" s="51">
        <v>301.5</v>
      </c>
      <c r="AG20" s="54">
        <v>84721.5</v>
      </c>
      <c r="AH20" s="54">
        <v>98108.5</v>
      </c>
      <c r="AI20" s="44"/>
      <c r="AJ20" s="59">
        <v>53762</v>
      </c>
      <c r="AK20" s="59">
        <v>8299</v>
      </c>
      <c r="AL20" s="54">
        <v>7244</v>
      </c>
      <c r="AM20" s="59">
        <v>5046</v>
      </c>
      <c r="AN20" s="45"/>
      <c r="AO20" s="648">
        <f>AH20/AJ20</f>
        <v>1.8248670064357724</v>
      </c>
      <c r="AP20" s="648">
        <f>AH20/AK20</f>
        <v>11.821725509097481</v>
      </c>
      <c r="AQ20" s="648">
        <f>AH20/AL20</f>
        <v>13.543415240198785</v>
      </c>
      <c r="AR20" s="648">
        <f t="shared" ref="AR20:AR25" si="0">AG20/AM20</f>
        <v>16.789833531510109</v>
      </c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">
      <c r="A21" s="862"/>
      <c r="B21" s="863"/>
      <c r="C21" s="863"/>
      <c r="D21" s="863"/>
      <c r="E21" s="863"/>
      <c r="F21" s="863"/>
      <c r="G21" s="863"/>
      <c r="H21" s="863"/>
      <c r="I21" s="862"/>
      <c r="J21" s="863"/>
      <c r="K21" s="863"/>
      <c r="L21" s="864"/>
      <c r="M21" s="862"/>
      <c r="N21" s="863"/>
      <c r="O21" s="863"/>
      <c r="P21" s="863"/>
      <c r="Q21" s="862"/>
      <c r="R21" s="863"/>
      <c r="S21" s="863"/>
      <c r="T21" s="864"/>
      <c r="U21" s="862"/>
      <c r="V21" s="863"/>
      <c r="W21" s="863"/>
      <c r="X21" s="863"/>
      <c r="Y21" s="862"/>
      <c r="Z21" s="863"/>
      <c r="AA21" s="863"/>
      <c r="AB21" s="864"/>
      <c r="AE21" s="49" t="s">
        <v>72</v>
      </c>
      <c r="AF21" s="52">
        <v>211.97</v>
      </c>
      <c r="AG21" s="55">
        <v>16681.519885000002</v>
      </c>
      <c r="AH21" s="55">
        <v>19044.519885000002</v>
      </c>
      <c r="AI21" s="44"/>
      <c r="AJ21" s="56">
        <v>10244</v>
      </c>
      <c r="AK21" s="55">
        <v>1344</v>
      </c>
      <c r="AL21" s="55">
        <v>1103</v>
      </c>
      <c r="AM21" s="55">
        <f>1005</f>
        <v>1005</v>
      </c>
      <c r="AN21" s="45"/>
      <c r="AO21" s="649">
        <f t="shared" ref="AO21:AO25" si="1">AH21/AJ21</f>
        <v>1.8590901879148771</v>
      </c>
      <c r="AP21" s="649">
        <f t="shared" ref="AP21:AP25" si="2">AH21/AK21</f>
        <v>14.170029676339286</v>
      </c>
      <c r="AQ21" s="649">
        <f t="shared" ref="AQ21:AQ25" si="3">AH21/AL21</f>
        <v>17.266110503173167</v>
      </c>
      <c r="AR21" s="649">
        <f t="shared" si="0"/>
        <v>16.59852724875622</v>
      </c>
      <c r="AT21" s="771" t="s">
        <v>87</v>
      </c>
      <c r="AU21" s="771"/>
      <c r="AV21" s="771"/>
      <c r="AW21" s="771"/>
      <c r="AX21" s="771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7" ht="18">
      <c r="A22" s="893" t="s">
        <v>15</v>
      </c>
      <c r="B22" s="894"/>
      <c r="C22" s="894"/>
      <c r="D22" s="894"/>
      <c r="E22" s="894"/>
      <c r="F22" s="894"/>
      <c r="G22" s="894"/>
      <c r="H22" s="894"/>
      <c r="I22" s="874">
        <v>4203</v>
      </c>
      <c r="J22" s="875"/>
      <c r="K22" s="875"/>
      <c r="L22" s="876"/>
      <c r="M22" s="874">
        <v>1103</v>
      </c>
      <c r="N22" s="875"/>
      <c r="O22" s="875"/>
      <c r="P22" s="875"/>
      <c r="Q22" s="874">
        <v>4483</v>
      </c>
      <c r="R22" s="875"/>
      <c r="S22" s="875"/>
      <c r="T22" s="876"/>
      <c r="U22" s="874">
        <v>8823</v>
      </c>
      <c r="V22" s="875"/>
      <c r="W22" s="875"/>
      <c r="X22" s="875"/>
      <c r="Y22" s="874">
        <v>3308</v>
      </c>
      <c r="Z22" s="875"/>
      <c r="AA22" s="875"/>
      <c r="AB22" s="876"/>
      <c r="AE22" s="49" t="s">
        <v>73</v>
      </c>
      <c r="AF22" s="52">
        <v>120.72</v>
      </c>
      <c r="AG22" s="55">
        <v>102863.33904000001</v>
      </c>
      <c r="AH22" s="55">
        <v>144521.33903999999</v>
      </c>
      <c r="AI22" s="44"/>
      <c r="AJ22" s="55">
        <v>66501</v>
      </c>
      <c r="AK22" s="55">
        <v>11256</v>
      </c>
      <c r="AL22" s="55">
        <v>8823</v>
      </c>
      <c r="AM22" s="55">
        <f>5269</f>
        <v>5269</v>
      </c>
      <c r="AN22" s="45"/>
      <c r="AO22" s="649">
        <f t="shared" si="1"/>
        <v>2.1732205386385166</v>
      </c>
      <c r="AP22" s="649">
        <f t="shared" si="2"/>
        <v>12.839493518123666</v>
      </c>
      <c r="AQ22" s="649">
        <f t="shared" si="3"/>
        <v>16.380067895273715</v>
      </c>
      <c r="AR22" s="649">
        <f t="shared" si="0"/>
        <v>19.52236459290188</v>
      </c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</row>
    <row r="23" spans="1:67" ht="18">
      <c r="A23" s="862"/>
      <c r="B23" s="863"/>
      <c r="C23" s="863"/>
      <c r="D23" s="863"/>
      <c r="E23" s="863"/>
      <c r="F23" s="863"/>
      <c r="G23" s="863"/>
      <c r="H23" s="863"/>
      <c r="I23" s="862"/>
      <c r="J23" s="863"/>
      <c r="K23" s="863"/>
      <c r="L23" s="864"/>
      <c r="M23" s="862"/>
      <c r="N23" s="863"/>
      <c r="O23" s="863"/>
      <c r="P23" s="863"/>
      <c r="Q23" s="862"/>
      <c r="R23" s="863"/>
      <c r="S23" s="863"/>
      <c r="T23" s="864"/>
      <c r="U23" s="862"/>
      <c r="V23" s="863"/>
      <c r="W23" s="863"/>
      <c r="X23" s="863"/>
      <c r="Y23" s="862"/>
      <c r="Z23" s="863"/>
      <c r="AA23" s="863"/>
      <c r="AB23" s="864"/>
      <c r="AE23" s="49" t="s">
        <v>74</v>
      </c>
      <c r="AF23" s="52">
        <v>173.48</v>
      </c>
      <c r="AG23" s="55">
        <v>49884.001733999998</v>
      </c>
      <c r="AH23" s="55">
        <v>61338.001733999998</v>
      </c>
      <c r="AI23" s="44"/>
      <c r="AJ23" s="55">
        <v>36193</v>
      </c>
      <c r="AK23" s="55">
        <v>5246</v>
      </c>
      <c r="AL23" s="56">
        <v>4483</v>
      </c>
      <c r="AM23" s="55">
        <f>3345</f>
        <v>3345</v>
      </c>
      <c r="AN23" s="45"/>
      <c r="AO23" s="649">
        <f t="shared" si="1"/>
        <v>1.6947476510374935</v>
      </c>
      <c r="AP23" s="649">
        <f t="shared" si="2"/>
        <v>11.692337349218452</v>
      </c>
      <c r="AQ23" s="649">
        <f t="shared" si="3"/>
        <v>13.682355952264109</v>
      </c>
      <c r="AR23" s="649">
        <f t="shared" si="0"/>
        <v>14.913005002690582</v>
      </c>
    </row>
    <row r="24" spans="1:67" ht="18">
      <c r="A24" s="862" t="s">
        <v>16</v>
      </c>
      <c r="B24" s="863"/>
      <c r="C24" s="863"/>
      <c r="D24" s="863"/>
      <c r="E24" s="863"/>
      <c r="F24" s="863"/>
      <c r="G24" s="863"/>
      <c r="H24" s="863"/>
      <c r="I24" s="853">
        <v>-562</v>
      </c>
      <c r="J24" s="854"/>
      <c r="K24" s="854"/>
      <c r="L24" s="855"/>
      <c r="M24" s="853">
        <v>-164</v>
      </c>
      <c r="N24" s="854"/>
      <c r="O24" s="854"/>
      <c r="P24" s="854"/>
      <c r="Q24" s="853">
        <v>-374</v>
      </c>
      <c r="R24" s="854"/>
      <c r="S24" s="854"/>
      <c r="T24" s="855"/>
      <c r="U24" s="853">
        <v>-1225</v>
      </c>
      <c r="V24" s="854"/>
      <c r="W24" s="854"/>
      <c r="X24" s="854"/>
      <c r="Y24" s="853">
        <v>-184</v>
      </c>
      <c r="Z24" s="854"/>
      <c r="AA24" s="854"/>
      <c r="AB24" s="855"/>
      <c r="AE24" s="49" t="s">
        <v>75</v>
      </c>
      <c r="AF24" s="52">
        <v>275.55</v>
      </c>
      <c r="AG24" s="56">
        <v>46771.170053000002</v>
      </c>
      <c r="AH24" s="55">
        <v>59790.170053000002</v>
      </c>
      <c r="AI24" s="44"/>
      <c r="AJ24" s="55">
        <v>30095</v>
      </c>
      <c r="AK24" s="55">
        <v>5003</v>
      </c>
      <c r="AL24" s="55">
        <v>4203</v>
      </c>
      <c r="AM24" s="55">
        <v>3229</v>
      </c>
      <c r="AN24" s="45"/>
      <c r="AO24" s="649">
        <f t="shared" si="1"/>
        <v>1.9867144061472006</v>
      </c>
      <c r="AP24" s="649">
        <f t="shared" si="2"/>
        <v>11.950863492504498</v>
      </c>
      <c r="AQ24" s="649">
        <f t="shared" si="3"/>
        <v>14.225593636212229</v>
      </c>
      <c r="AR24" s="649">
        <f t="shared" si="0"/>
        <v>14.484722840817591</v>
      </c>
    </row>
    <row r="25" spans="1:67" ht="19" thickBot="1">
      <c r="A25" s="862" t="s">
        <v>17</v>
      </c>
      <c r="B25" s="863"/>
      <c r="C25" s="863"/>
      <c r="D25" s="863"/>
      <c r="E25" s="863"/>
      <c r="F25" s="863"/>
      <c r="G25" s="863"/>
      <c r="H25" s="863"/>
      <c r="I25" s="853" t="s">
        <v>34</v>
      </c>
      <c r="J25" s="854"/>
      <c r="K25" s="854"/>
      <c r="L25" s="855"/>
      <c r="M25" s="865">
        <v>26</v>
      </c>
      <c r="N25" s="866"/>
      <c r="O25" s="866"/>
      <c r="P25" s="866"/>
      <c r="Q25" s="853">
        <v>18</v>
      </c>
      <c r="R25" s="854"/>
      <c r="S25" s="854"/>
      <c r="T25" s="855"/>
      <c r="U25" s="853">
        <v>187</v>
      </c>
      <c r="V25" s="854"/>
      <c r="W25" s="854"/>
      <c r="X25" s="854"/>
      <c r="Y25" s="865">
        <v>31</v>
      </c>
      <c r="Z25" s="866"/>
      <c r="AA25" s="866"/>
      <c r="AB25" s="867"/>
      <c r="AE25" s="50" t="s">
        <v>76</v>
      </c>
      <c r="AF25" s="53">
        <v>180.94</v>
      </c>
      <c r="AG25" s="57">
        <v>51068.324659999998</v>
      </c>
      <c r="AH25" s="58">
        <v>52926.324659999998</v>
      </c>
      <c r="AI25" s="43"/>
      <c r="AJ25" s="58">
        <v>27058</v>
      </c>
      <c r="AK25" s="58">
        <v>3801</v>
      </c>
      <c r="AL25" s="58">
        <v>3308</v>
      </c>
      <c r="AM25" s="58">
        <v>2909</v>
      </c>
      <c r="AN25" s="45"/>
      <c r="AO25" s="650">
        <f t="shared" si="1"/>
        <v>1.9560323992904132</v>
      </c>
      <c r="AP25" s="650">
        <f t="shared" si="2"/>
        <v>13.924315880031569</v>
      </c>
      <c r="AQ25" s="650">
        <f t="shared" si="3"/>
        <v>15.999493548972188</v>
      </c>
      <c r="AR25" s="650">
        <f t="shared" si="0"/>
        <v>17.55528520453764</v>
      </c>
    </row>
    <row r="26" spans="1:67" ht="18">
      <c r="A26" s="893" t="s">
        <v>18</v>
      </c>
      <c r="B26" s="894"/>
      <c r="C26" s="894"/>
      <c r="D26" s="894"/>
      <c r="E26" s="894"/>
      <c r="F26" s="894"/>
      <c r="G26" s="894"/>
      <c r="H26" s="894"/>
      <c r="I26" s="856">
        <v>-562</v>
      </c>
      <c r="J26" s="857"/>
      <c r="K26" s="857"/>
      <c r="L26" s="858"/>
      <c r="M26" s="859">
        <v>-138</v>
      </c>
      <c r="N26" s="860"/>
      <c r="O26" s="860"/>
      <c r="P26" s="860"/>
      <c r="Q26" s="856">
        <v>-356</v>
      </c>
      <c r="R26" s="857"/>
      <c r="S26" s="857"/>
      <c r="T26" s="858"/>
      <c r="U26" s="856">
        <v>-1038</v>
      </c>
      <c r="V26" s="857"/>
      <c r="W26" s="857"/>
      <c r="X26" s="857"/>
      <c r="Y26" s="859">
        <v>-153</v>
      </c>
      <c r="Z26" s="860"/>
      <c r="AA26" s="860"/>
      <c r="AB26" s="861"/>
      <c r="AE26" s="642" t="s">
        <v>77</v>
      </c>
      <c r="AF26" s="46"/>
      <c r="AG26" s="46"/>
      <c r="AH26" s="46"/>
      <c r="AI26" s="46"/>
      <c r="AJ26" s="46"/>
      <c r="AK26" s="46"/>
      <c r="AL26" s="46"/>
      <c r="AM26" s="46"/>
      <c r="AN26" s="46"/>
      <c r="AO26" s="651">
        <f>AVERAGE(AO21:AO25)</f>
        <v>1.9339610366057003</v>
      </c>
      <c r="AP26" s="651">
        <f t="shared" ref="AP26:AR26" si="4">AVERAGE(AP21:AP25)</f>
        <v>12.915407983243494</v>
      </c>
      <c r="AQ26" s="651">
        <f t="shared" si="4"/>
        <v>15.51072430717908</v>
      </c>
      <c r="AR26" s="652">
        <f t="shared" si="4"/>
        <v>16.614780977940782</v>
      </c>
    </row>
    <row r="27" spans="1:67" ht="19" thickBot="1">
      <c r="A27" s="862"/>
      <c r="B27" s="863"/>
      <c r="C27" s="863"/>
      <c r="D27" s="863"/>
      <c r="E27" s="863"/>
      <c r="F27" s="863"/>
      <c r="G27" s="863"/>
      <c r="H27" s="863"/>
      <c r="I27" s="862"/>
      <c r="J27" s="863"/>
      <c r="K27" s="863"/>
      <c r="L27" s="864"/>
      <c r="M27" s="862"/>
      <c r="N27" s="863"/>
      <c r="O27" s="863"/>
      <c r="P27" s="863"/>
      <c r="Q27" s="862"/>
      <c r="R27" s="863"/>
      <c r="S27" s="863"/>
      <c r="T27" s="864"/>
      <c r="U27" s="862"/>
      <c r="V27" s="863"/>
      <c r="W27" s="863"/>
      <c r="X27" s="863"/>
      <c r="Y27" s="862"/>
      <c r="Z27" s="863"/>
      <c r="AA27" s="863"/>
      <c r="AB27" s="864"/>
      <c r="AE27" s="653" t="s">
        <v>78</v>
      </c>
      <c r="AF27" s="47"/>
      <c r="AG27" s="47"/>
      <c r="AH27" s="47"/>
      <c r="AI27" s="47"/>
      <c r="AJ27" s="47"/>
      <c r="AK27" s="47"/>
      <c r="AL27" s="47"/>
      <c r="AM27" s="47"/>
      <c r="AN27" s="47"/>
      <c r="AO27" s="654">
        <f>MEDIAN(AO21:AO25)</f>
        <v>1.9560323992904132</v>
      </c>
      <c r="AP27" s="654">
        <f t="shared" ref="AP27:AR27" si="5">MEDIAN(AP21:AP25)</f>
        <v>12.839493518123666</v>
      </c>
      <c r="AQ27" s="654">
        <f t="shared" si="5"/>
        <v>15.999493548972188</v>
      </c>
      <c r="AR27" s="655">
        <f t="shared" si="5"/>
        <v>16.59852724875622</v>
      </c>
    </row>
    <row r="28" spans="1:67" ht="18">
      <c r="A28" s="862" t="s">
        <v>19</v>
      </c>
      <c r="B28" s="863"/>
      <c r="C28" s="863"/>
      <c r="D28" s="863"/>
      <c r="E28" s="863"/>
      <c r="F28" s="863"/>
      <c r="G28" s="863"/>
      <c r="H28" s="863"/>
      <c r="I28" s="853">
        <v>130</v>
      </c>
      <c r="J28" s="854"/>
      <c r="K28" s="854"/>
      <c r="L28" s="855"/>
      <c r="M28" s="853" t="s">
        <v>34</v>
      </c>
      <c r="N28" s="854"/>
      <c r="O28" s="854"/>
      <c r="P28" s="854"/>
      <c r="Q28" s="853">
        <v>-12</v>
      </c>
      <c r="R28" s="854"/>
      <c r="S28" s="854"/>
      <c r="T28" s="855"/>
      <c r="U28" s="853">
        <v>115</v>
      </c>
      <c r="V28" s="854"/>
      <c r="W28" s="854"/>
      <c r="X28" s="854"/>
      <c r="Y28" s="865">
        <v>-8</v>
      </c>
      <c r="Z28" s="866"/>
      <c r="AA28" s="866"/>
      <c r="AB28" s="867"/>
    </row>
    <row r="29" spans="1:67" ht="18">
      <c r="A29" s="893" t="s">
        <v>20</v>
      </c>
      <c r="B29" s="894"/>
      <c r="C29" s="894"/>
      <c r="D29" s="894"/>
      <c r="E29" s="894"/>
      <c r="F29" s="894"/>
      <c r="G29" s="894"/>
      <c r="H29" s="895"/>
      <c r="I29" s="857">
        <v>3771</v>
      </c>
      <c r="J29" s="857"/>
      <c r="K29" s="857"/>
      <c r="L29" s="857"/>
      <c r="M29" s="888">
        <v>965</v>
      </c>
      <c r="N29" s="857"/>
      <c r="O29" s="857"/>
      <c r="P29" s="857"/>
      <c r="Q29" s="856">
        <v>4115</v>
      </c>
      <c r="R29" s="857"/>
      <c r="S29" s="857"/>
      <c r="T29" s="858"/>
      <c r="U29" s="856">
        <v>7900</v>
      </c>
      <c r="V29" s="857"/>
      <c r="W29" s="857"/>
      <c r="X29" s="857"/>
      <c r="Y29" s="859">
        <v>3147</v>
      </c>
      <c r="Z29" s="860"/>
      <c r="AA29" s="860"/>
      <c r="AB29" s="861"/>
    </row>
    <row r="30" spans="1:67" ht="19" thickBot="1">
      <c r="A30" s="862"/>
      <c r="B30" s="863"/>
      <c r="C30" s="863"/>
      <c r="D30" s="863"/>
      <c r="E30" s="863"/>
      <c r="F30" s="863"/>
      <c r="G30" s="863"/>
      <c r="H30" s="863"/>
      <c r="I30" s="862"/>
      <c r="J30" s="863"/>
      <c r="K30" s="863"/>
      <c r="L30" s="864"/>
      <c r="M30" s="874"/>
      <c r="N30" s="875"/>
      <c r="O30" s="875"/>
      <c r="P30" s="875"/>
      <c r="Q30" s="862"/>
      <c r="R30" s="863"/>
      <c r="S30" s="863"/>
      <c r="T30" s="864"/>
      <c r="U30" s="862"/>
      <c r="V30" s="863"/>
      <c r="W30" s="863"/>
      <c r="X30" s="863"/>
      <c r="Y30" s="862"/>
      <c r="Z30" s="863"/>
      <c r="AA30" s="863"/>
      <c r="AB30" s="864"/>
    </row>
    <row r="31" spans="1:67" ht="18">
      <c r="A31" s="862" t="s">
        <v>21</v>
      </c>
      <c r="B31" s="863"/>
      <c r="C31" s="863"/>
      <c r="D31" s="863"/>
      <c r="E31" s="863"/>
      <c r="F31" s="863"/>
      <c r="G31" s="863"/>
      <c r="H31" s="863"/>
      <c r="I31" s="853">
        <v>-29</v>
      </c>
      <c r="J31" s="854"/>
      <c r="K31" s="854"/>
      <c r="L31" s="855"/>
      <c r="M31" s="853">
        <v>-28</v>
      </c>
      <c r="N31" s="854"/>
      <c r="O31" s="854"/>
      <c r="P31" s="854"/>
      <c r="Q31" s="853" t="s">
        <v>34</v>
      </c>
      <c r="R31" s="854"/>
      <c r="S31" s="854"/>
      <c r="T31" s="855"/>
      <c r="U31" s="853">
        <v>-307</v>
      </c>
      <c r="V31" s="854"/>
      <c r="W31" s="854"/>
      <c r="X31" s="854"/>
      <c r="Y31" s="853" t="s">
        <v>34</v>
      </c>
      <c r="Z31" s="854"/>
      <c r="AA31" s="854"/>
      <c r="AB31" s="855"/>
      <c r="AE31" s="800" t="s">
        <v>40</v>
      </c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  <c r="AP31" s="801"/>
      <c r="AQ31" s="801"/>
      <c r="AR31" s="802"/>
    </row>
    <row r="32" spans="1:67" ht="19" thickBot="1">
      <c r="A32" s="862" t="s">
        <v>22</v>
      </c>
      <c r="B32" s="863"/>
      <c r="C32" s="863"/>
      <c r="D32" s="863"/>
      <c r="E32" s="863"/>
      <c r="F32" s="863"/>
      <c r="G32" s="863"/>
      <c r="H32" s="863"/>
      <c r="I32" s="853" t="s">
        <v>34</v>
      </c>
      <c r="J32" s="854"/>
      <c r="K32" s="854"/>
      <c r="L32" s="855"/>
      <c r="M32" s="853" t="s">
        <v>34</v>
      </c>
      <c r="N32" s="854"/>
      <c r="O32" s="854"/>
      <c r="P32" s="854"/>
      <c r="Q32" s="853">
        <v>-30</v>
      </c>
      <c r="R32" s="854"/>
      <c r="S32" s="854"/>
      <c r="T32" s="855"/>
      <c r="U32" s="853">
        <v>-112</v>
      </c>
      <c r="V32" s="854"/>
      <c r="W32" s="854"/>
      <c r="X32" s="854"/>
      <c r="Y32" s="853" t="s">
        <v>34</v>
      </c>
      <c r="Z32" s="854"/>
      <c r="AA32" s="854"/>
      <c r="AB32" s="855"/>
      <c r="AE32" s="803"/>
      <c r="AF32" s="804"/>
      <c r="AG32" s="804"/>
      <c r="AH32" s="804"/>
      <c r="AI32" s="804"/>
      <c r="AJ32" s="804"/>
      <c r="AK32" s="804"/>
      <c r="AL32" s="804"/>
      <c r="AM32" s="804"/>
      <c r="AN32" s="804"/>
      <c r="AO32" s="804"/>
      <c r="AP32" s="804"/>
      <c r="AQ32" s="804"/>
      <c r="AR32" s="805"/>
    </row>
    <row r="33" spans="1:44" ht="18">
      <c r="A33" s="862" t="s">
        <v>23</v>
      </c>
      <c r="B33" s="863"/>
      <c r="C33" s="863"/>
      <c r="D33" s="863"/>
      <c r="E33" s="863"/>
      <c r="F33" s="863"/>
      <c r="G33" s="863"/>
      <c r="H33" s="863"/>
      <c r="I33" s="853" t="s">
        <v>34</v>
      </c>
      <c r="J33" s="854"/>
      <c r="K33" s="854"/>
      <c r="L33" s="855"/>
      <c r="M33" s="853" t="s">
        <v>34</v>
      </c>
      <c r="N33" s="854"/>
      <c r="O33" s="854"/>
      <c r="P33" s="854"/>
      <c r="Q33" s="853" t="s">
        <v>34</v>
      </c>
      <c r="R33" s="854"/>
      <c r="S33" s="854"/>
      <c r="T33" s="855"/>
      <c r="U33" s="853">
        <v>799</v>
      </c>
      <c r="V33" s="854"/>
      <c r="W33" s="854"/>
      <c r="X33" s="854"/>
      <c r="Y33" s="853" t="s">
        <v>34</v>
      </c>
      <c r="Z33" s="854"/>
      <c r="AA33" s="854"/>
      <c r="AB33" s="855"/>
      <c r="AE33" s="824" t="s">
        <v>79</v>
      </c>
      <c r="AF33" s="825"/>
      <c r="AG33" s="824" t="s">
        <v>88</v>
      </c>
      <c r="AH33" s="836"/>
      <c r="AI33" s="825"/>
      <c r="AJ33" s="824" t="s">
        <v>89</v>
      </c>
      <c r="AK33" s="836"/>
      <c r="AL33" s="836"/>
      <c r="AM33" s="836"/>
      <c r="AN33" s="825"/>
      <c r="AO33" s="824" t="s">
        <v>90</v>
      </c>
      <c r="AP33" s="825"/>
      <c r="AQ33" s="824" t="s">
        <v>80</v>
      </c>
      <c r="AR33" s="825"/>
    </row>
    <row r="34" spans="1:44" ht="19" thickBot="1">
      <c r="A34" s="862" t="s">
        <v>24</v>
      </c>
      <c r="B34" s="863"/>
      <c r="C34" s="863"/>
      <c r="D34" s="863"/>
      <c r="E34" s="863"/>
      <c r="F34" s="863"/>
      <c r="G34" s="863"/>
      <c r="H34" s="863"/>
      <c r="I34" s="853" t="s">
        <v>34</v>
      </c>
      <c r="J34" s="854"/>
      <c r="K34" s="854"/>
      <c r="L34" s="855"/>
      <c r="M34" s="853">
        <v>-13</v>
      </c>
      <c r="N34" s="854"/>
      <c r="O34" s="854"/>
      <c r="P34" s="854"/>
      <c r="Q34" s="853" t="s">
        <v>34</v>
      </c>
      <c r="R34" s="854"/>
      <c r="S34" s="854"/>
      <c r="T34" s="855"/>
      <c r="U34" s="853" t="s">
        <v>34</v>
      </c>
      <c r="V34" s="854"/>
      <c r="W34" s="854"/>
      <c r="X34" s="854"/>
      <c r="Y34" s="853" t="s">
        <v>34</v>
      </c>
      <c r="Z34" s="854"/>
      <c r="AA34" s="854"/>
      <c r="AB34" s="855"/>
      <c r="AE34" s="826"/>
      <c r="AF34" s="827"/>
      <c r="AG34" s="826"/>
      <c r="AH34" s="837"/>
      <c r="AI34" s="827"/>
      <c r="AJ34" s="826"/>
      <c r="AK34" s="837"/>
      <c r="AL34" s="837"/>
      <c r="AM34" s="837"/>
      <c r="AN34" s="827"/>
      <c r="AO34" s="826"/>
      <c r="AP34" s="827"/>
      <c r="AQ34" s="826"/>
      <c r="AR34" s="827"/>
    </row>
    <row r="35" spans="1:44" ht="18">
      <c r="A35" s="893" t="s">
        <v>25</v>
      </c>
      <c r="B35" s="894"/>
      <c r="C35" s="894"/>
      <c r="D35" s="894"/>
      <c r="E35" s="894"/>
      <c r="F35" s="894"/>
      <c r="G35" s="894"/>
      <c r="H35" s="894"/>
      <c r="I35" s="856">
        <v>3742</v>
      </c>
      <c r="J35" s="857"/>
      <c r="K35" s="857"/>
      <c r="L35" s="858"/>
      <c r="M35" s="859">
        <v>924</v>
      </c>
      <c r="N35" s="860"/>
      <c r="O35" s="860"/>
      <c r="P35" s="860"/>
      <c r="Q35" s="859">
        <v>4085</v>
      </c>
      <c r="R35" s="860"/>
      <c r="S35" s="860"/>
      <c r="T35" s="861"/>
      <c r="U35" s="856">
        <v>8280</v>
      </c>
      <c r="V35" s="857"/>
      <c r="W35" s="857"/>
      <c r="X35" s="857"/>
      <c r="Y35" s="856">
        <v>3147</v>
      </c>
      <c r="Z35" s="857"/>
      <c r="AA35" s="857"/>
      <c r="AB35" s="858"/>
      <c r="AE35" s="828" t="s">
        <v>81</v>
      </c>
      <c r="AF35" s="829"/>
      <c r="AG35" s="772">
        <v>14598</v>
      </c>
      <c r="AH35" s="773"/>
      <c r="AI35" s="774"/>
      <c r="AJ35" s="772">
        <v>1579</v>
      </c>
      <c r="AK35" s="773"/>
      <c r="AL35" s="773"/>
      <c r="AM35" s="773"/>
      <c r="AN35" s="774"/>
      <c r="AO35" s="794">
        <v>46771.170053000002</v>
      </c>
      <c r="AP35" s="795"/>
      <c r="AQ35" s="781">
        <f t="shared" ref="AQ35:AQ37" si="6">(AG35-AJ35)/(AO35+AG35)</f>
        <v>0.21214235077248814</v>
      </c>
      <c r="AR35" s="782"/>
    </row>
    <row r="36" spans="1:44" ht="18">
      <c r="A36" s="862"/>
      <c r="B36" s="863"/>
      <c r="C36" s="863"/>
      <c r="D36" s="863"/>
      <c r="E36" s="863"/>
      <c r="F36" s="863"/>
      <c r="G36" s="863"/>
      <c r="H36" s="863"/>
      <c r="I36" s="862"/>
      <c r="J36" s="863"/>
      <c r="K36" s="863"/>
      <c r="L36" s="864"/>
      <c r="M36" s="862"/>
      <c r="N36" s="863"/>
      <c r="O36" s="863"/>
      <c r="P36" s="863"/>
      <c r="Q36" s="862"/>
      <c r="R36" s="863"/>
      <c r="S36" s="863"/>
      <c r="T36" s="864"/>
      <c r="U36" s="862"/>
      <c r="V36" s="863"/>
      <c r="W36" s="863"/>
      <c r="X36" s="863"/>
      <c r="Y36" s="862"/>
      <c r="Z36" s="863"/>
      <c r="AA36" s="863"/>
      <c r="AB36" s="864"/>
      <c r="AE36" s="830" t="s">
        <v>82</v>
      </c>
      <c r="AF36" s="831"/>
      <c r="AG36" s="817">
        <v>3361</v>
      </c>
      <c r="AH36" s="818">
        <v>3361</v>
      </c>
      <c r="AI36" s="819">
        <v>3361</v>
      </c>
      <c r="AJ36" s="790">
        <v>1066</v>
      </c>
      <c r="AK36" s="788"/>
      <c r="AL36" s="788"/>
      <c r="AM36" s="788"/>
      <c r="AN36" s="789"/>
      <c r="AO36" s="796">
        <v>16681.519885000002</v>
      </c>
      <c r="AP36" s="797"/>
      <c r="AQ36" s="783">
        <f t="shared" si="6"/>
        <v>0.11450655971246401</v>
      </c>
      <c r="AR36" s="784"/>
    </row>
    <row r="37" spans="1:44" ht="18">
      <c r="A37" s="862" t="s">
        <v>26</v>
      </c>
      <c r="B37" s="863"/>
      <c r="C37" s="863"/>
      <c r="D37" s="863"/>
      <c r="E37" s="863"/>
      <c r="F37" s="863"/>
      <c r="G37" s="863"/>
      <c r="H37" s="863"/>
      <c r="I37" s="853">
        <v>513</v>
      </c>
      <c r="J37" s="854"/>
      <c r="K37" s="854"/>
      <c r="L37" s="855"/>
      <c r="M37" s="865">
        <v>103</v>
      </c>
      <c r="N37" s="866"/>
      <c r="O37" s="866"/>
      <c r="P37" s="866"/>
      <c r="Q37" s="865">
        <v>727</v>
      </c>
      <c r="R37" s="866"/>
      <c r="S37" s="866"/>
      <c r="T37" s="867"/>
      <c r="U37" s="853">
        <v>2626</v>
      </c>
      <c r="V37" s="854"/>
      <c r="W37" s="854"/>
      <c r="X37" s="854"/>
      <c r="Y37" s="853">
        <v>264</v>
      </c>
      <c r="Z37" s="854"/>
      <c r="AA37" s="854"/>
      <c r="AB37" s="855"/>
      <c r="AE37" s="832" t="s">
        <v>83</v>
      </c>
      <c r="AF37" s="833"/>
      <c r="AG37" s="817">
        <v>12417</v>
      </c>
      <c r="AH37" s="818"/>
      <c r="AI37" s="819"/>
      <c r="AJ37" s="790">
        <v>963</v>
      </c>
      <c r="AK37" s="788"/>
      <c r="AL37" s="788"/>
      <c r="AM37" s="788"/>
      <c r="AN37" s="789"/>
      <c r="AO37" s="796">
        <v>49884.001733999998</v>
      </c>
      <c r="AP37" s="797">
        <v>49884.001733999998</v>
      </c>
      <c r="AQ37" s="783">
        <f t="shared" si="6"/>
        <v>0.18384937129749426</v>
      </c>
      <c r="AR37" s="784"/>
    </row>
    <row r="38" spans="1:44" ht="18">
      <c r="A38" s="893" t="s">
        <v>27</v>
      </c>
      <c r="B38" s="894"/>
      <c r="C38" s="894"/>
      <c r="D38" s="894"/>
      <c r="E38" s="894"/>
      <c r="F38" s="894"/>
      <c r="G38" s="894"/>
      <c r="H38" s="894"/>
      <c r="I38" s="856">
        <v>3229</v>
      </c>
      <c r="J38" s="857"/>
      <c r="K38" s="857"/>
      <c r="L38" s="858"/>
      <c r="M38" s="859">
        <v>821</v>
      </c>
      <c r="N38" s="860"/>
      <c r="O38" s="860"/>
      <c r="P38" s="860"/>
      <c r="Q38" s="859">
        <v>3358</v>
      </c>
      <c r="R38" s="860"/>
      <c r="S38" s="860"/>
      <c r="T38" s="861"/>
      <c r="U38" s="856">
        <v>5654</v>
      </c>
      <c r="V38" s="857"/>
      <c r="W38" s="857"/>
      <c r="X38" s="857"/>
      <c r="Y38" s="856">
        <v>2883</v>
      </c>
      <c r="Z38" s="857"/>
      <c r="AA38" s="857"/>
      <c r="AB38" s="858"/>
      <c r="AE38" s="834" t="s">
        <v>84</v>
      </c>
      <c r="AF38" s="835"/>
      <c r="AG38" s="820">
        <v>45537</v>
      </c>
      <c r="AH38" s="818"/>
      <c r="AI38" s="819"/>
      <c r="AJ38" s="787">
        <v>6152</v>
      </c>
      <c r="AK38" s="788"/>
      <c r="AL38" s="788"/>
      <c r="AM38" s="788"/>
      <c r="AN38" s="789"/>
      <c r="AO38" s="796">
        <v>102863.33904000001</v>
      </c>
      <c r="AP38" s="797"/>
      <c r="AQ38" s="783">
        <f>(AG38-AJ38)/(AO38+AG38)</f>
        <v>0.26539696778849087</v>
      </c>
      <c r="AR38" s="784"/>
    </row>
    <row r="39" spans="1:44" ht="18">
      <c r="A39" s="862"/>
      <c r="B39" s="863"/>
      <c r="C39" s="863"/>
      <c r="D39" s="863"/>
      <c r="E39" s="863"/>
      <c r="F39" s="863"/>
      <c r="G39" s="863"/>
      <c r="H39" s="863"/>
      <c r="I39" s="862"/>
      <c r="J39" s="863"/>
      <c r="K39" s="863"/>
      <c r="L39" s="864"/>
      <c r="M39" s="862"/>
      <c r="N39" s="863"/>
      <c r="O39" s="863"/>
      <c r="P39" s="863"/>
      <c r="Q39" s="862"/>
      <c r="R39" s="863"/>
      <c r="S39" s="863"/>
      <c r="T39" s="864"/>
      <c r="U39" s="862"/>
      <c r="V39" s="863"/>
      <c r="W39" s="863"/>
      <c r="X39" s="863"/>
      <c r="Y39" s="862"/>
      <c r="Z39" s="863"/>
      <c r="AA39" s="863"/>
      <c r="AB39" s="864"/>
      <c r="AE39" s="834" t="s">
        <v>85</v>
      </c>
      <c r="AF39" s="835"/>
      <c r="AG39" s="817">
        <v>5055</v>
      </c>
      <c r="AH39" s="818"/>
      <c r="AI39" s="819"/>
      <c r="AJ39" s="790">
        <v>3608</v>
      </c>
      <c r="AK39" s="788"/>
      <c r="AL39" s="788"/>
      <c r="AM39" s="788"/>
      <c r="AN39" s="789"/>
      <c r="AO39" s="796">
        <v>51068.324659999998</v>
      </c>
      <c r="AP39" s="797"/>
      <c r="AQ39" s="783">
        <f t="shared" ref="AQ39" si="7">(AG39-AJ39)/(AO39+AG39)</f>
        <v>2.5782506805611612E-2</v>
      </c>
      <c r="AR39" s="784"/>
    </row>
    <row r="40" spans="1:44" ht="19" thickBot="1">
      <c r="A40" s="862" t="s">
        <v>28</v>
      </c>
      <c r="B40" s="863"/>
      <c r="C40" s="863"/>
      <c r="D40" s="863"/>
      <c r="E40" s="863"/>
      <c r="F40" s="863"/>
      <c r="G40" s="863"/>
      <c r="H40" s="863"/>
      <c r="I40" s="853" t="s">
        <v>34</v>
      </c>
      <c r="J40" s="854"/>
      <c r="K40" s="854"/>
      <c r="L40" s="855"/>
      <c r="M40" s="853">
        <v>205</v>
      </c>
      <c r="N40" s="854"/>
      <c r="O40" s="854"/>
      <c r="P40" s="854"/>
      <c r="Q40" s="853">
        <v>-13</v>
      </c>
      <c r="R40" s="854"/>
      <c r="S40" s="854"/>
      <c r="T40" s="855"/>
      <c r="U40" s="853" t="s">
        <v>34</v>
      </c>
      <c r="V40" s="854"/>
      <c r="W40" s="854"/>
      <c r="X40" s="854"/>
      <c r="Y40" s="853">
        <v>-1</v>
      </c>
      <c r="Z40" s="854"/>
      <c r="AA40" s="854"/>
      <c r="AB40" s="855"/>
      <c r="AE40" s="815" t="s">
        <v>70</v>
      </c>
      <c r="AF40" s="816"/>
      <c r="AG40" s="821">
        <v>14104</v>
      </c>
      <c r="AH40" s="822"/>
      <c r="AI40" s="823"/>
      <c r="AJ40" s="791">
        <v>772</v>
      </c>
      <c r="AK40" s="792"/>
      <c r="AL40" s="792"/>
      <c r="AM40" s="792"/>
      <c r="AN40" s="793"/>
      <c r="AO40" s="798">
        <v>84721.5</v>
      </c>
      <c r="AP40" s="799"/>
      <c r="AQ40" s="785">
        <f>(AG40-AJ40)/(AO40+AG40)</f>
        <v>0.13490445279811386</v>
      </c>
      <c r="AR40" s="786"/>
    </row>
    <row r="41" spans="1:44" ht="18">
      <c r="A41" s="862" t="s">
        <v>29</v>
      </c>
      <c r="B41" s="863"/>
      <c r="C41" s="863"/>
      <c r="D41" s="863"/>
      <c r="E41" s="863"/>
      <c r="F41" s="863"/>
      <c r="G41" s="863"/>
      <c r="H41" s="863"/>
      <c r="I41" s="853" t="s">
        <v>34</v>
      </c>
      <c r="J41" s="854"/>
      <c r="K41" s="854"/>
      <c r="L41" s="855"/>
      <c r="M41" s="865" t="s">
        <v>34</v>
      </c>
      <c r="N41" s="866"/>
      <c r="O41" s="866"/>
      <c r="P41" s="866"/>
      <c r="Q41" s="865" t="s">
        <v>34</v>
      </c>
      <c r="R41" s="866"/>
      <c r="S41" s="866"/>
      <c r="T41" s="867"/>
      <c r="U41" s="853" t="s">
        <v>34</v>
      </c>
      <c r="V41" s="854"/>
      <c r="W41" s="854"/>
      <c r="X41" s="854"/>
      <c r="Y41" s="853" t="s">
        <v>34</v>
      </c>
      <c r="Z41" s="854"/>
      <c r="AA41" s="854"/>
      <c r="AB41" s="855"/>
      <c r="AE41" s="37"/>
      <c r="AF41" s="38"/>
      <c r="AG41" s="38"/>
      <c r="AH41" s="39"/>
      <c r="AI41" s="38"/>
      <c r="AJ41" s="40"/>
      <c r="AK41" s="18"/>
      <c r="AL41" s="775" t="s">
        <v>86</v>
      </c>
      <c r="AM41" s="776"/>
      <c r="AN41" s="776"/>
      <c r="AO41" s="776"/>
      <c r="AP41" s="777"/>
      <c r="AQ41" s="767">
        <f>AVERAGE(AQ35:AR39)</f>
        <v>0.16033555127530977</v>
      </c>
      <c r="AR41" s="768"/>
    </row>
    <row r="42" spans="1:44" ht="19" thickBot="1">
      <c r="A42" s="893" t="s">
        <v>30</v>
      </c>
      <c r="B42" s="894"/>
      <c r="C42" s="894"/>
      <c r="D42" s="894"/>
      <c r="E42" s="894"/>
      <c r="F42" s="894"/>
      <c r="G42" s="894"/>
      <c r="H42" s="894"/>
      <c r="I42" s="856">
        <v>3229</v>
      </c>
      <c r="J42" s="857"/>
      <c r="K42" s="857"/>
      <c r="L42" s="858"/>
      <c r="M42" s="859">
        <v>1026</v>
      </c>
      <c r="N42" s="860"/>
      <c r="O42" s="860"/>
      <c r="P42" s="860"/>
      <c r="Q42" s="859">
        <v>3345</v>
      </c>
      <c r="R42" s="860"/>
      <c r="S42" s="860"/>
      <c r="T42" s="861"/>
      <c r="U42" s="856">
        <v>5654</v>
      </c>
      <c r="V42" s="857"/>
      <c r="W42" s="857"/>
      <c r="X42" s="857"/>
      <c r="Y42" s="856">
        <v>2882</v>
      </c>
      <c r="Z42" s="857"/>
      <c r="AA42" s="857"/>
      <c r="AB42" s="858"/>
      <c r="AE42" s="37"/>
      <c r="AF42" s="39"/>
      <c r="AG42" s="38"/>
      <c r="AH42" s="39"/>
      <c r="AI42" s="38"/>
      <c r="AJ42" s="40"/>
      <c r="AK42" s="18"/>
      <c r="AL42" s="778"/>
      <c r="AM42" s="779"/>
      <c r="AN42" s="779"/>
      <c r="AO42" s="779"/>
      <c r="AP42" s="780"/>
      <c r="AQ42" s="769"/>
      <c r="AR42" s="770"/>
    </row>
    <row r="43" spans="1:44" ht="18">
      <c r="A43" s="862"/>
      <c r="B43" s="863"/>
      <c r="C43" s="863"/>
      <c r="D43" s="863"/>
      <c r="E43" s="863"/>
      <c r="F43" s="863"/>
      <c r="G43" s="863"/>
      <c r="H43" s="863"/>
      <c r="I43" s="862"/>
      <c r="J43" s="863"/>
      <c r="K43" s="863"/>
      <c r="L43" s="864"/>
      <c r="M43" s="862"/>
      <c r="N43" s="863"/>
      <c r="O43" s="863"/>
      <c r="P43" s="863"/>
      <c r="Q43" s="862"/>
      <c r="R43" s="863"/>
      <c r="S43" s="863"/>
      <c r="T43" s="864"/>
      <c r="U43" s="862"/>
      <c r="V43" s="863"/>
      <c r="W43" s="863"/>
      <c r="X43" s="863"/>
      <c r="Y43" s="862"/>
      <c r="Z43" s="863"/>
      <c r="AA43" s="863"/>
      <c r="AB43" s="864"/>
      <c r="AE43" s="37"/>
      <c r="AF43" s="39"/>
      <c r="AG43" s="38"/>
      <c r="AH43" s="39"/>
      <c r="AI43" s="38"/>
      <c r="AJ43" s="40"/>
      <c r="AK43" s="18"/>
      <c r="AL43" s="18"/>
    </row>
    <row r="44" spans="1:44" ht="18">
      <c r="A44" s="862" t="s">
        <v>31</v>
      </c>
      <c r="B44" s="863"/>
      <c r="C44" s="863"/>
      <c r="D44" s="863"/>
      <c r="E44" s="863"/>
      <c r="F44" s="863"/>
      <c r="G44" s="863"/>
      <c r="H44" s="863"/>
      <c r="I44" s="853" t="s">
        <v>34</v>
      </c>
      <c r="J44" s="854"/>
      <c r="K44" s="854"/>
      <c r="L44" s="855"/>
      <c r="M44" s="865">
        <v>-21</v>
      </c>
      <c r="N44" s="866"/>
      <c r="O44" s="866"/>
      <c r="P44" s="866"/>
      <c r="Q44" s="865" t="s">
        <v>34</v>
      </c>
      <c r="R44" s="866"/>
      <c r="S44" s="866"/>
      <c r="T44" s="867"/>
      <c r="U44" s="853">
        <v>-385</v>
      </c>
      <c r="V44" s="854"/>
      <c r="W44" s="854"/>
      <c r="X44" s="854"/>
      <c r="Y44" s="853">
        <v>27</v>
      </c>
      <c r="Z44" s="854"/>
      <c r="AA44" s="854"/>
      <c r="AB44" s="855"/>
      <c r="AE44" s="37"/>
      <c r="AF44" s="38"/>
      <c r="AG44" s="38"/>
      <c r="AH44" s="38"/>
      <c r="AI44" s="38"/>
      <c r="AJ44" s="41"/>
      <c r="AK44" s="42"/>
      <c r="AL44" s="18"/>
    </row>
    <row r="45" spans="1:44" ht="19" thickBot="1">
      <c r="A45" s="896" t="s">
        <v>32</v>
      </c>
      <c r="B45" s="897"/>
      <c r="C45" s="897"/>
      <c r="D45" s="897"/>
      <c r="E45" s="897"/>
      <c r="F45" s="897"/>
      <c r="G45" s="897"/>
      <c r="H45" s="897"/>
      <c r="I45" s="877">
        <v>3229</v>
      </c>
      <c r="J45" s="878"/>
      <c r="K45" s="878"/>
      <c r="L45" s="889"/>
      <c r="M45" s="885">
        <v>1005</v>
      </c>
      <c r="N45" s="886"/>
      <c r="O45" s="886"/>
      <c r="P45" s="886"/>
      <c r="Q45" s="885">
        <v>3345</v>
      </c>
      <c r="R45" s="886"/>
      <c r="S45" s="886"/>
      <c r="T45" s="887"/>
      <c r="U45" s="877">
        <v>5269</v>
      </c>
      <c r="V45" s="878"/>
      <c r="W45" s="878"/>
      <c r="X45" s="878"/>
      <c r="Y45" s="871">
        <v>2909</v>
      </c>
      <c r="Z45" s="872"/>
      <c r="AA45" s="872"/>
      <c r="AB45" s="873"/>
      <c r="AD45" s="399"/>
      <c r="AE45" s="367"/>
      <c r="AF45" s="367"/>
      <c r="AG45" s="367"/>
      <c r="AH45" s="367"/>
      <c r="AI45" s="367"/>
      <c r="AJ45" s="367"/>
      <c r="AK45" s="367"/>
      <c r="AL45" s="367"/>
      <c r="AM45" s="399"/>
      <c r="AN45" s="399"/>
      <c r="AO45" s="399"/>
      <c r="AP45" s="399"/>
    </row>
    <row r="46" spans="1:44">
      <c r="U46" s="879"/>
      <c r="V46" s="879"/>
      <c r="W46" s="879"/>
      <c r="X46" s="879"/>
      <c r="Y46" s="2"/>
      <c r="Z46" s="4"/>
      <c r="AA46" s="4"/>
      <c r="AB46" s="4"/>
      <c r="AC46" s="2"/>
      <c r="AD46" s="399"/>
      <c r="AE46" s="367"/>
      <c r="AF46" s="367"/>
      <c r="AG46" s="367"/>
      <c r="AH46" s="367"/>
      <c r="AI46" s="367"/>
      <c r="AJ46" s="367"/>
      <c r="AK46" s="367"/>
      <c r="AL46" s="367"/>
      <c r="AM46" s="399"/>
      <c r="AN46" s="399"/>
      <c r="AO46" s="399"/>
      <c r="AP46" s="399"/>
    </row>
    <row r="47" spans="1:44">
      <c r="Y47" s="2"/>
      <c r="Z47" s="3"/>
      <c r="AA47" s="3"/>
      <c r="AB47" s="3"/>
      <c r="AC47" s="2"/>
      <c r="AD47" s="399"/>
      <c r="AE47" s="367"/>
      <c r="AF47" s="367"/>
      <c r="AG47" s="367"/>
      <c r="AH47" s="367"/>
      <c r="AI47" s="367"/>
      <c r="AJ47" s="367"/>
      <c r="AK47" s="367"/>
      <c r="AL47" s="367"/>
      <c r="AM47" s="399"/>
      <c r="AN47" s="399"/>
      <c r="AO47" s="399"/>
      <c r="AP47" s="399"/>
    </row>
    <row r="48" spans="1:44">
      <c r="AD48" s="399"/>
      <c r="AE48" s="399"/>
      <c r="AF48" s="399"/>
      <c r="AG48" s="399"/>
      <c r="AH48" s="399"/>
      <c r="AI48" s="399"/>
      <c r="AJ48" s="399"/>
      <c r="AK48" s="399"/>
      <c r="AL48" s="399"/>
      <c r="AM48" s="399"/>
      <c r="AN48" s="399"/>
      <c r="AO48" s="399"/>
      <c r="AP48" s="399"/>
    </row>
    <row r="49" spans="1:42">
      <c r="AD49" s="399"/>
      <c r="AE49" s="399"/>
      <c r="AF49" s="399"/>
      <c r="AG49" s="399"/>
      <c r="AH49" s="399"/>
      <c r="AI49" s="399"/>
      <c r="AJ49" s="399"/>
      <c r="AK49" s="399"/>
      <c r="AL49" s="399"/>
      <c r="AM49" s="399"/>
      <c r="AN49" s="399"/>
      <c r="AO49" s="399"/>
      <c r="AP49" s="399"/>
    </row>
    <row r="50" spans="1:42">
      <c r="AD50" s="399"/>
      <c r="AE50" s="399"/>
      <c r="AF50" s="399"/>
      <c r="AG50" s="399"/>
      <c r="AH50" s="399"/>
      <c r="AI50" s="399"/>
      <c r="AJ50" s="399"/>
      <c r="AK50" s="399"/>
      <c r="AL50" s="399"/>
      <c r="AM50" s="399"/>
      <c r="AN50" s="399"/>
      <c r="AO50" s="399"/>
      <c r="AP50" s="399"/>
    </row>
    <row r="51" spans="1:42"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  <c r="AP51" s="399"/>
    </row>
    <row r="52" spans="1:4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  <c r="AN52" s="399"/>
      <c r="AO52" s="399"/>
      <c r="AP52" s="399"/>
    </row>
    <row r="53" spans="1:42" ht="16" customHeight="1">
      <c r="A53" s="19"/>
      <c r="B53" s="19"/>
      <c r="C53" s="19"/>
      <c r="D53" s="19"/>
      <c r="E53" s="19"/>
      <c r="F53" s="19"/>
      <c r="G53" s="19"/>
      <c r="H53" s="19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D53" s="399"/>
      <c r="AE53" s="399"/>
      <c r="AF53" s="399"/>
      <c r="AG53" s="399"/>
      <c r="AH53" s="399"/>
      <c r="AI53" s="399"/>
      <c r="AJ53" s="399"/>
      <c r="AK53" s="399"/>
      <c r="AL53" s="399"/>
      <c r="AM53" s="399"/>
      <c r="AN53" s="399"/>
      <c r="AO53" s="399"/>
      <c r="AP53" s="399"/>
    </row>
    <row r="54" spans="1:42" ht="16" customHeight="1">
      <c r="A54" s="19"/>
      <c r="B54" s="19"/>
      <c r="C54" s="19"/>
      <c r="D54" s="19"/>
      <c r="E54" s="19"/>
      <c r="F54" s="19"/>
      <c r="G54" s="19"/>
      <c r="H54" s="19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  <c r="AN54" s="399"/>
      <c r="AO54" s="399"/>
      <c r="AP54" s="399"/>
    </row>
    <row r="55" spans="1:42" ht="16" customHeight="1">
      <c r="A55" s="19"/>
      <c r="B55" s="19"/>
      <c r="C55" s="19"/>
      <c r="D55" s="19"/>
      <c r="E55" s="19"/>
      <c r="F55" s="19"/>
      <c r="G55" s="19"/>
      <c r="H55" s="19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D55" s="399"/>
      <c r="AE55" s="399"/>
      <c r="AF55" s="399"/>
      <c r="AG55" s="399"/>
      <c r="AH55" s="399"/>
      <c r="AI55" s="399"/>
      <c r="AJ55" s="399"/>
      <c r="AK55" s="399"/>
      <c r="AL55" s="399"/>
      <c r="AM55" s="399"/>
      <c r="AN55" s="399"/>
      <c r="AO55" s="399"/>
      <c r="AP55" s="399"/>
    </row>
    <row r="56" spans="1:42" ht="18">
      <c r="A56" s="20"/>
      <c r="B56" s="20"/>
      <c r="C56" s="20"/>
      <c r="D56" s="20"/>
      <c r="E56" s="20"/>
      <c r="F56" s="20"/>
      <c r="G56" s="20"/>
      <c r="H56" s="20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D56" s="399"/>
      <c r="AE56" s="399"/>
      <c r="AF56" s="399"/>
      <c r="AG56" s="399"/>
      <c r="AH56" s="399"/>
      <c r="AI56" s="399"/>
      <c r="AJ56" s="399"/>
      <c r="AK56" s="399"/>
      <c r="AL56" s="399"/>
      <c r="AM56" s="399"/>
      <c r="AN56" s="399"/>
      <c r="AO56" s="399"/>
      <c r="AP56" s="399"/>
    </row>
    <row r="57" spans="1:42">
      <c r="A57" s="21"/>
      <c r="B57" s="21"/>
      <c r="C57" s="21"/>
      <c r="D57" s="21"/>
      <c r="E57" s="21"/>
      <c r="F57" s="21"/>
      <c r="G57" s="21"/>
      <c r="H57" s="21"/>
      <c r="I57" s="22"/>
      <c r="J57" s="23"/>
      <c r="K57" s="23"/>
      <c r="L57" s="23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D57" s="399"/>
      <c r="AE57" s="399"/>
      <c r="AF57" s="399"/>
      <c r="AG57" s="399"/>
      <c r="AH57" s="399"/>
      <c r="AI57" s="399"/>
      <c r="AJ57" s="399"/>
      <c r="AK57" s="399"/>
      <c r="AL57" s="399"/>
      <c r="AM57" s="399"/>
      <c r="AN57" s="399"/>
      <c r="AO57" s="399"/>
      <c r="AP57" s="399"/>
    </row>
    <row r="58" spans="1:42">
      <c r="A58" s="24"/>
      <c r="B58" s="24"/>
      <c r="C58" s="24"/>
      <c r="D58" s="24"/>
      <c r="E58" s="24"/>
      <c r="F58" s="24"/>
      <c r="G58" s="24"/>
      <c r="H58" s="24"/>
      <c r="I58" s="23"/>
      <c r="J58" s="23"/>
      <c r="K58" s="23"/>
      <c r="L58" s="23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D58" s="399"/>
      <c r="AE58" s="399"/>
      <c r="AF58" s="399"/>
      <c r="AG58" s="399"/>
      <c r="AH58" s="399"/>
      <c r="AI58" s="399"/>
      <c r="AJ58" s="399"/>
      <c r="AK58" s="399"/>
      <c r="AL58" s="399"/>
      <c r="AM58" s="399"/>
      <c r="AN58" s="399"/>
      <c r="AO58" s="399"/>
      <c r="AP58" s="399"/>
    </row>
    <row r="59" spans="1:42" ht="19">
      <c r="A59" s="25"/>
      <c r="B59" s="25"/>
      <c r="C59" s="25"/>
      <c r="D59" s="25"/>
      <c r="E59" s="25"/>
      <c r="F59" s="25"/>
      <c r="G59" s="25"/>
      <c r="H59" s="25"/>
      <c r="I59" s="18"/>
      <c r="J59" s="18"/>
      <c r="K59" s="18"/>
      <c r="L59" s="18"/>
      <c r="M59" s="26"/>
      <c r="N59" s="26"/>
      <c r="O59" s="26"/>
      <c r="P59" s="26"/>
      <c r="Q59" s="27"/>
      <c r="R59" s="27"/>
      <c r="S59" s="27"/>
      <c r="T59" s="27"/>
      <c r="U59" s="26"/>
      <c r="V59" s="26"/>
      <c r="W59" s="26"/>
      <c r="X59" s="26"/>
      <c r="Y59" s="27"/>
      <c r="Z59" s="27"/>
      <c r="AA59" s="27"/>
      <c r="AB59" s="27"/>
      <c r="AD59" s="399"/>
      <c r="AE59" s="399"/>
      <c r="AF59" s="399"/>
      <c r="AG59" s="399"/>
      <c r="AH59" s="399"/>
      <c r="AI59" s="399"/>
      <c r="AJ59" s="399"/>
      <c r="AK59" s="399"/>
      <c r="AL59" s="399"/>
      <c r="AM59" s="399"/>
      <c r="AN59" s="399"/>
      <c r="AO59" s="399"/>
      <c r="AP59" s="399"/>
    </row>
    <row r="60" spans="1:42" ht="18">
      <c r="A60" s="731" t="s">
        <v>396</v>
      </c>
      <c r="B60" s="731"/>
      <c r="C60" s="731"/>
      <c r="D60" s="731"/>
      <c r="E60" s="732"/>
      <c r="F60" s="732"/>
      <c r="G60" s="28"/>
      <c r="H60" s="28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9"/>
      <c r="Z60" s="29"/>
      <c r="AA60" s="29"/>
      <c r="AB60" s="2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  <c r="AN60" s="399"/>
      <c r="AO60" s="399"/>
      <c r="AP60" s="399"/>
    </row>
    <row r="61" spans="1:42" ht="18" customHeight="1">
      <c r="A61" s="731"/>
      <c r="B61" s="731"/>
      <c r="C61" s="731"/>
      <c r="D61" s="731"/>
      <c r="E61" s="733"/>
      <c r="F61" s="733"/>
      <c r="G61" s="30"/>
      <c r="H61" s="30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9"/>
      <c r="Z61" s="29"/>
      <c r="AA61" s="29"/>
      <c r="AB61" s="29"/>
      <c r="AD61" s="399"/>
      <c r="AE61" s="399"/>
      <c r="AF61" s="399"/>
      <c r="AG61" s="399"/>
      <c r="AH61" s="399"/>
      <c r="AI61" s="399"/>
      <c r="AJ61" s="399"/>
      <c r="AK61" s="399"/>
      <c r="AL61" s="399"/>
      <c r="AM61" s="399"/>
      <c r="AN61" s="399"/>
      <c r="AO61" s="399"/>
      <c r="AP61" s="399"/>
    </row>
    <row r="62" spans="1:42" ht="18">
      <c r="A62" s="30"/>
      <c r="B62" s="30"/>
      <c r="C62" s="30"/>
      <c r="D62" s="30"/>
      <c r="E62" s="30"/>
      <c r="F62" s="30"/>
      <c r="G62" s="30"/>
      <c r="H62" s="3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29"/>
      <c r="Z62" s="29"/>
      <c r="AA62" s="29"/>
      <c r="AB62" s="29"/>
      <c r="AD62" s="399"/>
      <c r="AE62" s="399"/>
      <c r="AF62" s="399"/>
      <c r="AG62" s="399"/>
      <c r="AH62" s="399"/>
      <c r="AI62" s="399"/>
      <c r="AJ62" s="399"/>
      <c r="AK62" s="399"/>
      <c r="AL62" s="399"/>
      <c r="AM62" s="399"/>
      <c r="AN62" s="399"/>
      <c r="AO62" s="399"/>
      <c r="AP62" s="399"/>
    </row>
    <row r="63" spans="1:42" ht="18">
      <c r="A63" s="28"/>
      <c r="B63" s="28"/>
      <c r="C63" s="28"/>
      <c r="D63" s="28"/>
      <c r="E63" s="28"/>
      <c r="F63" s="28"/>
      <c r="G63" s="28"/>
      <c r="H63" s="28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2"/>
      <c r="Z63" s="32"/>
      <c r="AA63" s="32"/>
      <c r="AB63" s="32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  <c r="AP63" s="399"/>
    </row>
    <row r="64" spans="1:42" ht="18">
      <c r="A64" s="30"/>
      <c r="B64" s="30"/>
      <c r="C64" s="30"/>
      <c r="D64" s="30"/>
      <c r="E64" s="30"/>
      <c r="F64" s="30"/>
      <c r="G64" s="30"/>
      <c r="H64" s="30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33"/>
      <c r="Z64" s="33"/>
      <c r="AA64" s="33"/>
      <c r="AB64" s="33"/>
      <c r="AD64" s="399"/>
      <c r="AE64" s="399"/>
      <c r="AF64" s="399"/>
      <c r="AG64" s="399"/>
      <c r="AH64" s="399"/>
      <c r="AI64" s="399"/>
      <c r="AJ64" s="399"/>
      <c r="AK64" s="399"/>
      <c r="AL64" s="399"/>
      <c r="AM64" s="399"/>
      <c r="AN64" s="399"/>
      <c r="AO64" s="399"/>
      <c r="AP64" s="399"/>
    </row>
    <row r="65" spans="1:42" ht="18">
      <c r="A65" s="30"/>
      <c r="B65" s="30"/>
      <c r="C65" s="30"/>
      <c r="D65" s="30"/>
      <c r="E65" s="30"/>
      <c r="F65" s="30"/>
      <c r="G65" s="30"/>
      <c r="H65" s="3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29"/>
      <c r="Z65" s="29"/>
      <c r="AA65" s="29"/>
      <c r="AB65" s="29"/>
      <c r="AD65" s="399"/>
      <c r="AE65" s="399"/>
      <c r="AF65" s="399"/>
      <c r="AG65" s="399"/>
      <c r="AH65" s="399"/>
      <c r="AI65" s="399"/>
      <c r="AJ65" s="399"/>
      <c r="AK65" s="399"/>
      <c r="AL65" s="399"/>
      <c r="AM65" s="399"/>
      <c r="AN65" s="399"/>
      <c r="AO65" s="399"/>
      <c r="AP65" s="399"/>
    </row>
    <row r="66" spans="1:42" ht="1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2"/>
      <c r="Z66" s="32"/>
      <c r="AA66" s="32"/>
      <c r="AB66" s="32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  <c r="AP66" s="399"/>
    </row>
    <row r="67" spans="1:42" ht="18">
      <c r="A67" s="28"/>
      <c r="B67" s="28"/>
      <c r="C67" s="28"/>
      <c r="D67" s="28"/>
      <c r="E67" s="28"/>
      <c r="F67" s="28"/>
      <c r="G67" s="28"/>
      <c r="H67" s="28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33"/>
      <c r="Z67" s="33"/>
      <c r="AA67" s="33"/>
      <c r="AB67" s="33"/>
      <c r="AD67" s="399"/>
      <c r="AE67" s="399"/>
      <c r="AF67" s="399"/>
      <c r="AG67" s="399"/>
      <c r="AH67" s="399"/>
      <c r="AI67" s="399"/>
      <c r="AJ67" s="399"/>
      <c r="AK67" s="399"/>
      <c r="AL67" s="399"/>
      <c r="AM67" s="399"/>
      <c r="AN67" s="399"/>
      <c r="AO67" s="399"/>
      <c r="AP67" s="399"/>
    </row>
    <row r="68" spans="1:42" ht="18" customHeight="1">
      <c r="A68" s="30"/>
      <c r="B68" s="30"/>
      <c r="C68" s="30"/>
      <c r="D68" s="30"/>
      <c r="E68" s="30"/>
      <c r="F68" s="30"/>
      <c r="G68" s="30"/>
      <c r="H68" s="30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9"/>
      <c r="Z68" s="29"/>
      <c r="AA68" s="29"/>
      <c r="AB68" s="29"/>
      <c r="AD68" s="399"/>
      <c r="AE68" s="399"/>
      <c r="AF68" s="399"/>
      <c r="AG68" s="399"/>
      <c r="AH68" s="399"/>
      <c r="AI68" s="399"/>
      <c r="AJ68" s="399"/>
      <c r="AK68" s="399"/>
      <c r="AL68" s="399"/>
      <c r="AM68" s="399"/>
      <c r="AN68" s="399"/>
      <c r="AO68" s="399"/>
      <c r="AP68" s="399"/>
    </row>
    <row r="69" spans="1:42" ht="18" customHeight="1">
      <c r="A69" s="30"/>
      <c r="B69" s="30"/>
      <c r="C69" s="30"/>
      <c r="D69" s="30"/>
      <c r="E69" s="30"/>
      <c r="F69" s="30"/>
      <c r="G69" s="30"/>
      <c r="H69" s="30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9"/>
      <c r="Z69" s="29"/>
      <c r="AA69" s="29"/>
      <c r="AB69" s="2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  <c r="AP69" s="399"/>
    </row>
    <row r="70" spans="1:42" ht="18" customHeight="1">
      <c r="A70" s="30"/>
      <c r="B70" s="30"/>
      <c r="C70" s="30"/>
      <c r="D70" s="30"/>
      <c r="E70" s="30"/>
      <c r="F70" s="30"/>
      <c r="G70" s="30"/>
      <c r="H70" s="30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9"/>
      <c r="Z70" s="29"/>
      <c r="AA70" s="29"/>
      <c r="AB70" s="29"/>
      <c r="AD70" s="399"/>
      <c r="AE70" s="399"/>
      <c r="AF70" s="399"/>
      <c r="AG70" s="399"/>
      <c r="AH70" s="399"/>
      <c r="AI70" s="399"/>
      <c r="AJ70" s="399"/>
      <c r="AK70" s="399"/>
      <c r="AL70" s="399"/>
      <c r="AM70" s="399"/>
      <c r="AN70" s="399"/>
      <c r="AO70" s="399"/>
      <c r="AP70" s="399"/>
    </row>
    <row r="71" spans="1:42" ht="1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2"/>
      <c r="Z71" s="32"/>
      <c r="AA71" s="32"/>
      <c r="AB71" s="32"/>
      <c r="AD71" s="399"/>
      <c r="AE71" s="399"/>
      <c r="AF71" s="399"/>
      <c r="AG71" s="399"/>
      <c r="AH71" s="399"/>
      <c r="AI71" s="399"/>
      <c r="AJ71" s="399"/>
      <c r="AK71" s="399"/>
      <c r="AL71" s="399"/>
      <c r="AM71" s="399"/>
      <c r="AN71" s="399"/>
      <c r="AO71" s="399"/>
      <c r="AP71" s="399"/>
    </row>
    <row r="72" spans="1:42" ht="18">
      <c r="A72" s="30"/>
      <c r="B72" s="30"/>
      <c r="C72" s="30"/>
      <c r="D72" s="30"/>
      <c r="E72" s="30"/>
      <c r="F72" s="30"/>
      <c r="G72" s="30"/>
      <c r="H72" s="3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3"/>
      <c r="Z72" s="33"/>
      <c r="AA72" s="33"/>
      <c r="AB72" s="33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  <c r="AP72" s="399"/>
    </row>
    <row r="73" spans="1:42" ht="18">
      <c r="A73" s="28"/>
      <c r="B73" s="28"/>
      <c r="C73" s="28"/>
      <c r="D73" s="28"/>
      <c r="E73" s="28"/>
      <c r="F73" s="28"/>
      <c r="G73" s="28"/>
      <c r="H73" s="28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9"/>
      <c r="Z73" s="29"/>
      <c r="AA73" s="29"/>
      <c r="AB73" s="29"/>
      <c r="AD73" s="399"/>
      <c r="AE73" s="399"/>
      <c r="AF73" s="399"/>
      <c r="AG73" s="399"/>
      <c r="AH73" s="399"/>
      <c r="AI73" s="399"/>
      <c r="AJ73" s="399"/>
      <c r="AK73" s="399"/>
      <c r="AL73" s="399"/>
      <c r="AM73" s="399"/>
      <c r="AN73" s="399"/>
      <c r="AO73" s="399"/>
      <c r="AP73" s="399"/>
    </row>
    <row r="74" spans="1:42" ht="18">
      <c r="A74" s="30"/>
      <c r="B74" s="30"/>
      <c r="C74" s="30"/>
      <c r="D74" s="30"/>
      <c r="E74" s="30"/>
      <c r="F74" s="30"/>
      <c r="G74" s="30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29"/>
      <c r="Z74" s="29"/>
      <c r="AA74" s="29"/>
      <c r="AB74" s="2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  <c r="AP74" s="399"/>
    </row>
    <row r="75" spans="1:42" ht="1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2"/>
      <c r="Z75" s="32"/>
      <c r="AA75" s="32"/>
      <c r="AB75" s="32"/>
    </row>
    <row r="76" spans="1:42" ht="18">
      <c r="A76" s="30"/>
      <c r="B76" s="30"/>
      <c r="C76" s="30"/>
      <c r="D76" s="30"/>
      <c r="E76" s="30"/>
      <c r="F76" s="30"/>
      <c r="G76" s="30"/>
      <c r="H76" s="30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33"/>
      <c r="Z76" s="33"/>
      <c r="AA76" s="33"/>
      <c r="AB76" s="33"/>
    </row>
    <row r="77" spans="1:42" ht="18">
      <c r="A77" s="28"/>
      <c r="B77" s="28"/>
      <c r="C77" s="28"/>
      <c r="D77" s="28"/>
      <c r="E77" s="28"/>
      <c r="F77" s="28"/>
      <c r="G77" s="28"/>
      <c r="H77" s="28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9"/>
      <c r="Z77" s="29"/>
      <c r="AA77" s="29"/>
      <c r="AB77" s="29"/>
    </row>
    <row r="78" spans="1:42" ht="18">
      <c r="A78" s="30"/>
      <c r="B78" s="30"/>
      <c r="C78" s="30"/>
      <c r="D78" s="30"/>
      <c r="E78" s="30"/>
      <c r="F78" s="30"/>
      <c r="G78" s="30"/>
      <c r="H78" s="3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29"/>
      <c r="Z78" s="29"/>
      <c r="AA78" s="29"/>
      <c r="AB78" s="29"/>
    </row>
    <row r="79" spans="1:42" ht="1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9"/>
      <c r="Z79" s="29"/>
      <c r="AA79" s="29"/>
      <c r="AB79" s="29"/>
    </row>
    <row r="80" spans="1:42" ht="18">
      <c r="A80" s="30"/>
      <c r="B80" s="30"/>
      <c r="C80" s="30"/>
      <c r="D80" s="30"/>
      <c r="E80" s="30"/>
      <c r="F80" s="30"/>
      <c r="G80" s="30"/>
      <c r="H80" s="30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9"/>
      <c r="Z80" s="29"/>
      <c r="AA80" s="29"/>
      <c r="AB80" s="29"/>
    </row>
    <row r="81" spans="1:28" ht="18">
      <c r="A81" s="30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4"/>
      <c r="Z81" s="34"/>
      <c r="AA81" s="34"/>
      <c r="AB81" s="34"/>
    </row>
    <row r="82" spans="1:28" ht="1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1"/>
      <c r="N82" s="31"/>
      <c r="O82" s="31"/>
      <c r="P82" s="31"/>
      <c r="Q82" s="30"/>
      <c r="R82" s="30"/>
      <c r="S82" s="30"/>
      <c r="T82" s="30"/>
      <c r="U82" s="30"/>
      <c r="V82" s="30"/>
      <c r="W82" s="30"/>
      <c r="X82" s="30"/>
      <c r="Y82" s="33"/>
      <c r="Z82" s="33"/>
      <c r="AA82" s="33"/>
      <c r="AB82" s="33"/>
    </row>
    <row r="83" spans="1:28" ht="18" customHeight="1">
      <c r="A83" s="30"/>
      <c r="B83" s="30"/>
      <c r="C83" s="30"/>
      <c r="D83" s="30"/>
      <c r="E83" s="30"/>
      <c r="F83" s="30"/>
      <c r="G83" s="30"/>
      <c r="H83" s="30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33"/>
      <c r="Z83" s="33"/>
      <c r="AA83" s="33"/>
      <c r="AB83" s="33"/>
    </row>
    <row r="84" spans="1:28" ht="18" customHeight="1">
      <c r="A84" s="30"/>
      <c r="B84" s="30"/>
      <c r="C84" s="30"/>
      <c r="D84" s="30"/>
      <c r="E84" s="30"/>
      <c r="F84" s="30"/>
      <c r="G84" s="30"/>
      <c r="H84" s="30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9"/>
      <c r="Z84" s="29"/>
      <c r="AA84" s="29"/>
      <c r="AB84" s="29"/>
    </row>
    <row r="85" spans="1:28" ht="18" customHeight="1">
      <c r="A85" s="28"/>
      <c r="B85" s="28"/>
      <c r="C85" s="28"/>
      <c r="D85" s="28"/>
      <c r="E85" s="28"/>
      <c r="F85" s="28"/>
      <c r="G85" s="28"/>
      <c r="H85" s="28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9"/>
      <c r="Z85" s="29"/>
      <c r="AA85" s="29"/>
      <c r="AB85" s="29"/>
    </row>
    <row r="86" spans="1:28" ht="18" customHeight="1">
      <c r="A86" s="30"/>
      <c r="B86" s="30"/>
      <c r="C86" s="30"/>
      <c r="D86" s="30"/>
      <c r="E86" s="30"/>
      <c r="F86" s="30"/>
      <c r="G86" s="30"/>
      <c r="H86" s="30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9"/>
      <c r="Z86" s="29"/>
      <c r="AA86" s="29"/>
      <c r="AB86" s="29"/>
    </row>
    <row r="87" spans="1:28" ht="18">
      <c r="A87" s="28"/>
      <c r="B87" s="28"/>
      <c r="C87" s="28"/>
      <c r="D87" s="28"/>
      <c r="E87" s="28"/>
      <c r="F87" s="28"/>
      <c r="G87" s="28"/>
      <c r="H87" s="28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29"/>
      <c r="Z87" s="29"/>
      <c r="AA87" s="29"/>
      <c r="AB87" s="29"/>
    </row>
    <row r="88" spans="1:28" ht="1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9"/>
      <c r="Z88" s="29"/>
      <c r="AA88" s="29"/>
      <c r="AB88" s="29"/>
    </row>
    <row r="89" spans="1:28" ht="18">
      <c r="A89" s="30"/>
      <c r="B89" s="30"/>
      <c r="C89" s="30"/>
      <c r="D89" s="30"/>
      <c r="E89" s="30"/>
      <c r="F89" s="30"/>
      <c r="G89" s="30"/>
      <c r="H89" s="30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9"/>
      <c r="Z89" s="29"/>
      <c r="AA89" s="29"/>
      <c r="AB89" s="29"/>
    </row>
    <row r="90" spans="1:28" ht="18">
      <c r="A90" s="30"/>
      <c r="B90" s="30"/>
      <c r="C90" s="30"/>
      <c r="D90" s="30"/>
      <c r="E90" s="30"/>
      <c r="F90" s="30"/>
      <c r="G90" s="30"/>
      <c r="H90" s="3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29"/>
      <c r="Z90" s="29"/>
      <c r="AA90" s="29"/>
      <c r="AB90" s="29"/>
    </row>
    <row r="91" spans="1:28" ht="18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9"/>
      <c r="Z91" s="29"/>
      <c r="AA91" s="29"/>
      <c r="AB91" s="29"/>
    </row>
    <row r="92" spans="1:28" ht="18">
      <c r="A92" s="30"/>
      <c r="B92" s="30"/>
      <c r="C92" s="30"/>
      <c r="D92" s="30"/>
      <c r="E92" s="30"/>
      <c r="F92" s="30"/>
      <c r="G92" s="30"/>
      <c r="H92" s="30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32"/>
      <c r="Z92" s="32"/>
      <c r="AA92" s="32"/>
      <c r="AB92" s="32"/>
    </row>
    <row r="93" spans="1:28" ht="18" customHeight="1">
      <c r="A93" s="30"/>
      <c r="B93" s="30"/>
      <c r="C93" s="30"/>
      <c r="D93" s="30"/>
      <c r="E93" s="30"/>
      <c r="F93" s="30"/>
      <c r="G93" s="30"/>
      <c r="H93" s="30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33"/>
      <c r="Z93" s="33"/>
      <c r="AA93" s="33"/>
      <c r="AB93" s="33"/>
    </row>
    <row r="94" spans="1:28" ht="18">
      <c r="A94" s="30"/>
      <c r="B94" s="30"/>
      <c r="C94" s="30"/>
      <c r="D94" s="30"/>
      <c r="E94" s="30"/>
      <c r="F94" s="30"/>
      <c r="G94" s="30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29"/>
      <c r="Z94" s="29"/>
      <c r="AA94" s="29"/>
      <c r="AB94" s="29"/>
    </row>
    <row r="95" spans="1:28" ht="18">
      <c r="A95" s="28"/>
      <c r="B95" s="28"/>
      <c r="C95" s="28"/>
      <c r="D95" s="28"/>
      <c r="E95" s="28"/>
      <c r="F95" s="28"/>
      <c r="G95" s="28"/>
      <c r="H95" s="28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9"/>
      <c r="Z95" s="29"/>
      <c r="AA95" s="29"/>
      <c r="AB95" s="29"/>
    </row>
    <row r="96" spans="1:28" ht="18">
      <c r="A96" s="30"/>
      <c r="B96" s="30"/>
      <c r="C96" s="30"/>
      <c r="D96" s="30"/>
      <c r="E96" s="30"/>
      <c r="F96" s="30"/>
      <c r="G96" s="30"/>
      <c r="H96" s="30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9"/>
      <c r="Z96" s="29"/>
      <c r="AA96" s="29"/>
      <c r="AB96" s="29"/>
    </row>
    <row r="97" spans="1:28" ht="18">
      <c r="A97" s="30"/>
      <c r="B97" s="30"/>
      <c r="C97" s="30"/>
      <c r="D97" s="30"/>
      <c r="E97" s="30"/>
      <c r="F97" s="30"/>
      <c r="G97" s="30"/>
      <c r="H97" s="30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29"/>
      <c r="Z97" s="29"/>
      <c r="AA97" s="29"/>
      <c r="AB97" s="29"/>
    </row>
    <row r="98" spans="1:28" ht="18">
      <c r="A98" s="30"/>
      <c r="B98" s="30"/>
      <c r="C98" s="30"/>
      <c r="D98" s="30"/>
      <c r="E98" s="30"/>
      <c r="F98" s="30"/>
      <c r="G98" s="30"/>
      <c r="H98" s="30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29"/>
      <c r="Z98" s="29"/>
      <c r="AA98" s="29"/>
      <c r="AB98" s="29"/>
    </row>
    <row r="99" spans="1:28" ht="18">
      <c r="A99" s="30"/>
      <c r="B99" s="30"/>
      <c r="C99" s="30"/>
      <c r="D99" s="30"/>
      <c r="E99" s="30"/>
      <c r="F99" s="30"/>
      <c r="G99" s="30"/>
      <c r="H99" s="30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29"/>
      <c r="Z99" s="29"/>
      <c r="AA99" s="29"/>
      <c r="AB99" s="29"/>
    </row>
    <row r="100" spans="1:28" ht="18">
      <c r="A100" s="30"/>
      <c r="B100" s="30"/>
      <c r="C100" s="30"/>
      <c r="D100" s="30"/>
      <c r="E100" s="30"/>
      <c r="F100" s="30"/>
      <c r="G100" s="30"/>
      <c r="H100" s="30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32"/>
      <c r="Z100" s="32"/>
      <c r="AA100" s="32"/>
      <c r="AB100" s="32"/>
    </row>
    <row r="101" spans="1:28" ht="18">
      <c r="A101" s="30"/>
      <c r="B101" s="30"/>
      <c r="C101" s="30"/>
      <c r="D101" s="30"/>
      <c r="E101" s="30"/>
      <c r="F101" s="30"/>
      <c r="G101" s="30"/>
      <c r="H101" s="30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33"/>
      <c r="Z101" s="33"/>
      <c r="AA101" s="33"/>
      <c r="AB101" s="33"/>
    </row>
    <row r="102" spans="1:28" ht="18">
      <c r="A102" s="30"/>
      <c r="B102" s="30"/>
      <c r="C102" s="30"/>
      <c r="D102" s="30"/>
      <c r="E102" s="30"/>
      <c r="F102" s="30"/>
      <c r="G102" s="30"/>
      <c r="H102" s="30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29"/>
      <c r="Z102" s="29"/>
      <c r="AA102" s="29"/>
      <c r="AB102" s="29"/>
    </row>
    <row r="103" spans="1:28" ht="18">
      <c r="A103" s="28"/>
      <c r="B103" s="28"/>
      <c r="C103" s="28"/>
      <c r="D103" s="28"/>
      <c r="E103" s="28"/>
      <c r="F103" s="28"/>
      <c r="G103" s="28"/>
      <c r="H103" s="2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29"/>
      <c r="Z103" s="29"/>
      <c r="AA103" s="29"/>
      <c r="AB103" s="29"/>
    </row>
    <row r="104" spans="1:28" ht="18">
      <c r="A104" s="30"/>
      <c r="B104" s="30"/>
      <c r="C104" s="30"/>
      <c r="D104" s="30"/>
      <c r="E104" s="30"/>
      <c r="F104" s="30"/>
      <c r="G104" s="30"/>
      <c r="H104" s="30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29"/>
      <c r="Z104" s="29"/>
      <c r="AA104" s="29"/>
      <c r="AB104" s="29"/>
    </row>
    <row r="105" spans="1:28" ht="18">
      <c r="A105" s="30"/>
      <c r="B105" s="30"/>
      <c r="C105" s="30"/>
      <c r="D105" s="30"/>
      <c r="E105" s="30"/>
      <c r="F105" s="30"/>
      <c r="G105" s="30"/>
      <c r="H105" s="30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29"/>
      <c r="Z105" s="29"/>
      <c r="AA105" s="29"/>
      <c r="AB105" s="29"/>
    </row>
    <row r="106" spans="1:28" ht="18">
      <c r="A106" s="30"/>
      <c r="B106" s="30"/>
      <c r="C106" s="30"/>
      <c r="D106" s="30"/>
      <c r="E106" s="30"/>
      <c r="F106" s="30"/>
      <c r="G106" s="30"/>
      <c r="H106" s="30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29"/>
      <c r="Z106" s="29"/>
      <c r="AA106" s="29"/>
      <c r="AB106" s="29"/>
    </row>
    <row r="107" spans="1:28" ht="18">
      <c r="A107" s="30"/>
      <c r="B107" s="30"/>
      <c r="C107" s="30"/>
      <c r="D107" s="30"/>
      <c r="E107" s="30"/>
      <c r="F107" s="30"/>
      <c r="G107" s="30"/>
      <c r="H107" s="30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32"/>
      <c r="Z107" s="32"/>
      <c r="AA107" s="32"/>
      <c r="AB107" s="32"/>
    </row>
    <row r="108" spans="1:28" ht="18">
      <c r="A108" s="30"/>
      <c r="B108" s="30"/>
      <c r="C108" s="30"/>
      <c r="D108" s="30"/>
      <c r="E108" s="30"/>
      <c r="F108" s="30"/>
      <c r="G108" s="30"/>
      <c r="H108" s="30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33"/>
      <c r="Z108" s="33"/>
      <c r="AA108" s="33"/>
      <c r="AB108" s="33"/>
    </row>
    <row r="109" spans="1:28" ht="18">
      <c r="A109" s="30"/>
      <c r="B109" s="30"/>
      <c r="C109" s="30"/>
      <c r="D109" s="30"/>
      <c r="E109" s="30"/>
      <c r="F109" s="30"/>
      <c r="G109" s="30"/>
      <c r="H109" s="30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36"/>
      <c r="Z109" s="36"/>
      <c r="AA109" s="36"/>
      <c r="AB109" s="36"/>
    </row>
    <row r="110" spans="1:28" ht="18">
      <c r="A110" s="28"/>
      <c r="B110" s="28"/>
      <c r="C110" s="28"/>
      <c r="D110" s="28"/>
      <c r="E110" s="28"/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33"/>
      <c r="Z110" s="33"/>
      <c r="AA110" s="33"/>
      <c r="AB110" s="33"/>
    </row>
    <row r="111" spans="1:28" ht="18">
      <c r="A111" s="30"/>
      <c r="B111" s="30"/>
      <c r="C111" s="30"/>
      <c r="D111" s="30"/>
      <c r="E111" s="30"/>
      <c r="F111" s="30"/>
      <c r="G111" s="30"/>
      <c r="H111" s="30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34"/>
      <c r="Z111" s="34"/>
      <c r="AA111" s="34"/>
      <c r="AB111" s="34"/>
    </row>
    <row r="112" spans="1:28" ht="18">
      <c r="A112" s="30"/>
      <c r="B112" s="30"/>
      <c r="C112" s="30"/>
      <c r="D112" s="30"/>
      <c r="E112" s="30"/>
      <c r="F112" s="30"/>
      <c r="G112" s="30"/>
      <c r="H112" s="30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33"/>
      <c r="Z112" s="33"/>
      <c r="AA112" s="33"/>
      <c r="AB112" s="33"/>
    </row>
    <row r="113" spans="1:28" ht="18">
      <c r="A113" s="30"/>
      <c r="B113" s="30"/>
      <c r="C113" s="30"/>
      <c r="D113" s="30"/>
      <c r="E113" s="30"/>
      <c r="F113" s="30"/>
      <c r="G113" s="30"/>
      <c r="H113" s="30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36"/>
      <c r="Z113" s="36"/>
      <c r="AA113" s="36"/>
      <c r="AB113" s="36"/>
    </row>
    <row r="114" spans="1:28" ht="18">
      <c r="A114" s="28"/>
      <c r="B114" s="28"/>
      <c r="C114" s="28"/>
      <c r="D114" s="28"/>
      <c r="E114" s="28"/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33"/>
      <c r="Z114" s="33"/>
      <c r="AA114" s="33"/>
      <c r="AB114" s="33"/>
    </row>
    <row r="115" spans="1:28" ht="18">
      <c r="A115" s="30"/>
      <c r="B115" s="30"/>
      <c r="C115" s="30"/>
      <c r="D115" s="30"/>
      <c r="E115" s="30"/>
      <c r="F115" s="30"/>
      <c r="G115" s="30"/>
      <c r="H115" s="30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34"/>
      <c r="Z115" s="34"/>
      <c r="AA115" s="34"/>
      <c r="AB115" s="34"/>
    </row>
    <row r="116" spans="1:28" ht="18">
      <c r="A116" s="28"/>
      <c r="B116" s="28"/>
      <c r="C116" s="28"/>
      <c r="D116" s="28"/>
      <c r="E116" s="28"/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8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8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8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8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8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8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</sheetData>
  <mergeCells count="297">
    <mergeCell ref="AF17:AH17"/>
    <mergeCell ref="AJ17:AM17"/>
    <mergeCell ref="AO17:AR17"/>
    <mergeCell ref="A1:H3"/>
    <mergeCell ref="A4:H4"/>
    <mergeCell ref="A5:H5"/>
    <mergeCell ref="A6:H6"/>
    <mergeCell ref="A7:H7"/>
    <mergeCell ref="A8:H8"/>
    <mergeCell ref="A9:H9"/>
    <mergeCell ref="A10:H10"/>
    <mergeCell ref="A11:H11"/>
    <mergeCell ref="A13:H13"/>
    <mergeCell ref="A14:H14"/>
    <mergeCell ref="A15:H15"/>
    <mergeCell ref="A16:H16"/>
    <mergeCell ref="A12:H12"/>
    <mergeCell ref="A17:H17"/>
    <mergeCell ref="I5:L6"/>
    <mergeCell ref="M5:P6"/>
    <mergeCell ref="M7:P7"/>
    <mergeCell ref="Q5:T6"/>
    <mergeCell ref="Q7:T7"/>
    <mergeCell ref="Q8:T8"/>
    <mergeCell ref="A44:H44"/>
    <mergeCell ref="A45:H45"/>
    <mergeCell ref="A40:H40"/>
    <mergeCell ref="A41:H41"/>
    <mergeCell ref="A42:H42"/>
    <mergeCell ref="A43:H43"/>
    <mergeCell ref="A37:H37"/>
    <mergeCell ref="A38:H38"/>
    <mergeCell ref="A39:H39"/>
    <mergeCell ref="A35:H35"/>
    <mergeCell ref="A36:H36"/>
    <mergeCell ref="A25:H25"/>
    <mergeCell ref="A26:H26"/>
    <mergeCell ref="A27:H27"/>
    <mergeCell ref="A28:H28"/>
    <mergeCell ref="A29:H29"/>
    <mergeCell ref="A30:H30"/>
    <mergeCell ref="A31:H31"/>
    <mergeCell ref="A32:H32"/>
    <mergeCell ref="A33:H33"/>
    <mergeCell ref="A34:H34"/>
    <mergeCell ref="A18:H18"/>
    <mergeCell ref="A19:H19"/>
    <mergeCell ref="A20:H20"/>
    <mergeCell ref="A21:H21"/>
    <mergeCell ref="A22:H22"/>
    <mergeCell ref="A23:H23"/>
    <mergeCell ref="A24:H24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40:L40"/>
    <mergeCell ref="I41:L41"/>
    <mergeCell ref="I42:L42"/>
    <mergeCell ref="I43:L43"/>
    <mergeCell ref="I44:L44"/>
    <mergeCell ref="I45:L45"/>
    <mergeCell ref="I34:L34"/>
    <mergeCell ref="I35:L35"/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22:L22"/>
    <mergeCell ref="I23:L23"/>
    <mergeCell ref="I24:L24"/>
    <mergeCell ref="I25:L25"/>
    <mergeCell ref="I26:L26"/>
    <mergeCell ref="I27:L27"/>
    <mergeCell ref="M22:P22"/>
    <mergeCell ref="M11:P11"/>
    <mergeCell ref="M12:P12"/>
    <mergeCell ref="M13:P13"/>
    <mergeCell ref="M14:P14"/>
    <mergeCell ref="M15:P15"/>
    <mergeCell ref="M16:P16"/>
    <mergeCell ref="M45:P45"/>
    <mergeCell ref="M37:P37"/>
    <mergeCell ref="M38:P38"/>
    <mergeCell ref="M39:P39"/>
    <mergeCell ref="M40:P40"/>
    <mergeCell ref="M41:P41"/>
    <mergeCell ref="M42:P42"/>
    <mergeCell ref="M33:P33"/>
    <mergeCell ref="M34:P34"/>
    <mergeCell ref="M35:P35"/>
    <mergeCell ref="M36:P36"/>
    <mergeCell ref="M20:P20"/>
    <mergeCell ref="M21:P21"/>
    <mergeCell ref="Q9:T9"/>
    <mergeCell ref="Q10:T10"/>
    <mergeCell ref="Q11:T11"/>
    <mergeCell ref="M43:P43"/>
    <mergeCell ref="M44:P44"/>
    <mergeCell ref="M8:P8"/>
    <mergeCell ref="M9:P9"/>
    <mergeCell ref="M10:P10"/>
    <mergeCell ref="M29:P29"/>
    <mergeCell ref="M30:P30"/>
    <mergeCell ref="M31:P31"/>
    <mergeCell ref="M32:P32"/>
    <mergeCell ref="M23:P23"/>
    <mergeCell ref="M24:P24"/>
    <mergeCell ref="M25:P25"/>
    <mergeCell ref="M26:P26"/>
    <mergeCell ref="M27:P27"/>
    <mergeCell ref="M28:P28"/>
    <mergeCell ref="M17:P17"/>
    <mergeCell ref="M18:P18"/>
    <mergeCell ref="M19:P19"/>
    <mergeCell ref="Q18:T18"/>
    <mergeCell ref="Q19:T19"/>
    <mergeCell ref="Q20:T20"/>
    <mergeCell ref="Q21:T21"/>
    <mergeCell ref="Q22:T22"/>
    <mergeCell ref="Q23:T23"/>
    <mergeCell ref="Q12:T12"/>
    <mergeCell ref="Q13:T13"/>
    <mergeCell ref="Q14:T14"/>
    <mergeCell ref="Q15:T15"/>
    <mergeCell ref="Q16:T16"/>
    <mergeCell ref="Q17:T17"/>
    <mergeCell ref="Q30:T30"/>
    <mergeCell ref="Q31:T31"/>
    <mergeCell ref="Q32:T32"/>
    <mergeCell ref="Q33:T33"/>
    <mergeCell ref="Q34:T34"/>
    <mergeCell ref="Q24:T24"/>
    <mergeCell ref="Q25:T25"/>
    <mergeCell ref="Q26:T26"/>
    <mergeCell ref="Q27:T27"/>
    <mergeCell ref="Q28:T28"/>
    <mergeCell ref="Q29:T29"/>
    <mergeCell ref="Q40:T40"/>
    <mergeCell ref="Q41:T41"/>
    <mergeCell ref="Q42:T42"/>
    <mergeCell ref="Q43:T43"/>
    <mergeCell ref="Q44:T44"/>
    <mergeCell ref="Q45:T45"/>
    <mergeCell ref="Q35:T35"/>
    <mergeCell ref="Q36:T36"/>
    <mergeCell ref="Q37:T37"/>
    <mergeCell ref="Q38:T38"/>
    <mergeCell ref="Q39:T39"/>
    <mergeCell ref="U12:X12"/>
    <mergeCell ref="U13:X13"/>
    <mergeCell ref="U14:X14"/>
    <mergeCell ref="U15:X15"/>
    <mergeCell ref="U16:X16"/>
    <mergeCell ref="U17:X17"/>
    <mergeCell ref="U5:X6"/>
    <mergeCell ref="U7:X7"/>
    <mergeCell ref="U8:X8"/>
    <mergeCell ref="U9:X9"/>
    <mergeCell ref="U10:X10"/>
    <mergeCell ref="U11:X11"/>
    <mergeCell ref="U26:X26"/>
    <mergeCell ref="U27:X27"/>
    <mergeCell ref="U28:X28"/>
    <mergeCell ref="U29:X29"/>
    <mergeCell ref="U18:X18"/>
    <mergeCell ref="U19:X19"/>
    <mergeCell ref="U20:X20"/>
    <mergeCell ref="U21:X21"/>
    <mergeCell ref="U22:X22"/>
    <mergeCell ref="U23:X23"/>
    <mergeCell ref="U42:X42"/>
    <mergeCell ref="U43:X43"/>
    <mergeCell ref="U44:X44"/>
    <mergeCell ref="U45:X45"/>
    <mergeCell ref="U46:X46"/>
    <mergeCell ref="Y5:AB6"/>
    <mergeCell ref="Y7:AB7"/>
    <mergeCell ref="Y8:AB8"/>
    <mergeCell ref="Y9:AB9"/>
    <mergeCell ref="Y10:AB10"/>
    <mergeCell ref="U36:X36"/>
    <mergeCell ref="U37:X37"/>
    <mergeCell ref="U38:X38"/>
    <mergeCell ref="U39:X39"/>
    <mergeCell ref="U40:X40"/>
    <mergeCell ref="U41:X41"/>
    <mergeCell ref="U30:X30"/>
    <mergeCell ref="U31:X31"/>
    <mergeCell ref="U32:X32"/>
    <mergeCell ref="U33:X33"/>
    <mergeCell ref="U34:X34"/>
    <mergeCell ref="U35:X35"/>
    <mergeCell ref="U24:X24"/>
    <mergeCell ref="U25:X25"/>
    <mergeCell ref="Y20:AB20"/>
    <mergeCell ref="Y21:AB21"/>
    <mergeCell ref="Y22:AB22"/>
    <mergeCell ref="Y11:AB11"/>
    <mergeCell ref="Y12:AB12"/>
    <mergeCell ref="Y13:AB13"/>
    <mergeCell ref="Y14:AB14"/>
    <mergeCell ref="Y15:AB15"/>
    <mergeCell ref="Y16:AB16"/>
    <mergeCell ref="Y43:AB43"/>
    <mergeCell ref="Y44:AB44"/>
    <mergeCell ref="Y45:AB45"/>
    <mergeCell ref="Y35:AB35"/>
    <mergeCell ref="Y36:AB36"/>
    <mergeCell ref="Y37:AB37"/>
    <mergeCell ref="Y38:AB38"/>
    <mergeCell ref="Y39:AB39"/>
    <mergeCell ref="Y40:AB40"/>
    <mergeCell ref="AN8:AP8"/>
    <mergeCell ref="AE9:AG9"/>
    <mergeCell ref="AN9:AP9"/>
    <mergeCell ref="AE5:AG5"/>
    <mergeCell ref="AN5:AQ5"/>
    <mergeCell ref="AE6:AG6"/>
    <mergeCell ref="AN6:AP6"/>
    <mergeCell ref="Y41:AB41"/>
    <mergeCell ref="Y42:AB42"/>
    <mergeCell ref="Y29:AB29"/>
    <mergeCell ref="Y30:AB30"/>
    <mergeCell ref="Y31:AB31"/>
    <mergeCell ref="Y32:AB32"/>
    <mergeCell ref="Y33:AB33"/>
    <mergeCell ref="Y34:AB34"/>
    <mergeCell ref="Y23:AB23"/>
    <mergeCell ref="Y24:AB24"/>
    <mergeCell ref="Y25:AB25"/>
    <mergeCell ref="Y26:AB26"/>
    <mergeCell ref="Y27:AB27"/>
    <mergeCell ref="Y28:AB28"/>
    <mergeCell ref="Y17:AB17"/>
    <mergeCell ref="Y18:AB18"/>
    <mergeCell ref="Y19:AB19"/>
    <mergeCell ref="AE40:AF40"/>
    <mergeCell ref="AG36:AI36"/>
    <mergeCell ref="AG37:AI37"/>
    <mergeCell ref="AG38:AI38"/>
    <mergeCell ref="AG39:AI39"/>
    <mergeCell ref="AG40:AI40"/>
    <mergeCell ref="AQ33:AR34"/>
    <mergeCell ref="AE35:AF35"/>
    <mergeCell ref="AE36:AF36"/>
    <mergeCell ref="AE37:AF37"/>
    <mergeCell ref="AE38:AF38"/>
    <mergeCell ref="AE39:AF39"/>
    <mergeCell ref="AJ35:AN35"/>
    <mergeCell ref="AJ36:AN36"/>
    <mergeCell ref="AJ37:AN37"/>
    <mergeCell ref="AE33:AF34"/>
    <mergeCell ref="AG33:AI34"/>
    <mergeCell ref="AJ33:AN34"/>
    <mergeCell ref="AO33:AP34"/>
    <mergeCell ref="AQ41:AR42"/>
    <mergeCell ref="AT21:AX21"/>
    <mergeCell ref="AT6:AX6"/>
    <mergeCell ref="AG35:AI35"/>
    <mergeCell ref="AL41:AP42"/>
    <mergeCell ref="AQ35:AR35"/>
    <mergeCell ref="AQ36:AR36"/>
    <mergeCell ref="AQ37:AR37"/>
    <mergeCell ref="AQ38:AR38"/>
    <mergeCell ref="AQ39:AR39"/>
    <mergeCell ref="AQ40:AR40"/>
    <mergeCell ref="AJ38:AN38"/>
    <mergeCell ref="AJ39:AN39"/>
    <mergeCell ref="AJ40:AN40"/>
    <mergeCell ref="AO35:AP35"/>
    <mergeCell ref="AO36:AP36"/>
    <mergeCell ref="AO37:AP37"/>
    <mergeCell ref="AO38:AP38"/>
    <mergeCell ref="AO39:AP39"/>
    <mergeCell ref="AO40:AP40"/>
    <mergeCell ref="AE31:AR32"/>
    <mergeCell ref="AE7:AG7"/>
    <mergeCell ref="AN7:AP7"/>
    <mergeCell ref="AE8:AG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4130-2F27-1A4B-A7AB-49E62F4B138B}">
  <dimension ref="B1:Z306"/>
  <sheetViews>
    <sheetView topLeftCell="H32" workbookViewId="0">
      <selection activeCell="G46" sqref="G46"/>
    </sheetView>
  </sheetViews>
  <sheetFormatPr baseColWidth="10" defaultRowHeight="16"/>
  <cols>
    <col min="1" max="1" width="11.6640625" customWidth="1"/>
    <col min="2" max="2" width="31.1640625" customWidth="1"/>
    <col min="3" max="3" width="22.6640625" customWidth="1"/>
    <col min="4" max="4" width="29.6640625" customWidth="1"/>
    <col min="5" max="5" width="18.6640625" customWidth="1"/>
    <col min="6" max="6" width="28.83203125" customWidth="1"/>
    <col min="7" max="7" width="23.1640625" customWidth="1"/>
    <col min="8" max="8" width="28.33203125" customWidth="1"/>
    <col min="9" max="9" width="22.1640625" customWidth="1"/>
    <col min="10" max="10" width="18.5" customWidth="1"/>
    <col min="14" max="14" width="31" style="6" customWidth="1"/>
    <col min="15" max="15" width="20.1640625" customWidth="1"/>
    <col min="16" max="16" width="22.83203125" customWidth="1"/>
    <col min="17" max="17" width="15.33203125" customWidth="1"/>
    <col min="18" max="18" width="29.83203125" customWidth="1"/>
    <col min="19" max="19" width="17.6640625" customWidth="1"/>
  </cols>
  <sheetData>
    <row r="1" spans="14:26" ht="17" thickBot="1">
      <c r="N1" s="603" t="s">
        <v>363</v>
      </c>
      <c r="O1" s="601" t="s">
        <v>262</v>
      </c>
      <c r="P1" s="601" t="s">
        <v>366</v>
      </c>
      <c r="Q1" s="601" t="s">
        <v>367</v>
      </c>
      <c r="R1" s="601" t="s">
        <v>368</v>
      </c>
      <c r="S1" s="608" t="s">
        <v>364</v>
      </c>
    </row>
    <row r="2" spans="14:26" ht="17" thickBot="1">
      <c r="N2" s="606">
        <v>0.02</v>
      </c>
      <c r="O2" s="609">
        <f>('Restructuration cap'!$AA$79*(1+N2))/($Y$3-N2)</f>
        <v>79676.200645202276</v>
      </c>
      <c r="P2" s="609">
        <f>'Restructuration cap'!$AA$79+O2</f>
        <v>83636.933877121264</v>
      </c>
      <c r="Q2" s="609">
        <f>NPV(AVERAGE('APV CALCULATION '!$M$22:$P$22),'Restructuration cap'!$W$79:$Z$79)</f>
        <v>12449.171458537812</v>
      </c>
      <c r="R2" s="609">
        <f>P2/((1+Rates!$AF$4)^5)</f>
        <v>76149.432842717448</v>
      </c>
      <c r="S2" s="610">
        <f>Q2+R2+'APV CALCULATION '!$C$46</f>
        <v>93236.376006819599</v>
      </c>
    </row>
    <row r="3" spans="14:26" ht="17" thickBot="1">
      <c r="N3" s="606">
        <f t="shared" ref="N3:N47" si="0">N2+0.1%</f>
        <v>2.1000000000000001E-2</v>
      </c>
      <c r="O3" s="609">
        <f>('Restructuration cap'!$AA$79*(1+N3))/($Y$3-N3)</f>
        <v>81358.881440012774</v>
      </c>
      <c r="P3" s="609">
        <f>'Restructuration cap'!$AA$79+O3</f>
        <v>85319.614671931762</v>
      </c>
      <c r="Q3" s="609">
        <f>NPV(AVERAGE('APV CALCULATION '!$M$22:$P$22),'Restructuration cap'!$W$79:$Z$79)</f>
        <v>12449.171458537812</v>
      </c>
      <c r="R3" s="609">
        <f>P3/((1+Rates!$AF$4)^5)</f>
        <v>77681.473560140308</v>
      </c>
      <c r="S3" s="610">
        <f>Q3+R3+'APV CALCULATION '!$C$46</f>
        <v>94768.416724242459</v>
      </c>
      <c r="U3" s="1027" t="s">
        <v>365</v>
      </c>
      <c r="V3" s="1051"/>
      <c r="W3" s="1051"/>
      <c r="X3" s="1028"/>
      <c r="Y3" s="1049">
        <f>'APV CALCULATION '!Q22</f>
        <v>7.0704575065611397E-2</v>
      </c>
      <c r="Z3" s="1052"/>
    </row>
    <row r="4" spans="14:26">
      <c r="N4" s="606">
        <f t="shared" si="0"/>
        <v>2.2000000000000002E-2</v>
      </c>
      <c r="O4" s="609">
        <f>('Restructuration cap'!$AA$79*(1+N4))/($Y$3-N4)</f>
        <v>83110.659677621778</v>
      </c>
      <c r="P4" s="609">
        <f>'Restructuration cap'!$AA$79+O4</f>
        <v>87071.392909540766</v>
      </c>
      <c r="Q4" s="609">
        <f>NPV(AVERAGE('APV CALCULATION '!$M$22:$P$22),'Restructuration cap'!$W$79:$Z$79)</f>
        <v>12449.171458537812</v>
      </c>
      <c r="R4" s="609">
        <f>P4/((1+Rates!$AF$4)^5)</f>
        <v>79276.425850669344</v>
      </c>
      <c r="S4" s="610">
        <f>Q4+R4+'APV CALCULATION '!$C$46</f>
        <v>96363.369014771495</v>
      </c>
    </row>
    <row r="5" spans="14:26">
      <c r="N5" s="606">
        <f t="shared" si="0"/>
        <v>2.3000000000000003E-2</v>
      </c>
      <c r="O5" s="609">
        <f>('Restructuration cap'!$AA$79*(1+N5))/($Y$3-N5)</f>
        <v>84935.880692373205</v>
      </c>
      <c r="P5" s="609">
        <f>'Restructuration cap'!$AA$79+O5</f>
        <v>88896.613924292193</v>
      </c>
      <c r="Q5" s="609">
        <f>NPV(AVERAGE('APV CALCULATION '!$M$22:$P$22),'Restructuration cap'!$W$79:$Z$79)</f>
        <v>12449.171458537812</v>
      </c>
      <c r="R5" s="609">
        <f>P5/((1+Rates!$AF$4)^5)</f>
        <v>80938.246037551537</v>
      </c>
      <c r="S5" s="610">
        <f>Q5+R5+'APV CALCULATION '!$C$46</f>
        <v>98025.189201653688</v>
      </c>
    </row>
    <row r="6" spans="14:26">
      <c r="N6" s="606">
        <f t="shared" si="0"/>
        <v>2.4000000000000004E-2</v>
      </c>
      <c r="O6" s="609">
        <f>('Restructuration cap'!$AA$79*(1+N6))/($Y$3-N6)</f>
        <v>86839.261973530549</v>
      </c>
      <c r="P6" s="609">
        <f>'Restructuration cap'!$AA$79+O6</f>
        <v>90799.995205449537</v>
      </c>
      <c r="Q6" s="609">
        <f>NPV(AVERAGE('APV CALCULATION '!$M$22:$P$22),'Restructuration cap'!$W$79:$Z$79)</f>
        <v>12449.171458537812</v>
      </c>
      <c r="R6" s="609">
        <f>P6/((1+Rates!$AF$4)^5)</f>
        <v>82671.229282209009</v>
      </c>
      <c r="S6" s="610">
        <f>Q6+R6+'APV CALCULATION '!$C$46</f>
        <v>99758.17244631116</v>
      </c>
    </row>
    <row r="7" spans="14:26">
      <c r="N7" s="606">
        <f t="shared" si="0"/>
        <v>2.5000000000000005E-2</v>
      </c>
      <c r="O7" s="609">
        <f>('Restructuration cap'!$AA$79*(1+N7))/($Y$3-N7)</f>
        <v>88825.933878369411</v>
      </c>
      <c r="P7" s="609">
        <f>'Restructuration cap'!$AA$79+O7</f>
        <v>92786.667110288399</v>
      </c>
      <c r="Q7" s="609">
        <f>NPV(AVERAGE('APV CALCULATION '!$M$22:$P$22),'Restructuration cap'!$W$79:$Z$79)</f>
        <v>12449.171458537812</v>
      </c>
      <c r="R7" s="609">
        <f>P7/((1+Rates!$AF$4)^5)</f>
        <v>84480.046652538556</v>
      </c>
      <c r="S7" s="610">
        <f>Q7+R7+'APV CALCULATION '!$C$46</f>
        <v>101566.98981664071</v>
      </c>
    </row>
    <row r="8" spans="14:26">
      <c r="N8" s="606">
        <f t="shared" si="0"/>
        <v>2.6000000000000006E-2</v>
      </c>
      <c r="O8" s="609">
        <f>('Restructuration cap'!$AA$79*(1+N8))/($Y$3-N8)</f>
        <v>90901.485809555626</v>
      </c>
      <c r="P8" s="609">
        <f>'Restructuration cap'!$AA$79+O8</f>
        <v>94862.219041474615</v>
      </c>
      <c r="Q8" s="609">
        <f>NPV(AVERAGE('APV CALCULATION '!$M$22:$P$22),'Restructuration cap'!$W$79:$Z$79)</f>
        <v>12449.171458537812</v>
      </c>
      <c r="R8" s="609">
        <f>P8/((1+Rates!$AF$4)^5)</f>
        <v>86369.787166312599</v>
      </c>
      <c r="S8" s="610">
        <f>Q8+R8+'APV CALCULATION '!$C$46</f>
        <v>103456.73033041475</v>
      </c>
    </row>
    <row r="9" spans="14:26">
      <c r="N9" s="606">
        <f t="shared" si="0"/>
        <v>2.7000000000000007E-2</v>
      </c>
      <c r="O9" s="609">
        <f>('Restructuration cap'!$AA$79*(1+N9))/($Y$3-N9)</f>
        <v>93072.01873200282</v>
      </c>
      <c r="P9" s="609">
        <f>'Restructuration cap'!$AA$79+O9</f>
        <v>97032.751963921808</v>
      </c>
      <c r="Q9" s="609">
        <f>NPV(AVERAGE('APV CALCULATION '!$M$22:$P$22),'Restructuration cap'!$W$79:$Z$79)</f>
        <v>12449.171458537812</v>
      </c>
      <c r="R9" s="609">
        <f>P9/((1+Rates!$AF$4)^5)</f>
        <v>88346.005606525097</v>
      </c>
      <c r="S9" s="610">
        <f>Q9+R9+'APV CALCULATION '!$C$46</f>
        <v>105432.94877062725</v>
      </c>
    </row>
    <row r="10" spans="14:26">
      <c r="N10" s="606">
        <f t="shared" si="0"/>
        <v>2.8000000000000008E-2</v>
      </c>
      <c r="O10" s="609">
        <f>('Restructuration cap'!$AA$79*(1+N10))/($Y$3-N10)</f>
        <v>95344.205068357682</v>
      </c>
      <c r="P10" s="609">
        <f>'Restructuration cap'!$AA$79+O10</f>
        <v>99304.93830027667</v>
      </c>
      <c r="Q10" s="609">
        <f>NPV(AVERAGE('APV CALCULATION '!$M$22:$P$22),'Restructuration cap'!$W$79:$Z$79)</f>
        <v>12449.171458537812</v>
      </c>
      <c r="R10" s="609">
        <f>P10/((1+Rates!$AF$4)^5)</f>
        <v>90414.777054801787</v>
      </c>
      <c r="S10" s="610">
        <f>Q10+R10+'APV CALCULATION '!$C$46</f>
        <v>107501.72021890394</v>
      </c>
    </row>
    <row r="11" spans="14:26">
      <c r="N11" s="606">
        <f t="shared" si="0"/>
        <v>2.9000000000000008E-2</v>
      </c>
      <c r="O11" s="609">
        <f>('Restructuration cap'!$AA$79*(1+N11))/($Y$3-N11)</f>
        <v>97725.357211594863</v>
      </c>
      <c r="P11" s="609">
        <f>'Restructuration cap'!$AA$79+O11</f>
        <v>101686.09044351385</v>
      </c>
      <c r="Q11" s="609">
        <f>NPV(AVERAGE('APV CALCULATION '!$M$22:$P$22),'Restructuration cap'!$W$79:$Z$79)</f>
        <v>12449.171458537812</v>
      </c>
      <c r="R11" s="609">
        <f>P11/((1+Rates!$AF$4)^5)</f>
        <v>92582.759270483337</v>
      </c>
      <c r="S11" s="610">
        <f>Q11+R11+'APV CALCULATION '!$C$46</f>
        <v>109669.70243458549</v>
      </c>
    </row>
    <row r="12" spans="14:26">
      <c r="N12" s="606">
        <f t="shared" si="0"/>
        <v>3.0000000000000009E-2</v>
      </c>
      <c r="O12" s="609">
        <f>('Restructuration cap'!$AA$79*(1+N12))/($Y$3-N12)</f>
        <v>100223.5061366139</v>
      </c>
      <c r="P12" s="609">
        <f>'Restructuration cap'!$AA$79+O12</f>
        <v>104184.23936853289</v>
      </c>
      <c r="Q12" s="609">
        <f>NPV(AVERAGE('APV CALCULATION '!$M$22:$P$22),'Restructuration cap'!$W$79:$Z$79)</f>
        <v>12449.171458537812</v>
      </c>
      <c r="R12" s="609">
        <f>P12/((1+Rates!$AF$4)^5)</f>
        <v>94857.26426460869</v>
      </c>
      <c r="S12" s="610">
        <f>Q12+R12+'APV CALCULATION '!$C$46</f>
        <v>111944.20742871084</v>
      </c>
    </row>
    <row r="13" spans="14:26">
      <c r="N13" s="606">
        <f t="shared" si="0"/>
        <v>3.100000000000001E-2</v>
      </c>
      <c r="O13" s="609">
        <f>('Restructuration cap'!$AA$79*(1+N13))/($Y$3-N13)</f>
        <v>102847.49189131269</v>
      </c>
      <c r="P13" s="609">
        <f>'Restructuration cap'!$AA$79+O13</f>
        <v>106808.22512323168</v>
      </c>
      <c r="Q13" s="609">
        <f>NPV(AVERAGE('APV CALCULATION '!$M$22:$P$22),'Restructuration cap'!$W$79:$Z$79)</f>
        <v>12449.171458537812</v>
      </c>
      <c r="R13" s="609">
        <f>P13/((1+Rates!$AF$4)^5)</f>
        <v>97246.340689878532</v>
      </c>
      <c r="S13" s="610">
        <f>Q13+R13+'APV CALCULATION '!$C$46</f>
        <v>114333.28385398068</v>
      </c>
    </row>
    <row r="14" spans="14:26">
      <c r="N14" s="606">
        <f t="shared" si="0"/>
        <v>3.2000000000000008E-2</v>
      </c>
      <c r="O14" s="609">
        <f>('Restructuration cap'!$AA$79*(1+N14))/($Y$3-N14)</f>
        <v>105607.06811562652</v>
      </c>
      <c r="P14" s="609">
        <f>'Restructuration cap'!$AA$79+O14</f>
        <v>109567.80134754551</v>
      </c>
      <c r="Q14" s="609">
        <f>NPV(AVERAGE('APV CALCULATION '!$M$22:$P$22),'Restructuration cap'!$W$79:$Z$79)</f>
        <v>12449.171458537812</v>
      </c>
      <c r="R14" s="609">
        <f>P14/((1+Rates!$AF$4)^5)</f>
        <v>99758.869002746651</v>
      </c>
      <c r="S14" s="610">
        <f>Q14+R14+'APV CALCULATION '!$C$46</f>
        <v>116845.8121668488</v>
      </c>
    </row>
    <row r="15" spans="14:26">
      <c r="N15" s="606">
        <f t="shared" si="0"/>
        <v>3.3000000000000008E-2</v>
      </c>
      <c r="O15" s="609">
        <f>('Restructuration cap'!$AA$79*(1+N15))/($Y$3-N15)</f>
        <v>108513.02319287859</v>
      </c>
      <c r="P15" s="609">
        <f>'Restructuration cap'!$AA$79+O15</f>
        <v>112473.75642479758</v>
      </c>
      <c r="Q15" s="609">
        <f>NPV(AVERAGE('APV CALCULATION '!$M$22:$P$22),'Restructuration cap'!$W$79:$Z$79)</f>
        <v>12449.171458537812</v>
      </c>
      <c r="R15" s="609">
        <f>P15/((1+Rates!$AF$4)^5)</f>
        <v>102404.6717688341</v>
      </c>
      <c r="S15" s="610">
        <f>Q15+R15+'APV CALCULATION '!$C$46</f>
        <v>119491.61493293625</v>
      </c>
    </row>
    <row r="16" spans="14:26">
      <c r="N16" s="606">
        <f t="shared" si="0"/>
        <v>3.4000000000000009E-2</v>
      </c>
      <c r="O16" s="609">
        <f>('Restructuration cap'!$AA$79*(1+N16))/($Y$3-N16)</f>
        <v>111577.32120542186</v>
      </c>
      <c r="P16" s="609">
        <f>'Restructuration cap'!$AA$79+O16</f>
        <v>115538.05443734085</v>
      </c>
      <c r="Q16" s="609">
        <f>NPV(AVERAGE('APV CALCULATION '!$M$22:$P$22),'Restructuration cap'!$W$79:$Z$79)</f>
        <v>12449.171458537812</v>
      </c>
      <c r="R16" s="609">
        <f>P16/((1+Rates!$AF$4)^5)</f>
        <v>105194.64199967809</v>
      </c>
      <c r="S16" s="610">
        <f>Q16+R16+'APV CALCULATION '!$C$46</f>
        <v>122281.58516378024</v>
      </c>
    </row>
    <row r="17" spans="14:19">
      <c r="N17" s="606">
        <f t="shared" si="0"/>
        <v>3.500000000000001E-2</v>
      </c>
      <c r="O17" s="609">
        <f>('Restructuration cap'!$AA$79*(1+N17))/($Y$3-N17)</f>
        <v>114813.26657726917</v>
      </c>
      <c r="P17" s="609">
        <f>'Restructuration cap'!$AA$79+O17</f>
        <v>118773.99980918816</v>
      </c>
      <c r="Q17" s="609">
        <f>NPV(AVERAGE('APV CALCULATION '!$M$22:$P$22),'Restructuration cap'!$W$79:$Z$79)</f>
        <v>12449.171458537812</v>
      </c>
      <c r="R17" s="609">
        <f>P17/((1+Rates!$AF$4)^5)</f>
        <v>108140.89305591864</v>
      </c>
      <c r="S17" s="610">
        <f>Q17+R17+'APV CALCULATION '!$C$46</f>
        <v>125227.83622002079</v>
      </c>
    </row>
    <row r="18" spans="14:19">
      <c r="N18" s="606">
        <f t="shared" si="0"/>
        <v>3.6000000000000011E-2</v>
      </c>
      <c r="O18" s="609">
        <f>('Restructuration cap'!$AA$79*(1+N18))/($Y$3-N18)</f>
        <v>118235.69718143703</v>
      </c>
      <c r="P18" s="609">
        <f>'Restructuration cap'!$AA$79+O18</f>
        <v>122196.43041335602</v>
      </c>
      <c r="Q18" s="609">
        <f>NPV(AVERAGE('APV CALCULATION '!$M$22:$P$22),'Restructuration cap'!$W$79:$Z$79)</f>
        <v>12449.171458537812</v>
      </c>
      <c r="R18" s="609">
        <f>P18/((1+Rates!$AF$4)^5)</f>
        <v>111256.93446692776</v>
      </c>
      <c r="S18" s="610">
        <f>Q18+R18+'APV CALCULATION '!$C$46</f>
        <v>128343.87763102991</v>
      </c>
    </row>
    <row r="19" spans="14:19">
      <c r="N19" s="606">
        <f t="shared" si="0"/>
        <v>3.7000000000000012E-2</v>
      </c>
      <c r="O19" s="609">
        <f>('Restructuration cap'!$AA$79*(1+N19))/($Y$3-N19)</f>
        <v>121861.21182375134</v>
      </c>
      <c r="P19" s="609">
        <f>'Restructuration cap'!$AA$79+O19</f>
        <v>125821.94505567032</v>
      </c>
      <c r="Q19" s="609">
        <f>NPV(AVERAGE('APV CALCULATION '!$M$22:$P$22),'Restructuration cap'!$W$79:$Z$79)</f>
        <v>12449.171458537812</v>
      </c>
      <c r="R19" s="609">
        <f>P19/((1+Rates!$AF$4)^5)</f>
        <v>114557.87904938719</v>
      </c>
      <c r="S19" s="610">
        <f>Q19+R19+'APV CALCULATION '!$C$46</f>
        <v>131644.82221348933</v>
      </c>
    </row>
    <row r="20" spans="14:19">
      <c r="N20" s="606">
        <f t="shared" si="0"/>
        <v>3.8000000000000013E-2</v>
      </c>
      <c r="O20" s="609">
        <f>('Restructuration cap'!$AA$79*(1+N20))/($Y$3-N20)</f>
        <v>125708.4394609626</v>
      </c>
      <c r="P20" s="609">
        <f>'Restructuration cap'!$AA$79+O20</f>
        <v>129669.17269288159</v>
      </c>
      <c r="Q20" s="609">
        <f>NPV(AVERAGE('APV CALCULATION '!$M$22:$P$22),'Restructuration cap'!$W$79:$Z$79)</f>
        <v>12449.171458537812</v>
      </c>
      <c r="R20" s="609">
        <f>P20/((1+Rates!$AF$4)^5)</f>
        <v>118060.68802395921</v>
      </c>
      <c r="S20" s="610">
        <f>Q20+R20+'APV CALCULATION '!$C$46</f>
        <v>135147.63118806138</v>
      </c>
    </row>
    <row r="21" spans="14:19">
      <c r="N21" s="606">
        <f t="shared" si="0"/>
        <v>3.9000000000000014E-2</v>
      </c>
      <c r="O21" s="609">
        <f>('Restructuration cap'!$AA$79*(1+N21))/($Y$3-N21)</f>
        <v>129798.35936761758</v>
      </c>
      <c r="P21" s="609">
        <f>'Restructuration cap'!$AA$79+O21</f>
        <v>133759.09259953658</v>
      </c>
      <c r="Q21" s="609">
        <f>NPV(AVERAGE('APV CALCULATION '!$M$22:$P$22),'Restructuration cap'!$W$79:$Z$79)</f>
        <v>12449.171458537812</v>
      </c>
      <c r="R21" s="609">
        <f>P21/((1+Rates!$AF$4)^5)</f>
        <v>121784.46251958443</v>
      </c>
      <c r="S21" s="610">
        <f>Q21+R21+'APV CALCULATION '!$C$46</f>
        <v>138871.40568368658</v>
      </c>
    </row>
    <row r="22" spans="14:19">
      <c r="N22" s="606">
        <f t="shared" si="0"/>
        <v>4.0000000000000015E-2</v>
      </c>
      <c r="O22" s="609">
        <f>('Restructuration cap'!$AA$79*(1+N22))/($Y$3-N22)</f>
        <v>134154.68386693773</v>
      </c>
      <c r="P22" s="609">
        <f>'Restructuration cap'!$AA$79+O22</f>
        <v>138115.41709885673</v>
      </c>
      <c r="Q22" s="609">
        <f>NPV(AVERAGE('APV CALCULATION '!$M$22:$P$22),'Restructuration cap'!$W$79:$Z$79)</f>
        <v>12449.171458537812</v>
      </c>
      <c r="R22" s="609">
        <f>P22/((1+Rates!$AF$4)^5)</f>
        <v>125750.79204081536</v>
      </c>
      <c r="S22" s="610">
        <f>Q22+R22+'APV CALCULATION '!$C$46</f>
        <v>142837.73520491752</v>
      </c>
    </row>
    <row r="23" spans="14:19">
      <c r="N23" s="606">
        <f t="shared" si="0"/>
        <v>4.1000000000000016E-2</v>
      </c>
      <c r="O23" s="609">
        <f>('Restructuration cap'!$AA$79*(1+N23))/($Y$3-N23)</f>
        <v>138804.31836915793</v>
      </c>
      <c r="P23" s="609">
        <f>'Restructuration cap'!$AA$79+O23</f>
        <v>142765.05160107694</v>
      </c>
      <c r="Q23" s="609">
        <f>NPV(AVERAGE('APV CALCULATION '!$M$22:$P$22),'Restructuration cap'!$W$79:$Z$79)</f>
        <v>12449.171458537812</v>
      </c>
      <c r="R23" s="609">
        <f>P23/((1+Rates!$AF$4)^5)</f>
        <v>129984.1733217479</v>
      </c>
      <c r="S23" s="610">
        <f>Q23+R23+'APV CALCULATION '!$C$46</f>
        <v>147071.11648585007</v>
      </c>
    </row>
    <row r="24" spans="14:19">
      <c r="N24" s="606">
        <f t="shared" si="0"/>
        <v>4.2000000000000016E-2</v>
      </c>
      <c r="O24" s="609">
        <f>('Restructuration cap'!$AA$79*(1+N24))/($Y$3-N24)</f>
        <v>143777.91756979938</v>
      </c>
      <c r="P24" s="609">
        <f>'Restructuration cap'!$AA$79+O24</f>
        <v>147738.65080171838</v>
      </c>
      <c r="Q24" s="609">
        <f>NPV(AVERAGE('APV CALCULATION '!$M$22:$P$22),'Restructuration cap'!$W$79:$Z$79)</f>
        <v>12449.171458537812</v>
      </c>
      <c r="R24" s="609">
        <f>P24/((1+Rates!$AF$4)^5)</f>
        <v>134512.51673127888</v>
      </c>
      <c r="S24" s="610">
        <f>Q24+R24+'APV CALCULATION '!$C$46</f>
        <v>151599.45989538103</v>
      </c>
    </row>
    <row r="25" spans="14:19">
      <c r="N25" s="606">
        <f t="shared" si="0"/>
        <v>4.3000000000000017E-2</v>
      </c>
      <c r="O25" s="609">
        <f>('Restructuration cap'!$AA$79*(1+N25))/($Y$3-N25)</f>
        <v>149110.562104207</v>
      </c>
      <c r="P25" s="609">
        <f>'Restructuration cap'!$AA$79+O25</f>
        <v>153071.295336126</v>
      </c>
      <c r="Q25" s="609">
        <f>NPV(AVERAGE('APV CALCULATION '!$M$22:$P$22),'Restructuration cap'!$W$79:$Z$79)</f>
        <v>12449.171458537812</v>
      </c>
      <c r="R25" s="609">
        <f>P25/((1+Rates!$AF$4)^5)</f>
        <v>139367.7623509182</v>
      </c>
      <c r="S25" s="610">
        <f>Q25+R25+'APV CALCULATION '!$C$46</f>
        <v>156454.70551502035</v>
      </c>
    </row>
    <row r="26" spans="14:19">
      <c r="N26" s="606">
        <f t="shared" si="0"/>
        <v>4.4000000000000018E-2</v>
      </c>
      <c r="O26" s="609">
        <f>('Restructuration cap'!$AA$79*(1+N26))/($Y$3-N26)</f>
        <v>154842.58723323606</v>
      </c>
      <c r="P26" s="609">
        <f>'Restructuration cap'!$AA$79+O26</f>
        <v>158803.32046515506</v>
      </c>
      <c r="Q26" s="609">
        <f>NPV(AVERAGE('APV CALCULATION '!$M$22:$P$22),'Restructuration cap'!$W$79:$Z$79)</f>
        <v>12449.171458537812</v>
      </c>
      <c r="R26" s="609">
        <f>P26/((1+Rates!$AF$4)^5)</f>
        <v>144586.63447333549</v>
      </c>
      <c r="S26" s="610">
        <f>Q26+R26+'APV CALCULATION '!$C$46</f>
        <v>161673.57763743764</v>
      </c>
    </row>
    <row r="27" spans="14:19">
      <c r="N27" s="606">
        <f t="shared" si="0"/>
        <v>4.5000000000000019E-2</v>
      </c>
      <c r="O27" s="609">
        <f>('Restructuration cap'!$AA$79*(1+N27))/($Y$3-N27)</f>
        <v>161020.60496197914</v>
      </c>
      <c r="P27" s="609">
        <f>'Restructuration cap'!$AA$79+O27</f>
        <v>164981.33819389815</v>
      </c>
      <c r="Q27" s="609">
        <f>NPV(AVERAGE('APV CALCULATION '!$M$22:$P$22),'Restructuration cap'!$W$79:$Z$79)</f>
        <v>12449.171458537812</v>
      </c>
      <c r="R27" s="609">
        <f>P27/((1+Rates!$AF$4)^5)</f>
        <v>150211.57221707472</v>
      </c>
      <c r="S27" s="610">
        <f>Q27+R27+'APV CALCULATION '!$C$46</f>
        <v>167298.51538117687</v>
      </c>
    </row>
    <row r="28" spans="14:19">
      <c r="N28" s="606">
        <f t="shared" si="0"/>
        <v>4.600000000000002E-2</v>
      </c>
      <c r="O28" s="609">
        <f>('Restructuration cap'!$AA$79*(1+N28))/($Y$3-N28)</f>
        <v>167698.77440046309</v>
      </c>
      <c r="P28" s="609">
        <f>'Restructuration cap'!$AA$79+O28</f>
        <v>171659.5076323821</v>
      </c>
      <c r="Q28" s="609">
        <f>NPV(AVERAGE('APV CALCULATION '!$M$22:$P$22),'Restructuration cap'!$W$79:$Z$79)</f>
        <v>12449.171458537812</v>
      </c>
      <c r="R28" s="609">
        <f>P28/((1+Rates!$AF$4)^5)</f>
        <v>156291.88615965971</v>
      </c>
      <c r="S28" s="610">
        <f>Q28+R28+'APV CALCULATION '!$C$46</f>
        <v>173378.82932376186</v>
      </c>
    </row>
    <row r="29" spans="14:19">
      <c r="N29" s="606">
        <f t="shared" si="0"/>
        <v>4.7000000000000021E-2</v>
      </c>
      <c r="O29" s="609">
        <f>('Restructuration cap'!$AA$79*(1+N29))/($Y$3-N29)</f>
        <v>174940.39367257612</v>
      </c>
      <c r="P29" s="609">
        <f>'Restructuration cap'!$AA$79+O29</f>
        <v>178901.12690449512</v>
      </c>
      <c r="Q29" s="609">
        <f>NPV(AVERAGE('APV CALCULATION '!$M$22:$P$22),'Restructuration cap'!$W$79:$Z$79)</f>
        <v>12449.171458537812</v>
      </c>
      <c r="R29" s="609">
        <f>P29/((1+Rates!$AF$4)^5)</f>
        <v>162885.20773269201</v>
      </c>
      <c r="S29" s="610">
        <f>Q29+R29+'APV CALCULATION '!$C$46</f>
        <v>179972.15089679416</v>
      </c>
    </row>
    <row r="30" spans="14:19">
      <c r="N30" s="606">
        <f t="shared" si="0"/>
        <v>4.8000000000000022E-2</v>
      </c>
      <c r="O30" s="609">
        <f>('Restructuration cap'!$AA$79*(1+N30))/($Y$3-N30)</f>
        <v>182819.91250908861</v>
      </c>
      <c r="P30" s="609">
        <f>'Restructuration cap'!$AA$79+O30</f>
        <v>186780.64574100761</v>
      </c>
      <c r="Q30" s="609">
        <f>NPV(AVERAGE('APV CALCULATION '!$M$22:$P$22),'Restructuration cap'!$W$79:$Z$79)</f>
        <v>12449.171458537812</v>
      </c>
      <c r="R30" s="609">
        <f>P30/((1+Rates!$AF$4)^5)</f>
        <v>170059.32163977859</v>
      </c>
      <c r="S30" s="610">
        <f>Q30+R30+'APV CALCULATION '!$C$46</f>
        <v>187146.26480388074</v>
      </c>
    </row>
    <row r="31" spans="14:19">
      <c r="N31" s="606">
        <f t="shared" si="0"/>
        <v>4.9000000000000023E-2</v>
      </c>
      <c r="O31" s="609">
        <f>('Restructuration cap'!$AA$79*(1+N31))/($Y$3-N31)</f>
        <v>191425.50120070696</v>
      </c>
      <c r="P31" s="609">
        <f>'Restructuration cap'!$AA$79+O31</f>
        <v>195386.23443262596</v>
      </c>
      <c r="Q31" s="609">
        <f>NPV(AVERAGE('APV CALCULATION '!$M$22:$P$22),'Restructuration cap'!$W$79:$Z$79)</f>
        <v>12449.171458537812</v>
      </c>
      <c r="R31" s="609">
        <f>P31/((1+Rates!$AF$4)^5)</f>
        <v>177894.50482699607</v>
      </c>
      <c r="S31" s="610">
        <f>Q31+R31+'APV CALCULATION '!$C$46</f>
        <v>194981.44799109822</v>
      </c>
    </row>
    <row r="32" spans="14:19">
      <c r="N32" s="606">
        <f t="shared" si="0"/>
        <v>5.0000000000000024E-2</v>
      </c>
      <c r="O32" s="609">
        <f>('Restructuration cap'!$AA$79*(1+N32))/($Y$3-N32)</f>
        <v>200862.36401066373</v>
      </c>
      <c r="P32" s="609">
        <f>'Restructuration cap'!$AA$79+O32</f>
        <v>204823.09724258273</v>
      </c>
      <c r="Q32" s="609">
        <f>NPV(AVERAGE('APV CALCULATION '!$M$22:$P$22),'Restructuration cap'!$W$79:$Z$79)</f>
        <v>12449.171458537812</v>
      </c>
      <c r="R32" s="609">
        <f>P32/((1+Rates!$AF$4)^5)</f>
        <v>186486.54326600101</v>
      </c>
      <c r="S32" s="610">
        <f>Q32+R32+'APV CALCULATION '!$C$46</f>
        <v>203573.48643010316</v>
      </c>
    </row>
    <row r="33" spans="2:19">
      <c r="N33" s="606">
        <f t="shared" si="0"/>
        <v>5.1000000000000024E-2</v>
      </c>
      <c r="O33" s="609">
        <f>('Restructuration cap'!$AA$79*(1+N33))/($Y$3-N33)</f>
        <v>211257.0615141913</v>
      </c>
      <c r="P33" s="609">
        <f>'Restructuration cap'!$AA$79+O33</f>
        <v>215217.7947461103</v>
      </c>
      <c r="Q33" s="609">
        <f>NPV(AVERAGE('APV CALCULATION '!$M$22:$P$22),'Restructuration cap'!$W$79:$Z$79)</f>
        <v>12449.171458537812</v>
      </c>
      <c r="R33" s="609">
        <f>P33/((1+Rates!$AF$4)^5)</f>
        <v>195950.66734099609</v>
      </c>
      <c r="S33" s="610">
        <f>Q33+R33+'APV CALCULATION '!$C$46</f>
        <v>213037.61050509824</v>
      </c>
    </row>
    <row r="34" spans="2:19">
      <c r="N34" s="606">
        <f t="shared" si="0"/>
        <v>5.2000000000000025E-2</v>
      </c>
      <c r="O34" s="609">
        <f>('Restructuration cap'!$AA$79*(1+N34))/($Y$3-N34)</f>
        <v>222763.21944566941</v>
      </c>
      <c r="P34" s="609">
        <f>'Restructuration cap'!$AA$79+O34</f>
        <v>226723.95267758842</v>
      </c>
      <c r="Q34" s="609">
        <f>NPV(AVERAGE('APV CALCULATION '!$M$22:$P$22),'Restructuration cap'!$W$79:$Z$79)</f>
        <v>12449.171458537812</v>
      </c>
      <c r="R34" s="609">
        <f>P34/((1+Rates!$AF$4)^5)</f>
        <v>206426.74961785335</v>
      </c>
      <c r="S34" s="610">
        <f>Q34+R34+'APV CALCULATION '!$C$46</f>
        <v>223513.6927819555</v>
      </c>
    </row>
    <row r="35" spans="2:19">
      <c r="N35" s="606">
        <f t="shared" si="0"/>
        <v>5.3000000000000026E-2</v>
      </c>
      <c r="O35" s="609">
        <f>('Restructuration cap'!$AA$79*(1+N35))/($Y$3-N35)</f>
        <v>235569.17224811576</v>
      </c>
      <c r="P35" s="609">
        <f>'Restructuration cap'!$AA$79+O35</f>
        <v>239529.90548003477</v>
      </c>
      <c r="Q35" s="609">
        <f>NPV(AVERAGE('APV CALCULATION '!$M$22:$P$22),'Restructuration cap'!$W$79:$Z$79)</f>
        <v>12449.171458537812</v>
      </c>
      <c r="R35" s="609">
        <f>P35/((1+Rates!$AF$4)^5)</f>
        <v>218086.26411356175</v>
      </c>
      <c r="S35" s="610">
        <f>Q35+R35+'APV CALCULATION '!$C$46</f>
        <v>235173.2072776639</v>
      </c>
    </row>
    <row r="36" spans="2:19">
      <c r="N36" s="606">
        <f t="shared" si="0"/>
        <v>5.4000000000000027E-2</v>
      </c>
      <c r="O36" s="609">
        <f>('Restructuration cap'!$AA$79*(1+N36))/($Y$3-N36)</f>
        <v>249908.35205599607</v>
      </c>
      <c r="P36" s="609">
        <f>'Restructuration cap'!$AA$79+O36</f>
        <v>253869.08528791508</v>
      </c>
      <c r="Q36" s="609">
        <f>NPV(AVERAGE('APV CALCULATION '!$M$22:$P$22),'Restructuration cap'!$W$79:$Z$79)</f>
        <v>12449.171458537812</v>
      </c>
      <c r="R36" s="609">
        <f>P36/((1+Rates!$AF$4)^5)</f>
        <v>231141.74521720994</v>
      </c>
      <c r="S36" s="610">
        <f>Q36+R36+'APV CALCULATION '!$C$46</f>
        <v>248228.68838131209</v>
      </c>
    </row>
    <row r="37" spans="2:19">
      <c r="N37" s="606">
        <f t="shared" si="0"/>
        <v>5.5000000000000028E-2</v>
      </c>
      <c r="O37" s="609">
        <f>('Restructuration cap'!$AA$79*(1+N37))/($Y$3-N37)</f>
        <v>266073.64683330065</v>
      </c>
      <c r="P37" s="609">
        <f>'Restructuration cap'!$AA$79+O37</f>
        <v>270034.38006521965</v>
      </c>
      <c r="Q37" s="609">
        <f>NPV(AVERAGE('APV CALCULATION '!$M$22:$P$22),'Restructuration cap'!$W$79:$Z$79)</f>
        <v>12449.171458537812</v>
      </c>
      <c r="R37" s="609">
        <f>P37/((1+Rates!$AF$4)^5)</f>
        <v>245859.86043214155</v>
      </c>
      <c r="S37" s="610">
        <f>Q37+R37+'APV CALCULATION '!$C$46</f>
        <v>262946.80359624373</v>
      </c>
    </row>
    <row r="38" spans="2:19">
      <c r="N38" s="606">
        <f t="shared" si="0"/>
        <v>5.6000000000000029E-2</v>
      </c>
      <c r="O38" s="609">
        <f>('Restructuration cap'!$AA$79*(1+N38))/($Y$3-N38)</f>
        <v>284437.61715276481</v>
      </c>
      <c r="P38" s="609">
        <f>'Restructuration cap'!$AA$79+O38</f>
        <v>288398.35038468381</v>
      </c>
      <c r="Q38" s="609">
        <f>NPV(AVERAGE('APV CALCULATION '!$M$22:$P$22),'Restructuration cap'!$W$79:$Z$79)</f>
        <v>12449.171458537812</v>
      </c>
      <c r="R38" s="609">
        <f>P38/((1+Rates!$AF$4)^5)</f>
        <v>262579.81727109285</v>
      </c>
      <c r="S38" s="610">
        <f>Q38+R38+'APV CALCULATION '!$C$46</f>
        <v>279666.760435195</v>
      </c>
    </row>
    <row r="39" spans="2:19" ht="17" thickBot="1">
      <c r="N39" s="606">
        <f t="shared" si="0"/>
        <v>5.700000000000003E-2</v>
      </c>
      <c r="O39" s="609">
        <f>('Restructuration cap'!$AA$79*(1+N39))/($Y$3-N39)</f>
        <v>305481.56408318487</v>
      </c>
      <c r="P39" s="609">
        <f>'Restructuration cap'!$AA$79+O39</f>
        <v>309442.29731510388</v>
      </c>
      <c r="Q39" s="609">
        <f>NPV(AVERAGE('APV CALCULATION '!$M$22:$P$22),'Restructuration cap'!$W$79:$Z$79)</f>
        <v>12449.171458537812</v>
      </c>
      <c r="R39" s="609">
        <f>P39/((1+Rates!$AF$4)^5)</f>
        <v>281739.82887407788</v>
      </c>
      <c r="S39" s="610">
        <f>Q39+R39+'APV CALCULATION '!$C$46</f>
        <v>298826.77203818003</v>
      </c>
    </row>
    <row r="40" spans="2:19" ht="19">
      <c r="B40" s="1182" t="s">
        <v>391</v>
      </c>
      <c r="C40" s="1183"/>
      <c r="D40" s="726"/>
      <c r="E40" s="723"/>
      <c r="F40" s="723"/>
      <c r="G40" s="724" t="s">
        <v>376</v>
      </c>
      <c r="H40" s="723"/>
      <c r="I40" s="723"/>
      <c r="J40" s="725"/>
      <c r="N40" s="606">
        <f t="shared" si="0"/>
        <v>5.8000000000000031E-2</v>
      </c>
      <c r="O40" s="609">
        <f>('Restructuration cap'!$AA$79*(1+N40))/($Y$3-N40)</f>
        <v>329838.32499152096</v>
      </c>
      <c r="P40" s="609">
        <f>'Restructuration cap'!$AA$79+O40</f>
        <v>333799.05822343996</v>
      </c>
      <c r="Q40" s="609">
        <f>NPV(AVERAGE('APV CALCULATION '!$M$22:$P$22),'Restructuration cap'!$W$79:$Z$79)</f>
        <v>12449.171458537812</v>
      </c>
      <c r="R40" s="609">
        <f>P40/((1+Rates!$AF$4)^5)</f>
        <v>303916.07856515876</v>
      </c>
      <c r="S40" s="610">
        <f>Q40+R40+'APV CALCULATION '!$C$46</f>
        <v>321003.02172926092</v>
      </c>
    </row>
    <row r="41" spans="2:19" ht="17" thickBot="1">
      <c r="B41" s="1184"/>
      <c r="C41" s="1185"/>
      <c r="D41" s="727">
        <f t="shared" ref="D41:E41" si="1">E41-0.5%</f>
        <v>2.2917418511711328E-2</v>
      </c>
      <c r="E41" s="728">
        <f t="shared" si="1"/>
        <v>2.7917418511711329E-2</v>
      </c>
      <c r="F41" s="728">
        <f>G41-0.5%</f>
        <v>3.291741851171133E-2</v>
      </c>
      <c r="G41" s="728">
        <f>'Restructuration cap'!AH39</f>
        <v>3.7917418511711327E-2</v>
      </c>
      <c r="H41" s="728">
        <f>G41+0.5%</f>
        <v>4.2917418511711325E-2</v>
      </c>
      <c r="I41" s="728">
        <f t="shared" ref="I41:J41" si="2">H41+0.5%</f>
        <v>4.7917418511711322E-2</v>
      </c>
      <c r="J41" s="729">
        <f t="shared" si="2"/>
        <v>5.291741851171132E-2</v>
      </c>
      <c r="N41" s="606">
        <f t="shared" si="0"/>
        <v>5.9000000000000032E-2</v>
      </c>
      <c r="O41" s="609">
        <f>('Restructuration cap'!$AA$79*(1+N41))/($Y$3-N41)</f>
        <v>358357.00733174186</v>
      </c>
      <c r="P41" s="609">
        <f>'Restructuration cap'!$AA$79+O41</f>
        <v>362317.74056366086</v>
      </c>
      <c r="Q41" s="609">
        <f>NPV(AVERAGE('APV CALCULATION '!$M$22:$P$22),'Restructuration cap'!$W$79:$Z$79)</f>
        <v>12449.171458537812</v>
      </c>
      <c r="R41" s="609">
        <f>P41/((1+Rates!$AF$4)^5)</f>
        <v>329881.65842273773</v>
      </c>
      <c r="S41" s="610">
        <f>Q41+R41+'APV CALCULATION '!$C$46</f>
        <v>346968.60158683988</v>
      </c>
    </row>
    <row r="42" spans="2:19" ht="19" customHeight="1">
      <c r="B42" s="1179" t="s">
        <v>377</v>
      </c>
      <c r="C42" s="740">
        <f t="shared" ref="C42:C43" si="3">C43-0.1%</f>
        <v>6.8310464375962263E-2</v>
      </c>
      <c r="D42" s="633">
        <f>('Restructuration cap'!$AA$79*(1+D41)/($C$42-D41))</f>
        <v>89253.825908141269</v>
      </c>
      <c r="E42" s="633">
        <f>('Restructuration cap'!$AA$79*(1+E41)/($C$42-E41))</f>
        <v>100792.26738310786</v>
      </c>
      <c r="F42" s="633">
        <f>('Restructuration cap'!$AA$79*(1+F41)/($C$42-F41))</f>
        <v>115590.79602865088</v>
      </c>
      <c r="G42" s="633">
        <f>('Restructuration cap'!$AA$79*(1+G41)/($C$42-G41))</f>
        <v>135258.37554577805</v>
      </c>
      <c r="H42" s="633">
        <f>('Restructuration cap'!$AA$79*(1+H41)/($C$42-H41))</f>
        <v>162671.21714066796</v>
      </c>
      <c r="I42" s="633">
        <f>('Restructuration cap'!$AA$79*(1+I41)/($C$42-I41))</f>
        <v>203526.30849921115</v>
      </c>
      <c r="J42" s="634">
        <f>('Restructuration cap'!$AA$79*(1+J41)/($C$42-J41))</f>
        <v>270922.66512704443</v>
      </c>
      <c r="N42" s="606">
        <f t="shared" si="0"/>
        <v>6.0000000000000032E-2</v>
      </c>
      <c r="O42" s="609">
        <f>('Restructuration cap'!$AA$79*(1+N42))/($Y$3-N42)</f>
        <v>392204.0062404247</v>
      </c>
      <c r="P42" s="609">
        <f>'Restructuration cap'!$AA$79+O42</f>
        <v>396164.7394723437</v>
      </c>
      <c r="Q42" s="609">
        <f>NPV(AVERAGE('APV CALCULATION '!$M$22:$P$22),'Restructuration cap'!$W$79:$Z$79)</f>
        <v>12449.171458537812</v>
      </c>
      <c r="R42" s="609">
        <f>P42/((1+Rates!$AF$4)^5)</f>
        <v>360698.54339022131</v>
      </c>
      <c r="S42" s="610">
        <f>Q42+R42+'APV CALCULATION '!$C$46</f>
        <v>377785.48655432346</v>
      </c>
    </row>
    <row r="43" spans="2:19">
      <c r="B43" s="1180"/>
      <c r="C43" s="741">
        <f t="shared" si="3"/>
        <v>6.9310464375962264E-2</v>
      </c>
      <c r="D43" s="633">
        <f>('Restructuration cap'!$AA$79*(1+D41)/($C$43-D41))</f>
        <v>87329.963737735306</v>
      </c>
      <c r="E43" s="633">
        <f>('Restructuration cap'!$AA$79*(1+E41)/($C$43-E41))</f>
        <v>98357.26253437897</v>
      </c>
      <c r="F43" s="633">
        <f>('Restructuration cap'!$AA$79*(1+F41)/($C$43-F41))</f>
        <v>112414.61790770397</v>
      </c>
      <c r="G43" s="633">
        <f>('Restructuration cap'!$AA$79*(1+G41)/($C$43-G41))</f>
        <v>130949.82975730443</v>
      </c>
      <c r="H43" s="633">
        <f>('Restructuration cap'!$AA$79*(1+H41)/($C$43-H41))</f>
        <v>156507.8050821528</v>
      </c>
      <c r="I43" s="633">
        <f>('Restructuration cap'!$AA$79*(1+I41)/($C$43-I41))</f>
        <v>194012.64177822703</v>
      </c>
      <c r="J43" s="634">
        <f>('Restructuration cap'!$AA$79*(1+J41)/($C$43-J41))</f>
        <v>254395.98257088457</v>
      </c>
      <c r="N43" s="606">
        <f t="shared" si="0"/>
        <v>6.1000000000000033E-2</v>
      </c>
      <c r="O43" s="609">
        <f>('Restructuration cap'!$AA$79*(1+N43))/($Y$3-N43)</f>
        <v>433026.47778543574</v>
      </c>
      <c r="P43" s="609">
        <f>'Restructuration cap'!$AA$79+O43</f>
        <v>436987.21101735474</v>
      </c>
      <c r="Q43" s="609">
        <f>NPV(AVERAGE('APV CALCULATION '!$M$22:$P$22),'Restructuration cap'!$W$79:$Z$79)</f>
        <v>12449.171458537812</v>
      </c>
      <c r="R43" s="609">
        <f>P43/((1+Rates!$AF$4)^5)</f>
        <v>397866.42976871651</v>
      </c>
      <c r="S43" s="610">
        <f>Q43+R43+'APV CALCULATION '!$C$46</f>
        <v>414953.37293281866</v>
      </c>
    </row>
    <row r="44" spans="2:19">
      <c r="B44" s="1180"/>
      <c r="C44" s="741">
        <f>C45-0.1%</f>
        <v>7.0310464375962264E-2</v>
      </c>
      <c r="D44" s="633">
        <f>('Restructuration cap'!$AA$79*(1+D41)/($C$44-D41))</f>
        <v>85487.289097496381</v>
      </c>
      <c r="E44" s="633">
        <f>('Restructuration cap'!$AA$79*(1+E41)/($C$44-E41))</f>
        <v>96037.135246301244</v>
      </c>
      <c r="F44" s="633">
        <f>('Restructuration cap'!$AA$79*(1+F41)/($C$44-F41))</f>
        <v>109408.32047165648</v>
      </c>
      <c r="G44" s="633">
        <f>('Restructuration cap'!$AA$79*(1+G41)/($C$44-G41))</f>
        <v>126907.30068158632</v>
      </c>
      <c r="H44" s="633">
        <f>('Restructuration cap'!$AA$79*(1+H41)/($C$44-H41))</f>
        <v>150794.39132532766</v>
      </c>
      <c r="I44" s="633">
        <f>('Restructuration cap'!$AA$79*(1+I41)/($C$44-I41))</f>
        <v>185348.67337686024</v>
      </c>
      <c r="J44" s="634">
        <f>('Restructuration cap'!$AA$79*(1+J41)/($C$44-J41))</f>
        <v>239769.67821014224</v>
      </c>
      <c r="N44" s="606">
        <f t="shared" si="0"/>
        <v>6.2000000000000034E-2</v>
      </c>
      <c r="O44" s="609">
        <f>('Restructuration cap'!$AA$79*(1+N44))/($Y$3-N44)</f>
        <v>483228.49313064589</v>
      </c>
      <c r="P44" s="609">
        <f>'Restructuration cap'!$AA$79+O44</f>
        <v>487189.22636256489</v>
      </c>
      <c r="Q44" s="609">
        <f>NPV(AVERAGE('APV CALCULATION '!$M$22:$P$22),'Restructuration cap'!$W$79:$Z$79)</f>
        <v>12449.171458537812</v>
      </c>
      <c r="R44" s="609">
        <f>P44/((1+Rates!$AF$4)^5)</f>
        <v>443574.16699537839</v>
      </c>
      <c r="S44" s="610">
        <f>Q44+R44+'APV CALCULATION '!$C$46</f>
        <v>460661.11015948054</v>
      </c>
    </row>
    <row r="45" spans="2:19">
      <c r="B45" s="1180"/>
      <c r="C45" s="742">
        <f>'APV CALCULATION '!M9</f>
        <v>7.1310464375962265E-2</v>
      </c>
      <c r="D45" s="633">
        <f>('Restructuration cap'!$AA$79*(1+D41)/($C$45-D41))</f>
        <v>83720.76897935172</v>
      </c>
      <c r="E45" s="633">
        <f>('Restructuration cap'!$AA$79*(1+E41)/($C$45-E41))</f>
        <v>93823.943401074706</v>
      </c>
      <c r="F45" s="633">
        <f>('Restructuration cap'!$AA$79*(1+F41)/($C$45-F41))</f>
        <v>106558.62938805505</v>
      </c>
      <c r="G45" s="710">
        <f>('Restructuration cap'!$AA$79*(1+G41)/($C$45-G41))</f>
        <v>123106.88962601838</v>
      </c>
      <c r="H45" s="633">
        <f>('Restructuration cap'!$AA$79*(1+H41)/($C$45-H41))</f>
        <v>145483.42919585816</v>
      </c>
      <c r="I45" s="633">
        <f>('Restructuration cap'!$AA$79*(1+I41)/($C$45-I41))</f>
        <v>177425.43522940256</v>
      </c>
      <c r="J45" s="634">
        <f>('Restructuration cap'!$AA$79*(1+J41)/($C$45-J41))</f>
        <v>226733.79062633737</v>
      </c>
      <c r="N45" s="606">
        <f t="shared" si="0"/>
        <v>6.3000000000000028E-2</v>
      </c>
      <c r="O45" s="609">
        <f>('Restructuration cap'!$AA$79*(1+N45))/($Y$3-N45)</f>
        <v>546462.24998468498</v>
      </c>
      <c r="P45" s="609">
        <f>'Restructuration cap'!$AA$79+O45</f>
        <v>550422.98321660399</v>
      </c>
      <c r="Q45" s="609">
        <f>NPV(AVERAGE('APV CALCULATION '!$M$22:$P$22),'Restructuration cap'!$W$79:$Z$79)</f>
        <v>12449.171458537812</v>
      </c>
      <c r="R45" s="609">
        <f>P45/((1+Rates!$AF$4)^5)</f>
        <v>501146.99394792842</v>
      </c>
      <c r="S45" s="610">
        <f>Q45+R45+'APV CALCULATION '!$C$46</f>
        <v>518233.93711203057</v>
      </c>
    </row>
    <row r="46" spans="2:19">
      <c r="B46" s="1180"/>
      <c r="C46" s="741">
        <f>C45+0.1%</f>
        <v>7.2310464375962266E-2</v>
      </c>
      <c r="D46" s="633">
        <f>('Restructuration cap'!$AA$79*(1+D41)/($C$46-D41))</f>
        <v>82025.777963623608</v>
      </c>
      <c r="E46" s="633">
        <f>('Restructuration cap'!$AA$79*(1+E41)/($C$46-E41))</f>
        <v>91710.460499090957</v>
      </c>
      <c r="F46" s="633">
        <f>('Restructuration cap'!$AA$79*(1+F41)/($C$46-F41))</f>
        <v>103853.61821031423</v>
      </c>
      <c r="G46" s="633">
        <f>('Restructuration cap'!$AA$79*(1+G41)/($C$46-G41))</f>
        <v>119527.47737762606</v>
      </c>
      <c r="H46" s="633">
        <f>('Restructuration cap'!$AA$79*(1+H41)/($C$46-H41))</f>
        <v>140533.84248518653</v>
      </c>
      <c r="I46" s="633">
        <f>('Restructuration cap'!$AA$79*(1+I41)/($C$46-I41))</f>
        <v>170151.8279801567</v>
      </c>
      <c r="J46" s="634">
        <f>('Restructuration cap'!$AA$79*(1+J41)/($C$46-J41))</f>
        <v>215042.29088908891</v>
      </c>
      <c r="N46" s="606">
        <f t="shared" si="0"/>
        <v>6.4000000000000029E-2</v>
      </c>
      <c r="O46" s="609">
        <f>('Restructuration cap'!$AA$79*(1+N46))/($Y$3-N46)</f>
        <v>628558.87472676532</v>
      </c>
      <c r="P46" s="609">
        <f>'Restructuration cap'!$AA$79+O46</f>
        <v>632519.60795868433</v>
      </c>
      <c r="Q46" s="609">
        <f>NPV(AVERAGE('APV CALCULATION '!$M$22:$P$22),'Restructuration cap'!$W$79:$Z$79)</f>
        <v>12449.171458537812</v>
      </c>
      <c r="R46" s="609">
        <f>P46/((1+Rates!$AF$4)^5)</f>
        <v>575894.01207266795</v>
      </c>
      <c r="S46" s="610">
        <f>Q46+R46+'APV CALCULATION '!$C$46</f>
        <v>592980.9552367701</v>
      </c>
    </row>
    <row r="47" spans="2:19" ht="17" thickBot="1">
      <c r="B47" s="1180"/>
      <c r="C47" s="741">
        <f t="shared" ref="C47:C48" si="4">C46+0.1%</f>
        <v>7.3310464375962267E-2</v>
      </c>
      <c r="D47" s="633">
        <f>('Restructuration cap'!$AA$79*(1+D41)/($C$47-D41))</f>
        <v>80398.057778092756</v>
      </c>
      <c r="E47" s="633">
        <f>('Restructuration cap'!$AA$79*(1+E41)/($C$47-E41))</f>
        <v>89690.09683428306</v>
      </c>
      <c r="F47" s="633">
        <f>('Restructuration cap'!$AA$79*(1+F41)/($C$47-F41))</f>
        <v>101282.54153143898</v>
      </c>
      <c r="G47" s="633">
        <f>('Restructuration cap'!$AA$79*(1+G41)/($C$47-G41))</f>
        <v>116150.33154406118</v>
      </c>
      <c r="H47" s="633">
        <f>('Restructuration cap'!$AA$79*(1+H41)/($C$47-H41))</f>
        <v>135909.96098568582</v>
      </c>
      <c r="I47" s="633">
        <f>('Restructuration cap'!$AA$79*(1+I41)/($C$47-I41))</f>
        <v>163451.10255754399</v>
      </c>
      <c r="J47" s="634">
        <f>('Restructuration cap'!$AA$79*(1+J41)/($C$47-J41))</f>
        <v>204497.40748518019</v>
      </c>
      <c r="N47" s="607">
        <f t="shared" si="0"/>
        <v>6.500000000000003E-2</v>
      </c>
      <c r="O47" s="611">
        <f>('Restructuration cap'!$AA$79*(1+N47))/($Y$3-N47)</f>
        <v>739438.23045155429</v>
      </c>
      <c r="P47" s="611">
        <f>'Restructuration cap'!$AA$79+O47</f>
        <v>743398.9636834733</v>
      </c>
      <c r="Q47" s="611">
        <f>NPV(AVERAGE('APV CALCULATION '!$M$22:$P$22),'Restructuration cap'!$W$79:$Z$79)</f>
        <v>12449.171458537812</v>
      </c>
      <c r="R47" s="611">
        <f>P47/((1+Rates!$AF$4)^5)</f>
        <v>676847.02004416496</v>
      </c>
      <c r="S47" s="612">
        <f>Q47+R47+'APV CALCULATION '!$C$46</f>
        <v>693933.96320826712</v>
      </c>
    </row>
    <row r="48" spans="2:19" ht="17" thickBot="1">
      <c r="B48" s="1181"/>
      <c r="C48" s="743">
        <f t="shared" si="4"/>
        <v>7.4310464375962268E-2</v>
      </c>
      <c r="D48" s="635">
        <f>('Restructuration cap'!$AA$79*(1+D41)/($C$48-D41))</f>
        <v>78833.681578432283</v>
      </c>
      <c r="E48" s="635">
        <f>('Restructuration cap'!$AA$79*(1+E41)/($C$48-E41))</f>
        <v>87756.830863845986</v>
      </c>
      <c r="F48" s="635">
        <f>('Restructuration cap'!$AA$79*(1+F41)/($C$48-F41))</f>
        <v>98835.692322429415</v>
      </c>
      <c r="G48" s="635">
        <f>('Restructuration cap'!$AA$79*(1+G41)/($C$48-G41))</f>
        <v>112958.77863097686</v>
      </c>
      <c r="H48" s="635">
        <f>('Restructuration cap'!$AA$79*(1+H41)/($C$48-H41))</f>
        <v>131580.65947179688</v>
      </c>
      <c r="I48" s="635">
        <f>('Restructuration cap'!$AA$79*(1+I41)/($C$48-I41))</f>
        <v>157258.14160115295</v>
      </c>
      <c r="J48" s="636">
        <f>('Restructuration cap'!$AA$79*(1+J41)/($C$48-J41))</f>
        <v>194938.34755594833</v>
      </c>
    </row>
    <row r="49" spans="2:19">
      <c r="B49" s="631"/>
      <c r="C49" s="631"/>
      <c r="D49" s="631"/>
      <c r="E49" s="631"/>
      <c r="F49" s="631"/>
      <c r="G49" s="631"/>
      <c r="H49" s="631"/>
      <c r="I49" s="632"/>
      <c r="J49" s="631"/>
    </row>
    <row r="50" spans="2:19">
      <c r="B50" s="631"/>
      <c r="C50" s="631"/>
      <c r="D50" s="631"/>
      <c r="E50" s="631"/>
      <c r="F50" s="631"/>
      <c r="G50" s="631"/>
      <c r="H50" s="631"/>
      <c r="I50" s="632"/>
      <c r="J50" s="631"/>
    </row>
    <row r="51" spans="2:19" ht="17" thickBot="1"/>
    <row r="52" spans="2:19" ht="17" thickBot="1">
      <c r="N52" s="603" t="s">
        <v>349</v>
      </c>
      <c r="O52" s="600" t="s">
        <v>262</v>
      </c>
      <c r="P52" s="601" t="s">
        <v>366</v>
      </c>
      <c r="Q52" s="601" t="s">
        <v>367</v>
      </c>
      <c r="R52" s="601" t="s">
        <v>368</v>
      </c>
      <c r="S52" s="602" t="s">
        <v>262</v>
      </c>
    </row>
    <row r="53" spans="2:19">
      <c r="N53" s="604">
        <f>Y3-1%</f>
        <v>6.0704575065611395E-2</v>
      </c>
      <c r="O53" s="609">
        <f>('Restructuration cap'!$AA$79*(1+'WACC CALCULATION'!$D$15))/(N53-'WACC CALCULATION'!$D$15)</f>
        <v>180404.86981177641</v>
      </c>
      <c r="P53" s="609">
        <f>'Restructuration cap'!$AA$79+O53</f>
        <v>184365.60304369542</v>
      </c>
      <c r="Q53" s="609">
        <f>NPV(N53,'Restructuration cap'!$W$79:$Z$79)</f>
        <v>12755.978563201257</v>
      </c>
      <c r="R53" s="609">
        <f>('Restructuration cap'!$AA$79+O53)/((1+N53)^5)</f>
        <v>137311.74550442238</v>
      </c>
      <c r="S53" s="610">
        <f>Q53+R53+'APV CALCULATION '!$C$46</f>
        <v>154705.49577318798</v>
      </c>
    </row>
    <row r="54" spans="2:19">
      <c r="N54" s="604">
        <f t="shared" ref="N54:N103" si="5">N53+0.1%</f>
        <v>6.1704575065611396E-2</v>
      </c>
      <c r="O54" s="609">
        <f>('Restructuration cap'!$AA$79*(1+'WACC CALCULATION'!$D$15))/(N54-'WACC CALCULATION'!$D$15)</f>
        <v>172820.74056106116</v>
      </c>
      <c r="P54" s="609">
        <f>'Restructuration cap'!$AA$79+O54</f>
        <v>176781.47379298016</v>
      </c>
      <c r="Q54" s="609">
        <f>NPV(N54,'Restructuration cap'!$W$79:$Z$79)</f>
        <v>12726.942815048784</v>
      </c>
      <c r="R54" s="609">
        <f>('Restructuration cap'!$AA$79+O54)/((1+N54)^5)</f>
        <v>131044.35155496173</v>
      </c>
      <c r="S54" s="610">
        <f>Q54+R54+'APV CALCULATION '!$C$46</f>
        <v>148409.06607557487</v>
      </c>
    </row>
    <row r="55" spans="2:19">
      <c r="N55" s="604">
        <f t="shared" si="5"/>
        <v>6.270457506561139E-2</v>
      </c>
      <c r="O55" s="609">
        <f>('Restructuration cap'!$AA$79*(1+'WACC CALCULATION'!$D$15))/(N55-'WACC CALCULATION'!$D$15)</f>
        <v>165848.55154917276</v>
      </c>
      <c r="P55" s="609">
        <f>'Restructuration cap'!$AA$79+O55</f>
        <v>169809.28478109176</v>
      </c>
      <c r="Q55" s="609">
        <f>NPV(N55,'Restructuration cap'!$W$79:$Z$79)</f>
        <v>12698.014148558255</v>
      </c>
      <c r="R55" s="609">
        <f>('Restructuration cap'!$AA$79+O55)/((1+N55)^5)</f>
        <v>125284.88579283901</v>
      </c>
      <c r="S55" s="610">
        <f>Q55+R55+'APV CALCULATION '!$C$46</f>
        <v>142620.67164696159</v>
      </c>
    </row>
    <row r="56" spans="2:19">
      <c r="N56" s="604">
        <f t="shared" si="5"/>
        <v>6.3704575065611391E-2</v>
      </c>
      <c r="O56" s="609">
        <f>('Restructuration cap'!$AA$79*(1+'WACC CALCULATION'!$D$15))/(N56-'WACC CALCULATION'!$D$15)</f>
        <v>159417.11149479848</v>
      </c>
      <c r="P56" s="609">
        <f>'Restructuration cap'!$AA$79+O56</f>
        <v>163377.84472671748</v>
      </c>
      <c r="Q56" s="609">
        <f>NPV(N56,'Restructuration cap'!$W$79:$Z$79)</f>
        <v>12669.192042817202</v>
      </c>
      <c r="R56" s="609">
        <f>('Restructuration cap'!$AA$79+O56)/((1+N56)^5)</f>
        <v>119974.24530414418</v>
      </c>
      <c r="S56" s="610">
        <f>Q56+R56+'APV CALCULATION '!$C$46</f>
        <v>137281.20905252572</v>
      </c>
    </row>
    <row r="57" spans="2:19">
      <c r="N57" s="604">
        <f t="shared" si="5"/>
        <v>6.4704575065611392E-2</v>
      </c>
      <c r="O57" s="609">
        <f>('Restructuration cap'!$AA$79*(1+'WACC CALCULATION'!$D$15))/(N57-'WACC CALCULATION'!$D$15)</f>
        <v>153465.85977556408</v>
      </c>
      <c r="P57" s="609">
        <f>'Restructuration cap'!$AA$79+O57</f>
        <v>157426.59300748308</v>
      </c>
      <c r="Q57" s="609">
        <f>NPV(N57,'Restructuration cap'!$W$79:$Z$79)</f>
        <v>12640.475980009698</v>
      </c>
      <c r="R57" s="609">
        <f>('Restructuration cap'!$AA$79+O57)/((1+N57)^5)</f>
        <v>115062.15281125531</v>
      </c>
      <c r="S57" s="610">
        <f>Q57+R57+'APV CALCULATION '!$C$46</f>
        <v>132340.40049682936</v>
      </c>
    </row>
    <row r="58" spans="2:19">
      <c r="N58" s="604">
        <f>N57+0.1%</f>
        <v>6.5704575065611392E-2</v>
      </c>
      <c r="O58" s="609">
        <f>('Restructuration cap'!$AA$79*(1+'WACC CALCULATION'!$D$15))/(N58-'WACC CALCULATION'!$D$15)</f>
        <v>147942.95355527921</v>
      </c>
      <c r="P58" s="609">
        <f>'Restructuration cap'!$AA$79+O58</f>
        <v>151903.68678719821</v>
      </c>
      <c r="Q58" s="609">
        <f>NPV(N58,'Restructuration cap'!$W$79:$Z$79)</f>
        <v>12611.865445394826</v>
      </c>
      <c r="R58" s="609">
        <f>('Restructuration cap'!$AA$79+O58)/((1+N58)^5)</f>
        <v>110505.56859394825</v>
      </c>
      <c r="S58" s="610">
        <f>Q58+R58+'APV CALCULATION '!$C$46</f>
        <v>127755.20574490742</v>
      </c>
    </row>
    <row r="59" spans="2:19">
      <c r="N59" s="604">
        <f t="shared" si="5"/>
        <v>6.6704575065611393E-2</v>
      </c>
      <c r="O59" s="609">
        <f>('Restructuration cap'!$AA$79*(1+'WACC CALCULATION'!$D$15))/(N59-'WACC CALCULATION'!$D$15)</f>
        <v>142803.75360413865</v>
      </c>
      <c r="P59" s="609">
        <f>'Restructuration cap'!$AA$79+O59</f>
        <v>146764.48683605765</v>
      </c>
      <c r="Q59" s="609">
        <f>NPV(N59,'Restructuration cap'!$W$79:$Z$79)</f>
        <v>12583.359927285201</v>
      </c>
      <c r="R59" s="609">
        <f>('Restructuration cap'!$AA$79+O59)/((1+N59)^5)</f>
        <v>106267.43340788689</v>
      </c>
      <c r="S59" s="610">
        <f>Q59+R59+'APV CALCULATION '!$C$46</f>
        <v>123488.56504073643</v>
      </c>
    </row>
    <row r="60" spans="2:19">
      <c r="N60" s="604">
        <f t="shared" si="5"/>
        <v>6.7704575065611394E-2</v>
      </c>
      <c r="O60" s="609">
        <f>('Restructuration cap'!$AA$79*(1+'WACC CALCULATION'!$D$15))/(N60-'WACC CALCULATION'!$D$15)</f>
        <v>138009.61511879062</v>
      </c>
      <c r="P60" s="609">
        <f>'Restructuration cap'!$AA$79+O60</f>
        <v>141970.34835070962</v>
      </c>
      <c r="Q60" s="609">
        <f>NPV(N60,'Restructuration cap'!$W$79:$Z$79)</f>
        <v>12554.95891702576</v>
      </c>
      <c r="R60" s="609">
        <f>('Restructuration cap'!$AA$79+O60)/((1+N60)^5)</f>
        <v>102315.66461591111</v>
      </c>
      <c r="S60" s="610">
        <f>Q60+R60+'APV CALCULATION '!$C$46</f>
        <v>119508.39523850122</v>
      </c>
    </row>
    <row r="61" spans="2:19">
      <c r="N61" s="604">
        <f t="shared" si="5"/>
        <v>6.8704575065611395E-2</v>
      </c>
      <c r="O61" s="609">
        <f>('Restructuration cap'!$AA$79*(1+'WACC CALCULATION'!$D$15))/(N61-'WACC CALCULATION'!$D$15)</f>
        <v>133526.91419520346</v>
      </c>
      <c r="P61" s="609">
        <f>'Restructuration cap'!$AA$79+O61</f>
        <v>137487.64742712246</v>
      </c>
      <c r="Q61" s="609">
        <f>NPV(N61,'Restructuration cap'!$W$79:$Z$79)</f>
        <v>12526.661908972639</v>
      </c>
      <c r="R61" s="609">
        <f>('Restructuration cap'!$AA$79+O61)/((1+N61)^5)</f>
        <v>98622.347959748135</v>
      </c>
      <c r="S61" s="610">
        <f>Q61+R61+'APV CALCULATION '!$C$46</f>
        <v>115786.78157428512</v>
      </c>
    </row>
    <row r="62" spans="2:19">
      <c r="N62" s="604">
        <f t="shared" si="5"/>
        <v>6.9704575065611396E-2</v>
      </c>
      <c r="O62" s="609">
        <f>('Restructuration cap'!$AA$79*(1+'WACC CALCULATION'!$D$15))/(N62-'WACC CALCULATION'!$D$15)</f>
        <v>129326.25806011354</v>
      </c>
      <c r="P62" s="609">
        <f>'Restructuration cap'!$AA$79+O62</f>
        <v>133286.99129203253</v>
      </c>
      <c r="Q62" s="609">
        <f>NPV(N62,'Restructuration cap'!$W$79:$Z$79)</f>
        <v>12498.468400472284</v>
      </c>
      <c r="R62" s="609">
        <f>('Restructuration cap'!$AA$79+O62)/((1+N62)^5)</f>
        <v>95163.081889248118</v>
      </c>
      <c r="S62" s="610">
        <f>Q62+R62+'APV CALCULATION '!$C$46</f>
        <v>112299.32199528474</v>
      </c>
    </row>
    <row r="63" spans="2:19">
      <c r="N63" s="604">
        <f t="shared" si="5"/>
        <v>7.0704575065611397E-2</v>
      </c>
      <c r="O63" s="609">
        <f>('Restructuration cap'!$AA$79*(1+'WACC CALCULATION'!$D$15))/(N63-'WACC CALCULATION'!$D$15)</f>
        <v>125381.83982892263</v>
      </c>
      <c r="P63" s="609">
        <f>'Restructuration cap'!$AA$79+O63</f>
        <v>129342.57306084162</v>
      </c>
      <c r="Q63" s="609">
        <f>NPV(N63,'Restructuration cap'!$W$79:$Z$79)</f>
        <v>12470.377891840666</v>
      </c>
      <c r="R63" s="609">
        <f>('Restructuration cap'!$AA$79+O63)/((1+N63)^5)</f>
        <v>91916.441878379032</v>
      </c>
      <c r="S63" s="610">
        <f>Q63+R63+'APV CALCULATION '!$C$46</f>
        <v>109024.59147578404</v>
      </c>
    </row>
    <row r="64" spans="2:19">
      <c r="N64" s="604">
        <f t="shared" si="5"/>
        <v>7.1704575065611398E-2</v>
      </c>
      <c r="O64" s="609">
        <f>('Restructuration cap'!$AA$79*(1+'WACC CALCULATION'!$D$15))/(N64-'WACC CALCULATION'!$D$15)</f>
        <v>121670.90784715308</v>
      </c>
      <c r="P64" s="609">
        <f>'Restructuration cap'!$AA$79+O64</f>
        <v>125631.64107907207</v>
      </c>
      <c r="Q64" s="609">
        <f>NPV(N64,'Restructuration cap'!$W$79:$Z$79)</f>
        <v>12442.389886342749</v>
      </c>
      <c r="R64" s="609">
        <f>('Restructuration cap'!$AA$79+O64)/((1+N64)^5)</f>
        <v>88863.539869209286</v>
      </c>
      <c r="S64" s="610">
        <f>Q64+R64+'APV CALCULATION '!$C$46</f>
        <v>105943.70146111638</v>
      </c>
    </row>
    <row r="65" spans="2:19">
      <c r="N65" s="604">
        <f t="shared" si="5"/>
        <v>7.2704575065611399E-2</v>
      </c>
      <c r="O65" s="609">
        <f>('Restructuration cap'!$AA$79*(1+'WACC CALCULATION'!$D$15))/(N65-'WACC CALCULATION'!$D$15)</f>
        <v>118173.32655853487</v>
      </c>
      <c r="P65" s="609">
        <f>'Restructuration cap'!$AA$79+O65</f>
        <v>122134.05979045386</v>
      </c>
      <c r="Q65" s="609">
        <f>NPV(N65,'Restructuration cap'!$W$79:$Z$79)</f>
        <v>12414.503890171991</v>
      </c>
      <c r="R65" s="609">
        <f>('Restructuration cap'!$AA$79+O65)/((1+N65)^5)</f>
        <v>85987.659701869532</v>
      </c>
      <c r="S65" s="610">
        <f>Q65+R65+'APV CALCULATION '!$C$46</f>
        <v>103039.93529760587</v>
      </c>
    </row>
    <row r="66" spans="2:19">
      <c r="N66" s="604">
        <f t="shared" si="5"/>
        <v>7.37045750656114E-2</v>
      </c>
      <c r="O66" s="609">
        <f>('Restructuration cap'!$AA$79*(1+'WACC CALCULATION'!$D$15))/(N66-'WACC CALCULATION'!$D$15)</f>
        <v>114871.21099703306</v>
      </c>
      <c r="P66" s="609">
        <f>'Restructuration cap'!$AA$79+O66</f>
        <v>118831.94422895205</v>
      </c>
      <c r="Q66" s="609">
        <f>NPV(N66,'Restructuration cap'!$W$79:$Z$79)</f>
        <v>12386.719412430164</v>
      </c>
      <c r="R66" s="609">
        <f>('Restructuration cap'!$AA$79+O66)/((1+N66)^5)</f>
        <v>83273.95366757187</v>
      </c>
      <c r="S66" s="610">
        <f>Q66+R66+'APV CALCULATION '!$C$46</f>
        <v>100298.44478556637</v>
      </c>
    </row>
    <row r="67" spans="2:19">
      <c r="N67" s="604">
        <f t="shared" si="5"/>
        <v>7.47045750656114E-2</v>
      </c>
      <c r="O67" s="609">
        <f>('Restructuration cap'!$AA$79*(1+'WACC CALCULATION'!$D$15))/(N67-'WACC CALCULATION'!$D$15)</f>
        <v>111748.62089337215</v>
      </c>
      <c r="P67" s="609">
        <f>'Restructuration cap'!$AA$79+O67</f>
        <v>115709.35412529114</v>
      </c>
      <c r="Q67" s="609">
        <f>NPV(N67,'Restructuration cap'!$W$79:$Z$79)</f>
        <v>12359.035965107176</v>
      </c>
      <c r="R67" s="609">
        <f>('Restructuration cap'!$AA$79+O67)/((1+N67)^5)</f>
        <v>80709.188553954911</v>
      </c>
      <c r="S67" s="610">
        <f>Q67+R67+'APV CALCULATION '!$C$46</f>
        <v>97705.996224626433</v>
      </c>
    </row>
    <row r="68" spans="2:19">
      <c r="N68" s="604">
        <f t="shared" si="5"/>
        <v>7.5704575065611401E-2</v>
      </c>
      <c r="O68" s="609">
        <f>('Restructuration cap'!$AA$79*(1+'WACC CALCULATION'!$D$15))/(N68-'WACC CALCULATION'!$D$15)</f>
        <v>108791.30335258358</v>
      </c>
      <c r="P68" s="609">
        <f>'Restructuration cap'!$AA$79+O68</f>
        <v>112752.03658450257</v>
      </c>
      <c r="Q68" s="609">
        <f>NPV(N68,'Restructuration cap'!$W$79:$Z$79)</f>
        <v>12331.453063061193</v>
      </c>
      <c r="R68" s="609">
        <f>('Restructuration cap'!$AA$79+O68)/((1+N68)^5)</f>
        <v>78281.532014397162</v>
      </c>
      <c r="S68" s="610">
        <f>Q68+R68+'APV CALCULATION '!$C$46</f>
        <v>95250.756783022705</v>
      </c>
    </row>
    <row r="69" spans="2:19">
      <c r="N69" s="604">
        <f t="shared" si="5"/>
        <v>7.6704575065611402E-2</v>
      </c>
      <c r="O69" s="609">
        <f>('Restructuration cap'!$AA$79*(1+'WACC CALCULATION'!$D$15))/(N69-'WACC CALCULATION'!$D$15)</f>
        <v>105986.47533686133</v>
      </c>
      <c r="P69" s="609">
        <f>'Restructuration cap'!$AA$79+O69</f>
        <v>109947.20856878032</v>
      </c>
      <c r="Q69" s="609">
        <f>NPV(N69,'Restructuration cap'!$W$79:$Z$79)</f>
        <v>12303.970223998802</v>
      </c>
      <c r="R69" s="609">
        <f>('Restructuration cap'!$AA$79+O69)/((1+N69)^5)</f>
        <v>75980.371983944337</v>
      </c>
      <c r="S69" s="610">
        <f>Q69+R69+'APV CALCULATION '!$C$46</f>
        <v>92922.113913507477</v>
      </c>
    </row>
    <row r="70" spans="2:19">
      <c r="N70" s="604">
        <f t="shared" si="5"/>
        <v>7.7704575065611403E-2</v>
      </c>
      <c r="O70" s="609">
        <f>('Restructuration cap'!$AA$79*(1+'WACC CALCULATION'!$D$15))/(N70-'WACC CALCULATION'!$D$15)</f>
        <v>103322.63895053198</v>
      </c>
      <c r="P70" s="609">
        <f>'Restructuration cap'!$AA$79+O70</f>
        <v>107283.37218245097</v>
      </c>
      <c r="Q70" s="609">
        <f>NPV(N70,'Restructuration cap'!$W$79:$Z$79)</f>
        <v>12276.586968455424</v>
      </c>
      <c r="R70" s="609">
        <f>('Restructuration cap'!$AA$79+O70)/((1+N70)^5)</f>
        <v>73796.163327758273</v>
      </c>
      <c r="S70" s="610">
        <f>Q70+R70+'APV CALCULATION '!$C$46</f>
        <v>90710.522001778038</v>
      </c>
    </row>
    <row r="71" spans="2:19">
      <c r="N71" s="604">
        <f t="shared" si="5"/>
        <v>7.8704575065611404E-2</v>
      </c>
      <c r="O71" s="609">
        <f>('Restructuration cap'!$AA$79*(1+'WACC CALCULATION'!$D$15))/(N71-'WACC CALCULATION'!$D$15)</f>
        <v>100789.42389755344</v>
      </c>
      <c r="P71" s="609">
        <f>'Restructuration cap'!$AA$79+O71</f>
        <v>104750.15712947243</v>
      </c>
      <c r="Q71" s="609">
        <f>NPV(N71,'Restructuration cap'!$W$79:$Z$79)</f>
        <v>12249.302819775796</v>
      </c>
      <c r="R71" s="609">
        <f>('Restructuration cap'!$AA$79+O71)/((1+N71)^5)</f>
        <v>71720.297048367313</v>
      </c>
      <c r="S71" s="610">
        <f>Q71+R71+'APV CALCULATION '!$C$46</f>
        <v>88607.371573707453</v>
      </c>
    </row>
    <row r="72" spans="2:19" ht="17" thickBot="1">
      <c r="N72" s="604">
        <f t="shared" si="5"/>
        <v>7.9704575065611405E-2</v>
      </c>
      <c r="O72" s="609">
        <f>('Restructuration cap'!$AA$79*(1+'WACC CALCULATION'!$D$15))/(N72-'WACC CALCULATION'!$D$15)</f>
        <v>98377.452559720288</v>
      </c>
      <c r="P72" s="609">
        <f>'Restructuration cap'!$AA$79+O72</f>
        <v>102338.18579163928</v>
      </c>
      <c r="Q72" s="609">
        <f>NPV(N72,'Restructuration cap'!$W$79:$Z$79)</f>
        <v>12222.117304094705</v>
      </c>
      <c r="R72" s="609">
        <f>('Restructuration cap'!$AA$79+O72)/((1+N72)^5)</f>
        <v>69744.988272770206</v>
      </c>
      <c r="S72" s="610">
        <f>Q72+R72+'APV CALCULATION '!$C$46</f>
        <v>86604.877282429254</v>
      </c>
    </row>
    <row r="73" spans="2:19" ht="17" thickBot="1">
      <c r="B73" s="619" t="s">
        <v>330</v>
      </c>
      <c r="C73" s="619" t="s">
        <v>369</v>
      </c>
      <c r="D73" s="619" t="s">
        <v>370</v>
      </c>
      <c r="E73" s="619" t="s">
        <v>371</v>
      </c>
      <c r="F73" s="620" t="s">
        <v>372</v>
      </c>
      <c r="G73" s="619" t="s">
        <v>375</v>
      </c>
      <c r="H73" s="619" t="s">
        <v>373</v>
      </c>
      <c r="I73" s="619" t="s">
        <v>374</v>
      </c>
      <c r="J73" s="619" t="s">
        <v>364</v>
      </c>
      <c r="N73" s="604">
        <f t="shared" si="5"/>
        <v>8.0704575065611406E-2</v>
      </c>
      <c r="O73" s="609">
        <f>('Restructuration cap'!$AA$79*(1+'WACC CALCULATION'!$D$15))/(N73-'WACC CALCULATION'!$D$15)</f>
        <v>96078.223994816901</v>
      </c>
      <c r="P73" s="609">
        <f>'Restructuration cap'!$AA$79+O73</f>
        <v>100038.95722673589</v>
      </c>
      <c r="Q73" s="609">
        <f>NPV(N73,'Restructuration cap'!$W$79:$Z$79)</f>
        <v>12195.029950317756</v>
      </c>
      <c r="R73" s="609">
        <f>('Restructuration cap'!$AA$79+O73)/((1+N73)^5)</f>
        <v>67863.179946996941</v>
      </c>
      <c r="S73" s="610">
        <f>Q73+R73+'APV CALCULATION '!$C$46</f>
        <v>84695.981602879037</v>
      </c>
    </row>
    <row r="74" spans="2:19">
      <c r="B74" s="613">
        <v>0.1</v>
      </c>
      <c r="C74" s="617">
        <f>('Coverage ratios'!$R$7*B74)/(1+'Coverage ratios'!$R$9)</f>
        <v>123.14265530710125</v>
      </c>
      <c r="D74" s="617">
        <f>('Coverage ratios'!$R$17*B74)/((1+'Coverage ratios'!$R$19)^2)</f>
        <v>84.968689024157854</v>
      </c>
      <c r="E74" s="617">
        <f>('Coverage ratios'!$R$27*B74)/((1+'Coverage ratios'!$R$29)^3)</f>
        <v>80.982481890526245</v>
      </c>
      <c r="F74" s="617">
        <f>('Coverage ratios'!$R$37*B74)/((1+'Coverage ratios'!$R$39)^4)</f>
        <v>69.273950473248846</v>
      </c>
      <c r="G74" s="617">
        <f>('Coverage ratios'!$R$47*B74)/((1+'Coverage ratios'!$R$49)^5)</f>
        <v>59.103090871347227</v>
      </c>
      <c r="H74" s="617">
        <f>B74*'APV CALCULATION '!$Q$14</f>
        <v>2077.5667110865666</v>
      </c>
      <c r="I74" s="617">
        <f>((SUM(G74:H74)/(1+'APV CALCULATION '!$I$31^5))+F74/(1+'APV CALCULATION '!$H$31^4)+(E74/(1+'APV CALCULATION '!$G$31^3)+(D74/(1+'APV CALCULATION '!$F$31)^2)+(C74/(1+'APV CALCULATION '!$E$31))))</f>
        <v>2485.0492896054029</v>
      </c>
      <c r="J74" s="617">
        <f>I74+'APV CALCULATION '!$C$45</f>
        <v>104596.78388720898</v>
      </c>
      <c r="N74" s="604">
        <f t="shared" si="5"/>
        <v>8.1704575065611407E-2</v>
      </c>
      <c r="O74" s="609">
        <f>('Restructuration cap'!$AA$79*(1+'WACC CALCULATION'!$D$15))/(N74-'WACC CALCULATION'!$D$15)</f>
        <v>93884.013830095457</v>
      </c>
      <c r="P74" s="609">
        <f>'Restructuration cap'!$AA$79+O74</f>
        <v>97844.747062014445</v>
      </c>
      <c r="Q74" s="609">
        <f>NPV(N74,'Restructuration cap'!$W$79:$Z$79)</f>
        <v>12168.040290102415</v>
      </c>
      <c r="R74" s="609">
        <f>('Restructuration cap'!$AA$79+O74)/((1+N74)^5)</f>
        <v>66068.459727069087</v>
      </c>
      <c r="S74" s="610">
        <f>Q74+R74+'APV CALCULATION '!$C$46</f>
        <v>82874.271722735852</v>
      </c>
    </row>
    <row r="75" spans="2:19">
      <c r="B75" s="614">
        <f t="shared" ref="B75:B138" si="6">B74+0.1%</f>
        <v>0.10100000000000001</v>
      </c>
      <c r="C75" s="617">
        <f>('Coverage ratios'!$R$7*B75)/(1+'Coverage ratios'!$R$9)</f>
        <v>124.37408186017228</v>
      </c>
      <c r="D75" s="617">
        <f>('Coverage ratios'!$R$17*B75)/((1+'Coverage ratios'!$R$19)^2)</f>
        <v>85.818375914399439</v>
      </c>
      <c r="E75" s="617">
        <f>('Coverage ratios'!$R$27*B75)/((1+'Coverage ratios'!$R$29)^3)</f>
        <v>81.7923067094315</v>
      </c>
      <c r="F75" s="617">
        <f>('Coverage ratios'!$R$37*B75)/((1+'Coverage ratios'!$R$39)^4)</f>
        <v>69.966689977981332</v>
      </c>
      <c r="G75" s="617">
        <f>('Coverage ratios'!$R$47*B75)/((1+'Coverage ratios'!$R$49)^5)</f>
        <v>59.694121780060691</v>
      </c>
      <c r="H75" s="617">
        <f>B75*'APV CALCULATION '!$Q$14</f>
        <v>2098.3423781974325</v>
      </c>
      <c r="I75" s="617">
        <f>((SUM(G75:H75)/(1+'APV CALCULATION '!$I$31^5))+F75/(1+'APV CALCULATION '!$H$31^4)+(E75/(1+'APV CALCULATION '!$G$31^3)+(D75/(1+'APV CALCULATION '!$F$31)^2)+(C75/(1+'APV CALCULATION '!$E$31))))</f>
        <v>2509.8997825014567</v>
      </c>
      <c r="J75" s="617">
        <f>I75+'APV CALCULATION '!$C$45</f>
        <v>104621.63438010502</v>
      </c>
      <c r="N75" s="604">
        <f t="shared" si="5"/>
        <v>8.2704575065611408E-2</v>
      </c>
      <c r="O75" s="609">
        <f>('Restructuration cap'!$AA$79*(1+'WACC CALCULATION'!$D$15))/(N75-'WACC CALCULATION'!$D$15)</f>
        <v>91787.787566722182</v>
      </c>
      <c r="P75" s="609">
        <f>'Restructuration cap'!$AA$79+O75</f>
        <v>95748.52079864117</v>
      </c>
      <c r="Q75" s="609">
        <f>NPV(N75,'Restructuration cap'!$W$79:$Z$79)</f>
        <v>12141.147857839085</v>
      </c>
      <c r="R75" s="609">
        <f>('Restructuration cap'!$AA$79+O75)/((1+N75)^5)</f>
        <v>64354.988003828257</v>
      </c>
      <c r="S75" s="610">
        <f>Q75+R75+'APV CALCULATION '!$C$46</f>
        <v>81133.907567231683</v>
      </c>
    </row>
    <row r="76" spans="2:19">
      <c r="B76" s="614">
        <f t="shared" si="6"/>
        <v>0.10200000000000001</v>
      </c>
      <c r="C76" s="617">
        <f>('Coverage ratios'!$R$7*B76)/(1+'Coverage ratios'!$R$9)</f>
        <v>125.60550841324327</v>
      </c>
      <c r="D76" s="617">
        <f>('Coverage ratios'!$R$17*B76)/((1+'Coverage ratios'!$R$19)^2)</f>
        <v>86.668062804641011</v>
      </c>
      <c r="E76" s="617">
        <f>('Coverage ratios'!$R$27*B76)/((1+'Coverage ratios'!$R$29)^3)</f>
        <v>82.60213152833677</v>
      </c>
      <c r="F76" s="617">
        <f>('Coverage ratios'!$R$37*B76)/((1+'Coverage ratios'!$R$39)^4)</f>
        <v>70.659429482713833</v>
      </c>
      <c r="G76" s="617">
        <f>('Coverage ratios'!$R$47*B76)/((1+'Coverage ratios'!$R$49)^5)</f>
        <v>60.285152688774168</v>
      </c>
      <c r="H76" s="617">
        <f>B76*'APV CALCULATION '!$Q$14</f>
        <v>2119.118045308298</v>
      </c>
      <c r="I76" s="617">
        <f>((SUM(G76:H76)/(1+'APV CALCULATION '!$I$31^5))+F76/(1+'APV CALCULATION '!$H$31^4)+(E76/(1+'APV CALCULATION '!$G$31^3)+(D76/(1+'APV CALCULATION '!$F$31)^2)+(C76/(1+'APV CALCULATION '!$E$31))))</f>
        <v>2534.7502753975109</v>
      </c>
      <c r="J76" s="617">
        <f>I76+'APV CALCULATION '!$C$45</f>
        <v>104646.48487300109</v>
      </c>
      <c r="N76" s="604">
        <f t="shared" si="5"/>
        <v>8.3704575065611408E-2</v>
      </c>
      <c r="O76" s="609">
        <f>('Restructuration cap'!$AA$79*(1+'WACC CALCULATION'!$D$15))/(N76-'WACC CALCULATION'!$D$15)</f>
        <v>89783.125244905561</v>
      </c>
      <c r="P76" s="609">
        <f>'Restructuration cap'!$AA$79+O76</f>
        <v>93743.858476824549</v>
      </c>
      <c r="Q76" s="609">
        <f>NPV(N76,'Restructuration cap'!$W$79:$Z$79)</f>
        <v>12114.352190632426</v>
      </c>
      <c r="R76" s="609">
        <f>('Restructuration cap'!$AA$79+O76)/((1+N76)^5)</f>
        <v>62717.43535947473</v>
      </c>
      <c r="S76" s="610">
        <f>Q76+R76+'APV CALCULATION '!$C$46</f>
        <v>79469.559255671498</v>
      </c>
    </row>
    <row r="77" spans="2:19">
      <c r="B77" s="614">
        <f t="shared" si="6"/>
        <v>0.10300000000000001</v>
      </c>
      <c r="C77" s="617">
        <f>('Coverage ratios'!$R$7*B77)/(1+'Coverage ratios'!$R$9)</f>
        <v>126.8369349663143</v>
      </c>
      <c r="D77" s="617">
        <f>('Coverage ratios'!$R$17*B77)/((1+'Coverage ratios'!$R$19)^2)</f>
        <v>87.517749694882596</v>
      </c>
      <c r="E77" s="617">
        <f>('Coverage ratios'!$R$27*B77)/((1+'Coverage ratios'!$R$29)^3)</f>
        <v>83.41195634724204</v>
      </c>
      <c r="F77" s="617">
        <f>('Coverage ratios'!$R$37*B77)/((1+'Coverage ratios'!$R$39)^4)</f>
        <v>71.352168987446319</v>
      </c>
      <c r="G77" s="617">
        <f>('Coverage ratios'!$R$47*B77)/((1+'Coverage ratios'!$R$49)^5)</f>
        <v>60.876183597487646</v>
      </c>
      <c r="H77" s="617">
        <f>B77*'APV CALCULATION '!$Q$14</f>
        <v>2139.8937124191639</v>
      </c>
      <c r="I77" s="617">
        <f>((SUM(G77:H77)/(1+'APV CALCULATION '!$I$31^5))+F77/(1+'APV CALCULATION '!$H$31^4)+(E77/(1+'APV CALCULATION '!$G$31^3)+(D77/(1+'APV CALCULATION '!$F$31)^2)+(C77/(1+'APV CALCULATION '!$E$31))))</f>
        <v>2559.6007682935651</v>
      </c>
      <c r="J77" s="617">
        <f>I77+'APV CALCULATION '!$C$45</f>
        <v>104671.33536589713</v>
      </c>
      <c r="N77" s="604">
        <f t="shared" si="5"/>
        <v>8.4704575065611409E-2</v>
      </c>
      <c r="O77" s="609">
        <f>('Restructuration cap'!$AA$79*(1+'WACC CALCULATION'!$D$15))/(N77-'WACC CALCULATION'!$D$15)</f>
        <v>87864.155769992663</v>
      </c>
      <c r="P77" s="609">
        <f>'Restructuration cap'!$AA$79+O77</f>
        <v>91824.889001911652</v>
      </c>
      <c r="Q77" s="609">
        <f>NPV(N77,'Restructuration cap'!$W$79:$Z$79)</f>
        <v>12087.652828282757</v>
      </c>
      <c r="R77" s="609">
        <f>('Restructuration cap'!$AA$79+O77)/((1+N77)^5)</f>
        <v>61150.928044700959</v>
      </c>
      <c r="S77" s="610">
        <f>Q77+R77+'APV CALCULATION '!$C$46</f>
        <v>77876.35257854806</v>
      </c>
    </row>
    <row r="78" spans="2:19">
      <c r="B78" s="614">
        <f t="shared" si="6"/>
        <v>0.10400000000000001</v>
      </c>
      <c r="C78" s="617">
        <f>('Coverage ratios'!$R$7*B78)/(1+'Coverage ratios'!$R$9)</f>
        <v>128.06836151938532</v>
      </c>
      <c r="D78" s="617">
        <f>('Coverage ratios'!$R$17*B78)/((1+'Coverage ratios'!$R$19)^2)</f>
        <v>88.367436585124182</v>
      </c>
      <c r="E78" s="617">
        <f>('Coverage ratios'!$R$27*B78)/((1+'Coverage ratios'!$R$29)^3)</f>
        <v>84.221781166147309</v>
      </c>
      <c r="F78" s="617">
        <f>('Coverage ratios'!$R$37*B78)/((1+'Coverage ratios'!$R$39)^4)</f>
        <v>72.044908492178806</v>
      </c>
      <c r="G78" s="617">
        <f>('Coverage ratios'!$R$47*B78)/((1+'Coverage ratios'!$R$49)^5)</f>
        <v>61.46721450620111</v>
      </c>
      <c r="H78" s="617">
        <f>B78*'APV CALCULATION '!$Q$14</f>
        <v>2160.6693795300293</v>
      </c>
      <c r="I78" s="617">
        <f>((SUM(G78:H78)/(1+'APV CALCULATION '!$I$31^5))+F78/(1+'APV CALCULATION '!$H$31^4)+(E78/(1+'APV CALCULATION '!$G$31^3)+(D78/(1+'APV CALCULATION '!$F$31)^2)+(C78/(1+'APV CALCULATION '!$E$31))))</f>
        <v>2584.4512611896189</v>
      </c>
      <c r="J78" s="617">
        <f>I78+'APV CALCULATION '!$C$45</f>
        <v>104696.18585879319</v>
      </c>
      <c r="N78" s="604">
        <f t="shared" si="5"/>
        <v>8.570457506561141E-2</v>
      </c>
      <c r="O78" s="609">
        <f>('Restructuration cap'!$AA$79*(1+'WACC CALCULATION'!$D$15))/(N78-'WACC CALCULATION'!$D$15)</f>
        <v>86025.499484367276</v>
      </c>
      <c r="P78" s="609">
        <f>'Restructuration cap'!$AA$79+O78</f>
        <v>89986.232716286264</v>
      </c>
      <c r="Q78" s="609">
        <f>NPV(N78,'Restructuration cap'!$W$79:$Z$79)</f>
        <v>12061.04931326764</v>
      </c>
      <c r="R78" s="609">
        <f>('Restructuration cap'!$AA$79+O78)/((1+N78)^5)</f>
        <v>59651.000301542168</v>
      </c>
      <c r="S78" s="610">
        <f>Q78+R78+'APV CALCULATION '!$C$46</f>
        <v>76349.821320374147</v>
      </c>
    </row>
    <row r="79" spans="2:19">
      <c r="B79" s="614">
        <f t="shared" si="6"/>
        <v>0.10500000000000001</v>
      </c>
      <c r="C79" s="617">
        <f>('Coverage ratios'!$R$7*B79)/(1+'Coverage ratios'!$R$9)</f>
        <v>129.29978807245632</v>
      </c>
      <c r="D79" s="617">
        <f>('Coverage ratios'!$R$17*B79)/((1+'Coverage ratios'!$R$19)^2)</f>
        <v>89.217123475365767</v>
      </c>
      <c r="E79" s="617">
        <f>('Coverage ratios'!$R$27*B79)/((1+'Coverage ratios'!$R$29)^3)</f>
        <v>85.031605985052551</v>
      </c>
      <c r="F79" s="617">
        <f>('Coverage ratios'!$R$37*B79)/((1+'Coverage ratios'!$R$39)^4)</f>
        <v>72.737647996911306</v>
      </c>
      <c r="G79" s="617">
        <f>('Coverage ratios'!$R$47*B79)/((1+'Coverage ratios'!$R$49)^5)</f>
        <v>62.05824541491458</v>
      </c>
      <c r="H79" s="617">
        <f>B79*'APV CALCULATION '!$Q$14</f>
        <v>2181.4450466408953</v>
      </c>
      <c r="I79" s="617">
        <f>((SUM(G79:H79)/(1+'APV CALCULATION '!$I$31^5))+F79/(1+'APV CALCULATION '!$H$31^4)+(E79/(1+'APV CALCULATION '!$G$31^3)+(D79/(1+'APV CALCULATION '!$F$31)^2)+(C79/(1+'APV CALCULATION '!$E$31))))</f>
        <v>2609.3017540856731</v>
      </c>
      <c r="J79" s="617">
        <f>I79+'APV CALCULATION '!$C$45</f>
        <v>104721.03635168924</v>
      </c>
      <c r="N79" s="604">
        <f t="shared" si="5"/>
        <v>8.6704575065611411E-2</v>
      </c>
      <c r="O79" s="609">
        <f>('Restructuration cap'!$AA$79*(1+'WACC CALCULATION'!$D$15))/(N79-'WACC CALCULATION'!$D$15)</f>
        <v>84262.217802039129</v>
      </c>
      <c r="P79" s="609">
        <f>'Restructuration cap'!$AA$79+O79</f>
        <v>88222.951033958117</v>
      </c>
      <c r="Q79" s="609">
        <f>NPV(N79,'Restructuration cap'!$W$79:$Z$79)</f>
        <v>12034.541190723585</v>
      </c>
      <c r="R79" s="609">
        <f>('Restructuration cap'!$AA$79+O79)/((1+N79)^5)</f>
        <v>58213.552549716056</v>
      </c>
      <c r="S79" s="610">
        <f>Q79+R79+'APV CALCULATION '!$C$46</f>
        <v>74885.865446003983</v>
      </c>
    </row>
    <row r="80" spans="2:19">
      <c r="B80" s="614">
        <f t="shared" si="6"/>
        <v>0.10600000000000001</v>
      </c>
      <c r="C80" s="617">
        <f>('Coverage ratios'!$R$7*B80)/(1+'Coverage ratios'!$R$9)</f>
        <v>130.53121462552735</v>
      </c>
      <c r="D80" s="617">
        <f>('Coverage ratios'!$R$17*B80)/((1+'Coverage ratios'!$R$19)^2)</f>
        <v>90.066810365607338</v>
      </c>
      <c r="E80" s="617">
        <f>('Coverage ratios'!$R$27*B80)/((1+'Coverage ratios'!$R$29)^3)</f>
        <v>85.84143080395782</v>
      </c>
      <c r="F80" s="617">
        <f>('Coverage ratios'!$R$37*B80)/((1+'Coverage ratios'!$R$39)^4)</f>
        <v>73.430387501643779</v>
      </c>
      <c r="G80" s="617">
        <f>('Coverage ratios'!$R$47*B80)/((1+'Coverage ratios'!$R$49)^5)</f>
        <v>62.649276323628058</v>
      </c>
      <c r="H80" s="617">
        <f>B80*'APV CALCULATION '!$Q$14</f>
        <v>2202.2207137517607</v>
      </c>
      <c r="I80" s="617">
        <f>((SUM(G80:H80)/(1+'APV CALCULATION '!$I$31^5))+F80/(1+'APV CALCULATION '!$H$31^4)+(E80/(1+'APV CALCULATION '!$G$31^3)+(D80/(1+'APV CALCULATION '!$F$31)^2)+(C80/(1+'APV CALCULATION '!$E$31))))</f>
        <v>2634.1522469817269</v>
      </c>
      <c r="J80" s="617">
        <f>I80+'APV CALCULATION '!$C$45</f>
        <v>104745.8868445853</v>
      </c>
      <c r="N80" s="604">
        <f t="shared" si="5"/>
        <v>8.7704575065611412E-2</v>
      </c>
      <c r="O80" s="609">
        <f>('Restructuration cap'!$AA$79*(1+'WACC CALCULATION'!$D$15))/(N80-'WACC CALCULATION'!$D$15)</f>
        <v>82569.76891292019</v>
      </c>
      <c r="P80" s="609">
        <f>'Restructuration cap'!$AA$79+O80</f>
        <v>86530.502144839178</v>
      </c>
      <c r="Q80" s="609">
        <f>NPV(N80,'Restructuration cap'!$W$79:$Z$79)</f>
        <v>12008.128008427919</v>
      </c>
      <c r="R80" s="609">
        <f>('Restructuration cap'!$AA$79+O80)/((1+N80)^5)</f>
        <v>56834.814612055343</v>
      </c>
      <c r="S80" s="610">
        <f>Q80+R80+'APV CALCULATION '!$C$46</f>
        <v>73480.7143260476</v>
      </c>
    </row>
    <row r="81" spans="2:19">
      <c r="B81" s="614">
        <f t="shared" si="6"/>
        <v>0.10700000000000001</v>
      </c>
      <c r="C81" s="617">
        <f>('Coverage ratios'!$R$7*B81)/(1+'Coverage ratios'!$R$9)</f>
        <v>131.76264117859833</v>
      </c>
      <c r="D81" s="617">
        <f>('Coverage ratios'!$R$17*B81)/((1+'Coverage ratios'!$R$19)^2)</f>
        <v>90.916497255848924</v>
      </c>
      <c r="E81" s="617">
        <f>('Coverage ratios'!$R$27*B81)/((1+'Coverage ratios'!$R$29)^3)</f>
        <v>86.65125562286309</v>
      </c>
      <c r="F81" s="617">
        <f>('Coverage ratios'!$R$37*B81)/((1+'Coverage ratios'!$R$39)^4)</f>
        <v>74.123127006376279</v>
      </c>
      <c r="G81" s="617">
        <f>('Coverage ratios'!$R$47*B81)/((1+'Coverage ratios'!$R$49)^5)</f>
        <v>63.240307232341536</v>
      </c>
      <c r="H81" s="617">
        <f>B81*'APV CALCULATION '!$Q$14</f>
        <v>2222.9963808626267</v>
      </c>
      <c r="I81" s="617">
        <f>((SUM(G81:H81)/(1+'APV CALCULATION '!$I$31^5))+F81/(1+'APV CALCULATION '!$H$31^4)+(E81/(1+'APV CALCULATION '!$G$31^3)+(D81/(1+'APV CALCULATION '!$F$31)^2)+(C81/(1+'APV CALCULATION '!$E$31))))</f>
        <v>2659.0027398777811</v>
      </c>
      <c r="J81" s="617">
        <f>I81+'APV CALCULATION '!$C$45</f>
        <v>104770.73733748135</v>
      </c>
      <c r="N81" s="604">
        <f t="shared" si="5"/>
        <v>8.8704575065611413E-2</v>
      </c>
      <c r="O81" s="609">
        <f>('Restructuration cap'!$AA$79*(1+'WACC CALCULATION'!$D$15))/(N81-'WACC CALCULATION'!$D$15)</f>
        <v>80943.968720202378</v>
      </c>
      <c r="P81" s="609">
        <f>'Restructuration cap'!$AA$79+O81</f>
        <v>84904.701952121366</v>
      </c>
      <c r="Q81" s="609">
        <f>NPV(N81,'Restructuration cap'!$W$79:$Z$79)</f>
        <v>11981.809316780766</v>
      </c>
      <c r="R81" s="609">
        <f>('Restructuration cap'!$AA$79+O81)/((1+N81)^5)</f>
        <v>55511.313284493022</v>
      </c>
      <c r="S81" s="610">
        <f>Q81+R81+'APV CALCULATION '!$C$46</f>
        <v>72130.894306838134</v>
      </c>
    </row>
    <row r="82" spans="2:19">
      <c r="B82" s="614">
        <f t="shared" si="6"/>
        <v>0.10800000000000001</v>
      </c>
      <c r="C82" s="617">
        <f>('Coverage ratios'!$R$7*B82)/(1+'Coverage ratios'!$R$9)</f>
        <v>132.99406773166936</v>
      </c>
      <c r="D82" s="617">
        <f>('Coverage ratios'!$R$17*B82)/((1+'Coverage ratios'!$R$19)^2)</f>
        <v>91.766184146090495</v>
      </c>
      <c r="E82" s="617">
        <f>('Coverage ratios'!$R$27*B82)/((1+'Coverage ratios'!$R$29)^3)</f>
        <v>87.46108044176836</v>
      </c>
      <c r="F82" s="617">
        <f>('Coverage ratios'!$R$37*B82)/((1+'Coverage ratios'!$R$39)^4)</f>
        <v>74.815866511108766</v>
      </c>
      <c r="G82" s="617">
        <f>('Coverage ratios'!$R$47*B82)/((1+'Coverage ratios'!$R$49)^5)</f>
        <v>63.831338141054999</v>
      </c>
      <c r="H82" s="617">
        <f>B82*'APV CALCULATION '!$Q$14</f>
        <v>2243.7720479734921</v>
      </c>
      <c r="I82" s="617">
        <f>((SUM(G82:H82)/(1+'APV CALCULATION '!$I$31^5))+F82/(1+'APV CALCULATION '!$H$31^4)+(E82/(1+'APV CALCULATION '!$G$31^3)+(D82/(1+'APV CALCULATION '!$F$31)^2)+(C82/(1+'APV CALCULATION '!$E$31))))</f>
        <v>2683.8532327738349</v>
      </c>
      <c r="J82" s="617">
        <f>I82+'APV CALCULATION '!$C$45</f>
        <v>104795.58783037741</v>
      </c>
      <c r="N82" s="604">
        <f t="shared" si="5"/>
        <v>8.9704575065611414E-2</v>
      </c>
      <c r="O82" s="609">
        <f>('Restructuration cap'!$AA$79*(1+'WACC CALCULATION'!$D$15))/(N82-'WACC CALCULATION'!$D$15)</f>
        <v>79380.956303485582</v>
      </c>
      <c r="P82" s="609">
        <f>'Restructuration cap'!$AA$79+O82</f>
        <v>83341.68953540457</v>
      </c>
      <c r="Q82" s="609">
        <f>NPV(N82,'Restructuration cap'!$W$79:$Z$79)</f>
        <v>11955.584668787218</v>
      </c>
      <c r="R82" s="609">
        <f>('Restructuration cap'!$AA$79+O82)/((1+N82)^5)</f>
        <v>54239.843663354179</v>
      </c>
      <c r="S82" s="610">
        <f>Q82+R82+'APV CALCULATION '!$C$46</f>
        <v>70833.200037705741</v>
      </c>
    </row>
    <row r="83" spans="2:19">
      <c r="B83" s="614">
        <f t="shared" si="6"/>
        <v>0.10900000000000001</v>
      </c>
      <c r="C83" s="617">
        <f>('Coverage ratios'!$R$7*B83)/(1+'Coverage ratios'!$R$9)</f>
        <v>134.22549428474039</v>
      </c>
      <c r="D83" s="617">
        <f>('Coverage ratios'!$R$17*B83)/((1+'Coverage ratios'!$R$19)^2)</f>
        <v>92.615871036332081</v>
      </c>
      <c r="E83" s="617">
        <f>('Coverage ratios'!$R$27*B83)/((1+'Coverage ratios'!$R$29)^3)</f>
        <v>88.270905260673601</v>
      </c>
      <c r="F83" s="617">
        <f>('Coverage ratios'!$R$37*B83)/((1+'Coverage ratios'!$R$39)^4)</f>
        <v>75.508606015841252</v>
      </c>
      <c r="G83" s="617">
        <f>('Coverage ratios'!$R$47*B83)/((1+'Coverage ratios'!$R$49)^5)</f>
        <v>64.422369049768477</v>
      </c>
      <c r="H83" s="617">
        <f>B83*'APV CALCULATION '!$Q$14</f>
        <v>2264.5477150843581</v>
      </c>
      <c r="I83" s="617">
        <f>((SUM(G83:H83)/(1+'APV CALCULATION '!$I$31^5))+F83/(1+'APV CALCULATION '!$H$31^4)+(E83/(1+'APV CALCULATION '!$G$31^3)+(D83/(1+'APV CALCULATION '!$F$31)^2)+(C83/(1+'APV CALCULATION '!$E$31))))</f>
        <v>2708.7037256698895</v>
      </c>
      <c r="J83" s="617">
        <f>I83+'APV CALCULATION '!$C$45</f>
        <v>104820.43832327347</v>
      </c>
      <c r="N83" s="604">
        <f>N82+0.1%</f>
        <v>9.0704575065611415E-2</v>
      </c>
      <c r="O83" s="609">
        <f>('Restructuration cap'!$AA$79*(1+'WACC CALCULATION'!$D$15))/(N83-'WACC CALCULATION'!$D$15)</f>
        <v>77877.16330750499</v>
      </c>
      <c r="P83" s="609">
        <f>'Restructuration cap'!$AA$79+O83</f>
        <v>81837.896539423979</v>
      </c>
      <c r="Q83" s="609">
        <f>NPV(N83,'Restructuration cap'!$W$79:$Z$79)</f>
        <v>11929.453620039578</v>
      </c>
      <c r="R83" s="609">
        <f>('Restructuration cap'!$AA$79+O83)/((1+N83)^5)</f>
        <v>53017.443731704196</v>
      </c>
      <c r="S83" s="610">
        <f>Q83+R83+'APV CALCULATION '!$C$46</f>
        <v>69584.669057308114</v>
      </c>
    </row>
    <row r="84" spans="2:19">
      <c r="B84" s="614">
        <f t="shared" si="6"/>
        <v>0.11000000000000001</v>
      </c>
      <c r="C84" s="617">
        <f>('Coverage ratios'!$R$7*B84)/(1+'Coverage ratios'!$R$9)</f>
        <v>135.4569208378114</v>
      </c>
      <c r="D84" s="617">
        <f>('Coverage ratios'!$R$17*B84)/((1+'Coverage ratios'!$R$19)^2)</f>
        <v>93.465557926573652</v>
      </c>
      <c r="E84" s="617">
        <f>('Coverage ratios'!$R$27*B84)/((1+'Coverage ratios'!$R$29)^3)</f>
        <v>89.080730079578871</v>
      </c>
      <c r="F84" s="617">
        <f>('Coverage ratios'!$R$37*B84)/((1+'Coverage ratios'!$R$39)^4)</f>
        <v>76.201345520573739</v>
      </c>
      <c r="G84" s="617">
        <f>('Coverage ratios'!$R$47*B84)/((1+'Coverage ratios'!$R$49)^5)</f>
        <v>65.013399958481955</v>
      </c>
      <c r="H84" s="617">
        <f>B84*'APV CALCULATION '!$Q$14</f>
        <v>2285.3233821952235</v>
      </c>
      <c r="I84" s="617">
        <f>((SUM(G84:H84)/(1+'APV CALCULATION '!$I$31^5))+F84/(1+'APV CALCULATION '!$H$31^4)+(E84/(1+'APV CALCULATION '!$G$31^3)+(D84/(1+'APV CALCULATION '!$F$31)^2)+(C84/(1+'APV CALCULATION '!$E$31))))</f>
        <v>2733.5542185659433</v>
      </c>
      <c r="J84" s="617">
        <f>I84+'APV CALCULATION '!$C$45</f>
        <v>104845.28881616952</v>
      </c>
      <c r="N84" s="604">
        <f t="shared" si="5"/>
        <v>9.1704575065611416E-2</v>
      </c>
      <c r="O84" s="609">
        <f>('Restructuration cap'!$AA$79*(1+'WACC CALCULATION'!$D$15))/(N84-'WACC CALCULATION'!$D$15)</f>
        <v>76429.28674557028</v>
      </c>
      <c r="P84" s="609">
        <f>'Restructuration cap'!$AA$79+O84</f>
        <v>80390.019977489268</v>
      </c>
      <c r="Q84" s="609">
        <f>NPV(N84,'Restructuration cap'!$W$79:$Z$79)</f>
        <v>11903.415728699816</v>
      </c>
      <c r="R84" s="609">
        <f>('Restructuration cap'!$AA$79+O84)/((1+N84)^5)</f>
        <v>51841.371780612571</v>
      </c>
      <c r="S84" s="610">
        <f>Q84+R84+'APV CALCULATION '!$C$46</f>
        <v>68382.559214876732</v>
      </c>
    </row>
    <row r="85" spans="2:19">
      <c r="B85" s="614">
        <f t="shared" si="6"/>
        <v>0.11100000000000002</v>
      </c>
      <c r="C85" s="617">
        <f>('Coverage ratios'!$R$7*B85)/(1+'Coverage ratios'!$R$9)</f>
        <v>136.6883473908824</v>
      </c>
      <c r="D85" s="617">
        <f>('Coverage ratios'!$R$17*B85)/((1+'Coverage ratios'!$R$19)^2)</f>
        <v>94.315244816815238</v>
      </c>
      <c r="E85" s="617">
        <f>('Coverage ratios'!$R$27*B85)/((1+'Coverage ratios'!$R$29)^3)</f>
        <v>89.89055489848414</v>
      </c>
      <c r="F85" s="617">
        <f>('Coverage ratios'!$R$37*B85)/((1+'Coverage ratios'!$R$39)^4)</f>
        <v>76.894085025306225</v>
      </c>
      <c r="G85" s="617">
        <f>('Coverage ratios'!$R$47*B85)/((1+'Coverage ratios'!$R$49)^5)</f>
        <v>65.604430867195418</v>
      </c>
      <c r="H85" s="617">
        <f>B85*'APV CALCULATION '!$Q$14</f>
        <v>2306.0990493060895</v>
      </c>
      <c r="I85" s="617">
        <f>((SUM(G85:H85)/(1+'APV CALCULATION '!$I$31^5))+F85/(1+'APV CALCULATION '!$H$31^4)+(E85/(1+'APV CALCULATION '!$G$31^3)+(D85/(1+'APV CALCULATION '!$F$31)^2)+(C85/(1+'APV CALCULATION '!$E$31))))</f>
        <v>2758.4047114619975</v>
      </c>
      <c r="J85" s="617">
        <f>I85+'APV CALCULATION '!$C$45</f>
        <v>104870.13930906558</v>
      </c>
      <c r="N85" s="604">
        <f t="shared" si="5"/>
        <v>9.2704575065611416E-2</v>
      </c>
      <c r="O85" s="609">
        <f>('Restructuration cap'!$AA$79*(1+'WACC CALCULATION'!$D$15))/(N85-'WACC CALCULATION'!$D$15)</f>
        <v>75034.264781428399</v>
      </c>
      <c r="P85" s="609">
        <f>'Restructuration cap'!$AA$79+O85</f>
        <v>78994.998013347387</v>
      </c>
      <c r="Q85" s="609">
        <f>NPV(N85,'Restructuration cap'!$W$79:$Z$79)</f>
        <v>11877.47055548207</v>
      </c>
      <c r="R85" s="609">
        <f>('Restructuration cap'!$AA$79+O85)/((1+N85)^5)</f>
        <v>50709.086303121789</v>
      </c>
      <c r="S85" s="610">
        <f>Q85+R85+'APV CALCULATION '!$C$46</f>
        <v>67224.328564168201</v>
      </c>
    </row>
    <row r="86" spans="2:19">
      <c r="B86" s="614">
        <f t="shared" si="6"/>
        <v>0.11200000000000002</v>
      </c>
      <c r="C86" s="617">
        <f>('Coverage ratios'!$R$7*B86)/(1+'Coverage ratios'!$R$9)</f>
        <v>137.9197739439534</v>
      </c>
      <c r="D86" s="617">
        <f>('Coverage ratios'!$R$17*B86)/((1+'Coverage ratios'!$R$19)^2)</f>
        <v>95.164931707056809</v>
      </c>
      <c r="E86" s="617">
        <f>('Coverage ratios'!$R$27*B86)/((1+'Coverage ratios'!$R$29)^3)</f>
        <v>90.70037971738941</v>
      </c>
      <c r="F86" s="617">
        <f>('Coverage ratios'!$R$37*B86)/((1+'Coverage ratios'!$R$39)^4)</f>
        <v>77.586824530038712</v>
      </c>
      <c r="G86" s="617">
        <f>('Coverage ratios'!$R$47*B86)/((1+'Coverage ratios'!$R$49)^5)</f>
        <v>66.195461775908896</v>
      </c>
      <c r="H86" s="617">
        <f>B86*'APV CALCULATION '!$Q$14</f>
        <v>2326.8747164169549</v>
      </c>
      <c r="I86" s="617">
        <f>((SUM(G86:H86)/(1+'APV CALCULATION '!$I$31^5))+F86/(1+'APV CALCULATION '!$H$31^4)+(E86/(1+'APV CALCULATION '!$G$31^3)+(D86/(1+'APV CALCULATION '!$F$31)^2)+(C86/(1+'APV CALCULATION '!$E$31))))</f>
        <v>2783.2552043580513</v>
      </c>
      <c r="J86" s="617">
        <f>I86+'APV CALCULATION '!$C$45</f>
        <v>104894.98980196162</v>
      </c>
      <c r="N86" s="604">
        <f t="shared" si="5"/>
        <v>9.3704575065611417E-2</v>
      </c>
      <c r="O86" s="609">
        <f>('Restructuration cap'!$AA$79*(1+'WACC CALCULATION'!$D$15))/(N86-'WACC CALCULATION'!$D$15)</f>
        <v>73689.255115826745</v>
      </c>
      <c r="P86" s="609">
        <f>'Restructuration cap'!$AA$79+O86</f>
        <v>77649.988347745733</v>
      </c>
      <c r="Q86" s="609">
        <f>NPV(N86,'Restructuration cap'!$W$79:$Z$79)</f>
        <v>11851.617663635405</v>
      </c>
      <c r="R86" s="609">
        <f>('Restructuration cap'!$AA$79+O86)/((1+N86)^5)</f>
        <v>49618.228050655307</v>
      </c>
      <c r="S86" s="610">
        <f>Q86+R86+'APV CALCULATION '!$C$46</f>
        <v>66107.617419855058</v>
      </c>
    </row>
    <row r="87" spans="2:19">
      <c r="B87" s="614">
        <f t="shared" si="6"/>
        <v>0.11300000000000002</v>
      </c>
      <c r="C87" s="617">
        <f>('Coverage ratios'!$R$7*B87)/(1+'Coverage ratios'!$R$9)</f>
        <v>139.15120049702443</v>
      </c>
      <c r="D87" s="617">
        <f>('Coverage ratios'!$R$17*B87)/((1+'Coverage ratios'!$R$19)^2)</f>
        <v>96.014618597298394</v>
      </c>
      <c r="E87" s="617">
        <f>('Coverage ratios'!$R$27*B87)/((1+'Coverage ratios'!$R$29)^3)</f>
        <v>91.510204536294665</v>
      </c>
      <c r="F87" s="617">
        <f>('Coverage ratios'!$R$37*B87)/((1+'Coverage ratios'!$R$39)^4)</f>
        <v>78.279564034771212</v>
      </c>
      <c r="G87" s="617">
        <f>('Coverage ratios'!$R$47*B87)/((1+'Coverage ratios'!$R$49)^5)</f>
        <v>66.786492684622374</v>
      </c>
      <c r="H87" s="617">
        <f>B87*'APV CALCULATION '!$Q$14</f>
        <v>2347.6503835278208</v>
      </c>
      <c r="I87" s="617">
        <f>((SUM(G87:H87)/(1+'APV CALCULATION '!$I$31^5))+F87/(1+'APV CALCULATION '!$H$31^4)+(E87/(1+'APV CALCULATION '!$G$31^3)+(D87/(1+'APV CALCULATION '!$F$31)^2)+(C87/(1+'APV CALCULATION '!$E$31))))</f>
        <v>2808.1056972541055</v>
      </c>
      <c r="J87" s="617">
        <f>I87+'APV CALCULATION '!$C$45</f>
        <v>104919.84029485768</v>
      </c>
      <c r="N87" s="604">
        <f t="shared" si="5"/>
        <v>9.4704575065611418E-2</v>
      </c>
      <c r="O87" s="609">
        <f>('Restructuration cap'!$AA$79*(1+'WACC CALCULATION'!$D$15))/(N87-'WACC CALCULATION'!$D$15)</f>
        <v>72391.615656702139</v>
      </c>
      <c r="P87" s="609">
        <f>'Restructuration cap'!$AA$79+O87</f>
        <v>76352.348888621127</v>
      </c>
      <c r="Q87" s="609">
        <f>NPV(N87,'Restructuration cap'!$W$79:$Z$79)</f>
        <v>11825.85661892656</v>
      </c>
      <c r="R87" s="609">
        <f>('Restructuration cap'!$AA$79+O87)/((1+N87)^5)</f>
        <v>48566.603985304995</v>
      </c>
      <c r="S87" s="610">
        <f>Q87+R87+'APV CALCULATION '!$C$46</f>
        <v>65030.232309795902</v>
      </c>
    </row>
    <row r="88" spans="2:19">
      <c r="B88" s="614">
        <f t="shared" si="6"/>
        <v>0.11400000000000002</v>
      </c>
      <c r="C88" s="617">
        <f>('Coverage ratios'!$R$7*B88)/(1+'Coverage ratios'!$R$9)</f>
        <v>140.38262705009546</v>
      </c>
      <c r="D88" s="617">
        <f>('Coverage ratios'!$R$17*B88)/((1+'Coverage ratios'!$R$19)^2)</f>
        <v>96.86430548753998</v>
      </c>
      <c r="E88" s="617">
        <f>('Coverage ratios'!$R$27*B88)/((1+'Coverage ratios'!$R$29)^3)</f>
        <v>92.320029355199921</v>
      </c>
      <c r="F88" s="617">
        <f>('Coverage ratios'!$R$37*B88)/((1+'Coverage ratios'!$R$39)^4)</f>
        <v>78.972303539503699</v>
      </c>
      <c r="G88" s="617">
        <f>('Coverage ratios'!$R$47*B88)/((1+'Coverage ratios'!$R$49)^5)</f>
        <v>67.377523593335852</v>
      </c>
      <c r="H88" s="617">
        <f>B88*'APV CALCULATION '!$Q$14</f>
        <v>2368.4260506386863</v>
      </c>
      <c r="I88" s="617">
        <f>((SUM(G88:H88)/(1+'APV CALCULATION '!$I$31^5))+F88/(1+'APV CALCULATION '!$H$31^4)+(E88/(1+'APV CALCULATION '!$G$31^3)+(D88/(1+'APV CALCULATION '!$F$31)^2)+(C88/(1+'APV CALCULATION '!$E$31))))</f>
        <v>2832.9561901501593</v>
      </c>
      <c r="J88" s="617">
        <f>I88+'APV CALCULATION '!$C$45</f>
        <v>104944.69078775373</v>
      </c>
      <c r="N88" s="604">
        <f t="shared" si="5"/>
        <v>9.5704575065611419E-2</v>
      </c>
      <c r="O88" s="609">
        <f>('Restructuration cap'!$AA$79*(1+'WACC CALCULATION'!$D$15))/(N88-'WACC CALCULATION'!$D$15)</f>
        <v>71138.887196370648</v>
      </c>
      <c r="P88" s="609">
        <f>'Restructuration cap'!$AA$79+O88</f>
        <v>75099.620428289636</v>
      </c>
      <c r="Q88" s="609">
        <f>NPV(N88,'Restructuration cap'!$W$79:$Z$79)</f>
        <v>11800.186989622982</v>
      </c>
      <c r="R88" s="609">
        <f>('Restructuration cap'!$AA$79+O88)/((1+N88)^5)</f>
        <v>47552.172898344004</v>
      </c>
      <c r="S88" s="610">
        <f>Q88+R88+'APV CALCULATION '!$C$46</f>
        <v>63990.131593531332</v>
      </c>
    </row>
    <row r="89" spans="2:19">
      <c r="B89" s="614">
        <f t="shared" si="6"/>
        <v>0.11500000000000002</v>
      </c>
      <c r="C89" s="617">
        <f>('Coverage ratios'!$R$7*B89)/(1+'Coverage ratios'!$R$9)</f>
        <v>141.61405360316647</v>
      </c>
      <c r="D89" s="617">
        <f>('Coverage ratios'!$R$17*B89)/((1+'Coverage ratios'!$R$19)^2)</f>
        <v>97.713992377781551</v>
      </c>
      <c r="E89" s="617">
        <f>('Coverage ratios'!$R$27*B89)/((1+'Coverage ratios'!$R$29)^3)</f>
        <v>93.129854174105191</v>
      </c>
      <c r="F89" s="617">
        <f>('Coverage ratios'!$R$37*B89)/((1+'Coverage ratios'!$R$39)^4)</f>
        <v>79.665043044236185</v>
      </c>
      <c r="G89" s="617">
        <f>('Coverage ratios'!$R$47*B89)/((1+'Coverage ratios'!$R$49)^5)</f>
        <v>67.968554502049315</v>
      </c>
      <c r="H89" s="617">
        <f>B89*'APV CALCULATION '!$Q$14</f>
        <v>2389.2017177495522</v>
      </c>
      <c r="I89" s="617">
        <f>((SUM(G89:H89)/(1+'APV CALCULATION '!$I$31^5))+F89/(1+'APV CALCULATION '!$H$31^4)+(E89/(1+'APV CALCULATION '!$G$31^3)+(D89/(1+'APV CALCULATION '!$F$31)^2)+(C89/(1+'APV CALCULATION '!$E$31))))</f>
        <v>2857.8066830462139</v>
      </c>
      <c r="J89" s="617">
        <f>I89+'APV CALCULATION '!$C$45</f>
        <v>104969.54128064979</v>
      </c>
      <c r="N89" s="604">
        <f t="shared" si="5"/>
        <v>9.670457506561142E-2</v>
      </c>
      <c r="O89" s="609">
        <f>('Restructuration cap'!$AA$79*(1+'WACC CALCULATION'!$D$15))/(N89-'WACC CALCULATION'!$D$15)</f>
        <v>69928.777856737157</v>
      </c>
      <c r="P89" s="609">
        <f>'Restructuration cap'!$AA$79+O89</f>
        <v>73889.511088656145</v>
      </c>
      <c r="Q89" s="609">
        <f>NPV(N89,'Restructuration cap'!$W$79:$Z$79)</f>
        <v>11774.608346475838</v>
      </c>
      <c r="R89" s="609">
        <f>('Restructuration cap'!$AA$79+O89)/((1+N89)^5)</f>
        <v>46573.032496559645</v>
      </c>
      <c r="S89" s="610">
        <f>Q89+R89+'APV CALCULATION '!$C$46</f>
        <v>62985.412548599823</v>
      </c>
    </row>
    <row r="90" spans="2:19">
      <c r="B90" s="614">
        <f t="shared" si="6"/>
        <v>0.11600000000000002</v>
      </c>
      <c r="C90" s="617">
        <f>('Coverage ratios'!$R$7*B90)/(1+'Coverage ratios'!$R$9)</f>
        <v>142.84548015623747</v>
      </c>
      <c r="D90" s="617">
        <f>('Coverage ratios'!$R$17*B90)/((1+'Coverage ratios'!$R$19)^2)</f>
        <v>98.563679268023137</v>
      </c>
      <c r="E90" s="617">
        <f>('Coverage ratios'!$R$27*B90)/((1+'Coverage ratios'!$R$29)^3)</f>
        <v>93.93967899301046</v>
      </c>
      <c r="F90" s="617">
        <f>('Coverage ratios'!$R$37*B90)/((1+'Coverage ratios'!$R$39)^4)</f>
        <v>80.357782548968686</v>
      </c>
      <c r="G90" s="617">
        <f>('Coverage ratios'!$R$47*B90)/((1+'Coverage ratios'!$R$49)^5)</f>
        <v>68.559585410762793</v>
      </c>
      <c r="H90" s="617">
        <f>B90*'APV CALCULATION '!$Q$14</f>
        <v>2409.9773848604177</v>
      </c>
      <c r="I90" s="617">
        <f>((SUM(G90:H90)/(1+'APV CALCULATION '!$I$31^5))+F90/(1+'APV CALCULATION '!$H$31^4)+(E90/(1+'APV CALCULATION '!$G$31^3)+(D90/(1+'APV CALCULATION '!$F$31)^2)+(C90/(1+'APV CALCULATION '!$E$31))))</f>
        <v>2882.6571759422677</v>
      </c>
      <c r="J90" s="617">
        <f>I90+'APV CALCULATION '!$C$45</f>
        <v>104994.39177354584</v>
      </c>
      <c r="N90" s="604">
        <f t="shared" si="5"/>
        <v>9.7704575065611421E-2</v>
      </c>
      <c r="O90" s="609">
        <f>('Restructuration cap'!$AA$79*(1+'WACC CALCULATION'!$D$15))/(N90-'WACC CALCULATION'!$D$15)</f>
        <v>68759.149095521629</v>
      </c>
      <c r="P90" s="609">
        <f>'Restructuration cap'!$AA$79+O90</f>
        <v>72719.882327440617</v>
      </c>
      <c r="Q90" s="609">
        <f>NPV(N90,'Restructuration cap'!$W$79:$Z$79)</f>
        <v>11749.120262703294</v>
      </c>
      <c r="R90" s="609">
        <f>('Restructuration cap'!$AA$79+O90)/((1+N90)^5)</f>
        <v>45627.407784552735</v>
      </c>
      <c r="S90" s="610">
        <f>Q90+R90+'APV CALCULATION '!$C$46</f>
        <v>62014.29975282037</v>
      </c>
    </row>
    <row r="91" spans="2:19">
      <c r="B91" s="614">
        <f t="shared" si="6"/>
        <v>0.11700000000000002</v>
      </c>
      <c r="C91" s="617">
        <f>('Coverage ratios'!$R$7*B91)/(1+'Coverage ratios'!$R$9)</f>
        <v>144.07690670930847</v>
      </c>
      <c r="D91" s="617">
        <f>('Coverage ratios'!$R$17*B91)/((1+'Coverage ratios'!$R$19)^2)</f>
        <v>99.413366158264708</v>
      </c>
      <c r="E91" s="617">
        <f>('Coverage ratios'!$R$27*B91)/((1+'Coverage ratios'!$R$29)^3)</f>
        <v>94.74950381191573</v>
      </c>
      <c r="F91" s="617">
        <f>('Coverage ratios'!$R$37*B91)/((1+'Coverage ratios'!$R$39)^4)</f>
        <v>81.050522053701158</v>
      </c>
      <c r="G91" s="617">
        <f>('Coverage ratios'!$R$47*B91)/((1+'Coverage ratios'!$R$49)^5)</f>
        <v>69.150616319476256</v>
      </c>
      <c r="H91" s="617">
        <f>B91*'APV CALCULATION '!$Q$14</f>
        <v>2430.7530519712832</v>
      </c>
      <c r="I91" s="617">
        <f>((SUM(G91:H91)/(1+'APV CALCULATION '!$I$31^5))+F91/(1+'APV CALCULATION '!$H$31^4)+(E91/(1+'APV CALCULATION '!$G$31^3)+(D91/(1+'APV CALCULATION '!$F$31)^2)+(C91/(1+'APV CALCULATION '!$E$31))))</f>
        <v>2907.5076688383215</v>
      </c>
      <c r="J91" s="617">
        <f>I91+'APV CALCULATION '!$C$45</f>
        <v>105019.2422664419</v>
      </c>
      <c r="N91" s="604">
        <f t="shared" si="5"/>
        <v>9.8704575065611422E-2</v>
      </c>
      <c r="O91" s="609">
        <f>('Restructuration cap'!$AA$79*(1+'WACC CALCULATION'!$D$15))/(N91-'WACC CALCULATION'!$D$15)</f>
        <v>67628.003093741587</v>
      </c>
      <c r="P91" s="609">
        <f>'Restructuration cap'!$AA$79+O91</f>
        <v>71588.736325660575</v>
      </c>
      <c r="Q91" s="609">
        <f>NPV(N91,'Restructuration cap'!$W$79:$Z$79)</f>
        <v>11723.722313973838</v>
      </c>
      <c r="R91" s="609">
        <f>('Restructuration cap'!$AA$79+O91)/((1+N91)^5)</f>
        <v>44713.640593763572</v>
      </c>
      <c r="S91" s="610">
        <f>Q91+R91+'APV CALCULATION '!$C$46</f>
        <v>61075.134613301751</v>
      </c>
    </row>
    <row r="92" spans="2:19">
      <c r="B92" s="614">
        <f t="shared" si="6"/>
        <v>0.11800000000000002</v>
      </c>
      <c r="C92" s="617">
        <f>('Coverage ratios'!$R$7*B92)/(1+'Coverage ratios'!$R$9)</f>
        <v>145.30833326237951</v>
      </c>
      <c r="D92" s="617">
        <f>('Coverage ratios'!$R$17*B92)/((1+'Coverage ratios'!$R$19)^2)</f>
        <v>100.26305304850629</v>
      </c>
      <c r="E92" s="617">
        <f>('Coverage ratios'!$R$27*B92)/((1+'Coverage ratios'!$R$29)^3)</f>
        <v>95.559328630820971</v>
      </c>
      <c r="F92" s="617">
        <f>('Coverage ratios'!$R$37*B92)/((1+'Coverage ratios'!$R$39)^4)</f>
        <v>81.743261558433659</v>
      </c>
      <c r="G92" s="617">
        <f>('Coverage ratios'!$R$47*B92)/((1+'Coverage ratios'!$R$49)^5)</f>
        <v>69.74164722818972</v>
      </c>
      <c r="H92" s="617">
        <f>B92*'APV CALCULATION '!$Q$14</f>
        <v>2451.5287190821491</v>
      </c>
      <c r="I92" s="617">
        <f>((SUM(G92:H92)/(1+'APV CALCULATION '!$I$31^5))+F92/(1+'APV CALCULATION '!$H$31^4)+(E92/(1+'APV CALCULATION '!$G$31^3)+(D92/(1+'APV CALCULATION '!$F$31)^2)+(C92/(1+'APV CALCULATION '!$E$31))))</f>
        <v>2932.3581617343757</v>
      </c>
      <c r="J92" s="617">
        <f>I92+'APV CALCULATION '!$C$45</f>
        <v>105044.09275933795</v>
      </c>
      <c r="N92" s="604">
        <f t="shared" si="5"/>
        <v>9.9704575065611423E-2</v>
      </c>
      <c r="O92" s="609">
        <f>('Restructuration cap'!$AA$79*(1+'WACC CALCULATION'!$D$15))/(N92-'WACC CALCULATION'!$D$15)</f>
        <v>66533.471367965438</v>
      </c>
      <c r="P92" s="609">
        <f>'Restructuration cap'!$AA$79+O92</f>
        <v>70494.204599884426</v>
      </c>
      <c r="Q92" s="609">
        <f>NPV(N92,'Restructuration cap'!$W$79:$Z$79)</f>
        <v>11698.414078389762</v>
      </c>
      <c r="R92" s="609">
        <f>('Restructuration cap'!$AA$79+O92)/((1+N92)^5)</f>
        <v>43830.180128311091</v>
      </c>
      <c r="S92" s="610">
        <f>Q92+R92+'APV CALCULATION '!$C$46</f>
        <v>60166.365912265195</v>
      </c>
    </row>
    <row r="93" spans="2:19">
      <c r="B93" s="614">
        <f t="shared" si="6"/>
        <v>0.11900000000000002</v>
      </c>
      <c r="C93" s="617">
        <f>('Coverage ratios'!$R$7*B93)/(1+'Coverage ratios'!$R$9)</f>
        <v>146.53975981545054</v>
      </c>
      <c r="D93" s="617">
        <f>('Coverage ratios'!$R$17*B93)/((1+'Coverage ratios'!$R$19)^2)</f>
        <v>101.11273993874786</v>
      </c>
      <c r="E93" s="617">
        <f>('Coverage ratios'!$R$27*B93)/((1+'Coverage ratios'!$R$29)^3)</f>
        <v>96.369153449726241</v>
      </c>
      <c r="F93" s="617">
        <f>('Coverage ratios'!$R$37*B93)/((1+'Coverage ratios'!$R$39)^4)</f>
        <v>82.436001063166145</v>
      </c>
      <c r="G93" s="617">
        <f>('Coverage ratios'!$R$47*B93)/((1+'Coverage ratios'!$R$49)^5)</f>
        <v>70.332678136903198</v>
      </c>
      <c r="H93" s="617">
        <f>B93*'APV CALCULATION '!$Q$14</f>
        <v>2472.3043861930146</v>
      </c>
      <c r="I93" s="617">
        <f>((SUM(G93:H93)/(1+'APV CALCULATION '!$I$31^5))+F93/(1+'APV CALCULATION '!$H$31^4)+(E93/(1+'APV CALCULATION '!$G$31^3)+(D93/(1+'APV CALCULATION '!$F$31)^2)+(C93/(1+'APV CALCULATION '!$E$31))))</f>
        <v>2957.2086546304295</v>
      </c>
      <c r="J93" s="617">
        <f>I93+'APV CALCULATION '!$C$45</f>
        <v>105068.94325223401</v>
      </c>
      <c r="N93" s="604">
        <f t="shared" si="5"/>
        <v>0.10070457506561142</v>
      </c>
      <c r="O93" s="609">
        <f>('Restructuration cap'!$AA$79*(1+'WACC CALCULATION'!$D$15))/(N93-'WACC CALCULATION'!$D$15)</f>
        <v>65473.804470789575</v>
      </c>
      <c r="P93" s="609">
        <f>'Restructuration cap'!$AA$79+O93</f>
        <v>69434.537702708563</v>
      </c>
      <c r="Q93" s="609">
        <f>NPV(N93,'Restructuration cap'!$W$79:$Z$79)</f>
        <v>11673.195136470757</v>
      </c>
      <c r="R93" s="609">
        <f>('Restructuration cap'!$AA$79+O93)/((1+N93)^5)</f>
        <v>42975.574414280985</v>
      </c>
      <c r="S93" s="610">
        <f>Q93+R93+'APV CALCULATION '!$C$46</f>
        <v>59286.541256316086</v>
      </c>
    </row>
    <row r="94" spans="2:19">
      <c r="B94" s="614">
        <f t="shared" si="6"/>
        <v>0.12000000000000002</v>
      </c>
      <c r="C94" s="617">
        <f>('Coverage ratios'!$R$7*B94)/(1+'Coverage ratios'!$R$9)</f>
        <v>147.77118636852151</v>
      </c>
      <c r="D94" s="617">
        <f>('Coverage ratios'!$R$17*B94)/((1+'Coverage ratios'!$R$19)^2)</f>
        <v>101.96242682898945</v>
      </c>
      <c r="E94" s="617">
        <f>('Coverage ratios'!$R$27*B94)/((1+'Coverage ratios'!$R$29)^3)</f>
        <v>97.178978268631511</v>
      </c>
      <c r="F94" s="617">
        <f>('Coverage ratios'!$R$37*B94)/((1+'Coverage ratios'!$R$39)^4)</f>
        <v>83.128740567898632</v>
      </c>
      <c r="G94" s="617">
        <f>('Coverage ratios'!$R$47*B94)/((1+'Coverage ratios'!$R$49)^5)</f>
        <v>70.923709045616675</v>
      </c>
      <c r="H94" s="617">
        <f>B94*'APV CALCULATION '!$Q$14</f>
        <v>2493.0800533038805</v>
      </c>
      <c r="I94" s="617">
        <f>((SUM(G94:H94)/(1+'APV CALCULATION '!$I$31^5))+F94/(1+'APV CALCULATION '!$H$31^4)+(E94/(1+'APV CALCULATION '!$G$31^3)+(D94/(1+'APV CALCULATION '!$F$31)^2)+(C94/(1+'APV CALCULATION '!$E$31))))</f>
        <v>2982.0591475264837</v>
      </c>
      <c r="J94" s="617">
        <f>I94+'APV CALCULATION '!$C$45</f>
        <v>105093.79374513005</v>
      </c>
      <c r="N94" s="604">
        <f t="shared" si="5"/>
        <v>0.10170457506561142</v>
      </c>
      <c r="O94" s="609">
        <f>('Restructuration cap'!$AA$79*(1+'WACC CALCULATION'!$D$15))/(N94-'WACC CALCULATION'!$D$15)</f>
        <v>64447.362660117797</v>
      </c>
      <c r="P94" s="609">
        <f>'Restructuration cap'!$AA$79+O94</f>
        <v>68408.095892036785</v>
      </c>
      <c r="Q94" s="609">
        <f>NPV(N94,'Restructuration cap'!$W$79:$Z$79)</f>
        <v>11648.065071137675</v>
      </c>
      <c r="R94" s="609">
        <f>('Restructuration cap'!$AA$79+O94)/((1+N94)^5)</f>
        <v>42148.462553320591</v>
      </c>
      <c r="S94" s="610">
        <f>Q94+R94+'APV CALCULATION '!$C$46</f>
        <v>58434.299330022608</v>
      </c>
    </row>
    <row r="95" spans="2:19">
      <c r="B95" s="614">
        <f t="shared" si="6"/>
        <v>0.12100000000000002</v>
      </c>
      <c r="C95" s="617">
        <f>('Coverage ratios'!$R$7*B95)/(1+'Coverage ratios'!$R$9)</f>
        <v>149.00261292159254</v>
      </c>
      <c r="D95" s="617">
        <f>('Coverage ratios'!$R$17*B95)/((1+'Coverage ratios'!$R$19)^2)</f>
        <v>102.81211371923102</v>
      </c>
      <c r="E95" s="617">
        <f>('Coverage ratios'!$R$27*B95)/((1+'Coverage ratios'!$R$29)^3)</f>
        <v>97.98880308753678</v>
      </c>
      <c r="F95" s="617">
        <f>('Coverage ratios'!$R$37*B95)/((1+'Coverage ratios'!$R$39)^4)</f>
        <v>83.821480072631118</v>
      </c>
      <c r="G95" s="617">
        <f>('Coverage ratios'!$R$47*B95)/((1+'Coverage ratios'!$R$49)^5)</f>
        <v>71.514739954330153</v>
      </c>
      <c r="H95" s="617">
        <f>B95*'APV CALCULATION '!$Q$14</f>
        <v>2513.855720414746</v>
      </c>
      <c r="I95" s="617">
        <f>((SUM(G95:H95)/(1+'APV CALCULATION '!$I$31^5))+F95/(1+'APV CALCULATION '!$H$31^4)+(E95/(1+'APV CALCULATION '!$G$31^3)+(D95/(1+'APV CALCULATION '!$F$31)^2)+(C95/(1+'APV CALCULATION '!$E$31))))</f>
        <v>3006.9096404225374</v>
      </c>
      <c r="J95" s="617">
        <f>I95+'APV CALCULATION '!$C$45</f>
        <v>105118.64423802611</v>
      </c>
      <c r="N95" s="604">
        <f t="shared" si="5"/>
        <v>0.10270457506561143</v>
      </c>
      <c r="O95" s="609">
        <f>('Restructuration cap'!$AA$79*(1+'WACC CALCULATION'!$D$15))/(N95-'WACC CALCULATION'!$D$15)</f>
        <v>63452.607432567405</v>
      </c>
      <c r="P95" s="609">
        <f>'Restructuration cap'!$AA$79+O95</f>
        <v>67413.340664486401</v>
      </c>
      <c r="Q95" s="609">
        <f>NPV(N95,'Restructuration cap'!$W$79:$Z$79)</f>
        <v>11623.023467696337</v>
      </c>
      <c r="R95" s="609">
        <f>('Restructuration cap'!$AA$79+O95)/((1+N95)^5)</f>
        <v>41347.56769363593</v>
      </c>
      <c r="S95" s="610">
        <f>Q95+R95+'APV CALCULATION '!$C$46</f>
        <v>57608.362866896612</v>
      </c>
    </row>
    <row r="96" spans="2:19">
      <c r="B96" s="614">
        <f t="shared" si="6"/>
        <v>0.12200000000000003</v>
      </c>
      <c r="C96" s="617">
        <f>('Coverage ratios'!$R$7*B96)/(1+'Coverage ratios'!$R$9)</f>
        <v>150.23403947466355</v>
      </c>
      <c r="D96" s="617">
        <f>('Coverage ratios'!$R$17*B96)/((1+'Coverage ratios'!$R$19)^2)</f>
        <v>103.66180060947261</v>
      </c>
      <c r="E96" s="617">
        <f>('Coverage ratios'!$R$27*B96)/((1+'Coverage ratios'!$R$29)^3)</f>
        <v>98.798627906442022</v>
      </c>
      <c r="F96" s="617">
        <f>('Coverage ratios'!$R$37*B96)/((1+'Coverage ratios'!$R$39)^4)</f>
        <v>84.514219577363605</v>
      </c>
      <c r="G96" s="617">
        <f>('Coverage ratios'!$R$47*B96)/((1+'Coverage ratios'!$R$49)^5)</f>
        <v>72.105770863043617</v>
      </c>
      <c r="H96" s="617">
        <f>B96*'APV CALCULATION '!$Q$14</f>
        <v>2534.6313875256119</v>
      </c>
      <c r="I96" s="617">
        <f>((SUM(G96:H96)/(1+'APV CALCULATION '!$I$31^5))+F96/(1+'APV CALCULATION '!$H$31^4)+(E96/(1+'APV CALCULATION '!$G$31^3)+(D96/(1+'APV CALCULATION '!$F$31)^2)+(C96/(1+'APV CALCULATION '!$E$31))))</f>
        <v>3031.7601333185926</v>
      </c>
      <c r="J96" s="617">
        <f>I96+'APV CALCULATION '!$C$45</f>
        <v>105143.49473092216</v>
      </c>
      <c r="N96" s="604">
        <f t="shared" si="5"/>
        <v>0.10370457506561143</v>
      </c>
      <c r="O96" s="609">
        <f>('Restructuration cap'!$AA$79*(1+'WACC CALCULATION'!$D$15))/(N96-'WACC CALCULATION'!$D$15)</f>
        <v>62488.093829056052</v>
      </c>
      <c r="P96" s="609">
        <f>'Restructuration cap'!$AA$79+O96</f>
        <v>66448.827060975047</v>
      </c>
      <c r="Q96" s="609">
        <f>NPV(N96,'Restructuration cap'!$W$79:$Z$79)</f>
        <v>11598.069913821579</v>
      </c>
      <c r="R96" s="609">
        <f>('Restructuration cap'!$AA$79+O96)/((1+N96)^5)</f>
        <v>40571.690642058857</v>
      </c>
      <c r="S96" s="610">
        <f>Q96+R96+'APV CALCULATION '!$C$46</f>
        <v>56807.53226144478</v>
      </c>
    </row>
    <row r="97" spans="2:19">
      <c r="B97" s="614">
        <f t="shared" si="6"/>
        <v>0.12300000000000003</v>
      </c>
      <c r="C97" s="617">
        <f>('Coverage ratios'!$R$7*B97)/(1+'Coverage ratios'!$R$9)</f>
        <v>151.46546602773458</v>
      </c>
      <c r="D97" s="617">
        <f>('Coverage ratios'!$R$17*B97)/((1+'Coverage ratios'!$R$19)^2)</f>
        <v>104.51148749971419</v>
      </c>
      <c r="E97" s="617">
        <f>('Coverage ratios'!$R$27*B97)/((1+'Coverage ratios'!$R$29)^3)</f>
        <v>99.608452725347291</v>
      </c>
      <c r="F97" s="617">
        <f>('Coverage ratios'!$R$37*B97)/((1+'Coverage ratios'!$R$39)^4)</f>
        <v>85.206959082096091</v>
      </c>
      <c r="G97" s="617">
        <f>('Coverage ratios'!$R$47*B97)/((1+'Coverage ratios'!$R$49)^5)</f>
        <v>72.696801771757094</v>
      </c>
      <c r="H97" s="617">
        <f>B97*'APV CALCULATION '!$Q$14</f>
        <v>2555.4070546364774</v>
      </c>
      <c r="I97" s="617">
        <f>((SUM(G97:H97)/(1+'APV CALCULATION '!$I$31^5))+F97/(1+'APV CALCULATION '!$H$31^4)+(E97/(1+'APV CALCULATION '!$G$31^3)+(D97/(1+'APV CALCULATION '!$F$31)^2)+(C97/(1+'APV CALCULATION '!$E$31))))</f>
        <v>3056.6106262146459</v>
      </c>
      <c r="J97" s="617">
        <f>I97+'APV CALCULATION '!$C$45</f>
        <v>105168.34522381822</v>
      </c>
      <c r="N97" s="604">
        <f t="shared" si="5"/>
        <v>0.10470457506561143</v>
      </c>
      <c r="O97" s="609">
        <f>('Restructuration cap'!$AA$79*(1+'WACC CALCULATION'!$D$15))/(N97-'WACC CALCULATION'!$D$15)</f>
        <v>61552.463431636374</v>
      </c>
      <c r="P97" s="609">
        <f>'Restructuration cap'!$AA$79+O97</f>
        <v>65513.196663555369</v>
      </c>
      <c r="Q97" s="609">
        <f>NPV(N97,'Restructuration cap'!$W$79:$Z$79)</f>
        <v>11573.20399954128</v>
      </c>
      <c r="R97" s="609">
        <f>('Restructuration cap'!$AA$79+O97)/((1+N97)^5)</f>
        <v>39819.704049991466</v>
      </c>
      <c r="S97" s="610">
        <f>Q97+R97+'APV CALCULATION '!$C$46</f>
        <v>56030.679755097088</v>
      </c>
    </row>
    <row r="98" spans="2:19">
      <c r="B98" s="614">
        <f t="shared" si="6"/>
        <v>0.12400000000000003</v>
      </c>
      <c r="C98" s="617">
        <f>('Coverage ratios'!$R$7*B98)/(1+'Coverage ratios'!$R$9)</f>
        <v>152.69689258080558</v>
      </c>
      <c r="D98" s="617">
        <f>('Coverage ratios'!$R$17*B98)/((1+'Coverage ratios'!$R$19)^2)</f>
        <v>105.36117438995578</v>
      </c>
      <c r="E98" s="617">
        <f>('Coverage ratios'!$R$27*B98)/((1+'Coverage ratios'!$R$29)^3)</f>
        <v>100.41827754425256</v>
      </c>
      <c r="F98" s="617">
        <f>('Coverage ratios'!$R$37*B98)/((1+'Coverage ratios'!$R$39)^4)</f>
        <v>85.899698586828592</v>
      </c>
      <c r="G98" s="617">
        <f>('Coverage ratios'!$R$47*B98)/((1+'Coverage ratios'!$R$49)^5)</f>
        <v>73.287832680470572</v>
      </c>
      <c r="H98" s="617">
        <f>B98*'APV CALCULATION '!$Q$14</f>
        <v>2576.1827217473433</v>
      </c>
      <c r="I98" s="617">
        <f>((SUM(G98:H98)/(1+'APV CALCULATION '!$I$31^5))+F98/(1+'APV CALCULATION '!$H$31^4)+(E98/(1+'APV CALCULATION '!$G$31^3)+(D98/(1+'APV CALCULATION '!$F$31)^2)+(C98/(1+'APV CALCULATION '!$E$31))))</f>
        <v>3081.4611191107006</v>
      </c>
      <c r="J98" s="617">
        <f>I98+'APV CALCULATION '!$C$45</f>
        <v>105193.19571671427</v>
      </c>
      <c r="N98" s="604">
        <f t="shared" si="5"/>
        <v>0.10570457506561143</v>
      </c>
      <c r="O98" s="609">
        <f>('Restructuration cap'!$AA$79*(1+'WACC CALCULATION'!$D$15))/(N98-'WACC CALCULATION'!$D$15)</f>
        <v>60644.437980197144</v>
      </c>
      <c r="P98" s="609">
        <f>'Restructuration cap'!$AA$79+O98</f>
        <v>64605.17121211614</v>
      </c>
      <c r="Q98" s="609">
        <f>NPV(N98,'Restructuration cap'!$W$79:$Z$79)</f>
        <v>11548.425317220666</v>
      </c>
      <c r="R98" s="609">
        <f>('Restructuration cap'!$AA$79+O98)/((1+N98)^5)</f>
        <v>39090.54711396819</v>
      </c>
      <c r="S98" s="610">
        <f>Q98+R98+'APV CALCULATION '!$C$46</f>
        <v>55276.744136753201</v>
      </c>
    </row>
    <row r="99" spans="2:19">
      <c r="B99" s="614">
        <f t="shared" si="6"/>
        <v>0.12500000000000003</v>
      </c>
      <c r="C99" s="617">
        <f>('Coverage ratios'!$R$7*B99)/(1+'Coverage ratios'!$R$9)</f>
        <v>153.92831913387658</v>
      </c>
      <c r="D99" s="617">
        <f>('Coverage ratios'!$R$17*B99)/((1+'Coverage ratios'!$R$19)^2)</f>
        <v>106.21086128019735</v>
      </c>
      <c r="E99" s="617">
        <f>('Coverage ratios'!$R$27*B99)/((1+'Coverage ratios'!$R$29)^3)</f>
        <v>101.22810236315783</v>
      </c>
      <c r="F99" s="617">
        <f>('Coverage ratios'!$R$37*B99)/((1+'Coverage ratios'!$R$39)^4)</f>
        <v>86.592438091561078</v>
      </c>
      <c r="G99" s="617">
        <f>('Coverage ratios'!$R$47*B99)/((1+'Coverage ratios'!$R$49)^5)</f>
        <v>73.878863589184036</v>
      </c>
      <c r="H99" s="617">
        <f>B99*'APV CALCULATION '!$Q$14</f>
        <v>2596.9583888582088</v>
      </c>
      <c r="I99" s="617">
        <f>((SUM(G99:H99)/(1+'APV CALCULATION '!$I$31^5))+F99/(1+'APV CALCULATION '!$H$31^4)+(E99/(1+'APV CALCULATION '!$G$31^3)+(D99/(1+'APV CALCULATION '!$F$31)^2)+(C99/(1+'APV CALCULATION '!$E$31))))</f>
        <v>3106.3116120067539</v>
      </c>
      <c r="J99" s="617">
        <f>I99+'APV CALCULATION '!$C$45</f>
        <v>105218.04620961033</v>
      </c>
      <c r="N99" s="604">
        <f t="shared" si="5"/>
        <v>0.10670457506561143</v>
      </c>
      <c r="O99" s="609">
        <f>('Restructuration cap'!$AA$79*(1+'WACC CALCULATION'!$D$15))/(N99-'WACC CALCULATION'!$D$15)</f>
        <v>59762.813545951525</v>
      </c>
      <c r="P99" s="609">
        <f>'Restructuration cap'!$AA$79+O99</f>
        <v>63723.546777870521</v>
      </c>
      <c r="Q99" s="609">
        <f>NPV(N99,'Restructuration cap'!$W$79:$Z$79)</f>
        <v>11523.733461546584</v>
      </c>
      <c r="R99" s="609">
        <f>('Restructuration cap'!$AA$79+O99)/((1+N99)^5)</f>
        <v>38383.220738465185</v>
      </c>
      <c r="S99" s="610">
        <f>Q99+R99+'APV CALCULATION '!$C$46</f>
        <v>54544.72590557611</v>
      </c>
    </row>
    <row r="100" spans="2:19">
      <c r="B100" s="614">
        <f t="shared" si="6"/>
        <v>0.12600000000000003</v>
      </c>
      <c r="C100" s="617">
        <f>('Coverage ratios'!$R$7*B100)/(1+'Coverage ratios'!$R$9)</f>
        <v>155.15974568694762</v>
      </c>
      <c r="D100" s="617">
        <f>('Coverage ratios'!$R$17*B100)/((1+'Coverage ratios'!$R$19)^2)</f>
        <v>107.06054817043892</v>
      </c>
      <c r="E100" s="617">
        <f>('Coverage ratios'!$R$27*B100)/((1+'Coverage ratios'!$R$29)^3)</f>
        <v>102.03792718206309</v>
      </c>
      <c r="F100" s="617">
        <f>('Coverage ratios'!$R$37*B100)/((1+'Coverage ratios'!$R$39)^4)</f>
        <v>87.285177596293565</v>
      </c>
      <c r="G100" s="617">
        <f>('Coverage ratios'!$R$47*B100)/((1+'Coverage ratios'!$R$49)^5)</f>
        <v>74.469894497897513</v>
      </c>
      <c r="H100" s="617">
        <f>B100*'APV CALCULATION '!$Q$14</f>
        <v>2617.7340559690747</v>
      </c>
      <c r="I100" s="617">
        <f>((SUM(G100:H100)/(1+'APV CALCULATION '!$I$31^5))+F100/(1+'APV CALCULATION '!$H$31^4)+(E100/(1+'APV CALCULATION '!$G$31^3)+(D100/(1+'APV CALCULATION '!$F$31)^2)+(C100/(1+'APV CALCULATION '!$E$31))))</f>
        <v>3131.1621049028086</v>
      </c>
      <c r="J100" s="617">
        <f>I100+'APV CALCULATION '!$C$45</f>
        <v>105242.89670250638</v>
      </c>
      <c r="N100" s="604">
        <f t="shared" si="5"/>
        <v>0.10770457506561143</v>
      </c>
      <c r="O100" s="609">
        <f>('Restructuration cap'!$AA$79*(1+'WACC CALCULATION'!$D$15))/(N100-'WACC CALCULATION'!$D$15)</f>
        <v>58906.455205863633</v>
      </c>
      <c r="P100" s="609">
        <f>'Restructuration cap'!$AA$79+O100</f>
        <v>62867.188437782628</v>
      </c>
      <c r="Q100" s="609">
        <f>NPV(N100,'Restructuration cap'!$W$79:$Z$79)</f>
        <v>11499.128029512036</v>
      </c>
      <c r="R100" s="609">
        <f>('Restructuration cap'!$AA$79+O100)/((1+N100)^5)</f>
        <v>37696.783114592421</v>
      </c>
      <c r="S100" s="610">
        <f>Q100+R100+'APV CALCULATION '!$C$46</f>
        <v>53833.682849668803</v>
      </c>
    </row>
    <row r="101" spans="2:19">
      <c r="B101" s="614">
        <f t="shared" si="6"/>
        <v>0.12700000000000003</v>
      </c>
      <c r="C101" s="617">
        <f>('Coverage ratios'!$R$7*B101)/(1+'Coverage ratios'!$R$9)</f>
        <v>156.39117224001862</v>
      </c>
      <c r="D101" s="617">
        <f>('Coverage ratios'!$R$17*B101)/((1+'Coverage ratios'!$R$19)^2)</f>
        <v>107.91023506068051</v>
      </c>
      <c r="E101" s="617">
        <f>('Coverage ratios'!$R$27*B101)/((1+'Coverage ratios'!$R$29)^3)</f>
        <v>102.84775200096834</v>
      </c>
      <c r="F101" s="617">
        <f>('Coverage ratios'!$R$37*B101)/((1+'Coverage ratios'!$R$39)^4)</f>
        <v>87.977917101026065</v>
      </c>
      <c r="G101" s="617">
        <f>('Coverage ratios'!$R$47*B101)/((1+'Coverage ratios'!$R$49)^5)</f>
        <v>75.060925406610991</v>
      </c>
      <c r="H101" s="617">
        <f>B101*'APV CALCULATION '!$Q$14</f>
        <v>2638.5097230799402</v>
      </c>
      <c r="I101" s="617">
        <f>((SUM(G101:H101)/(1+'APV CALCULATION '!$I$31^5))+F101/(1+'APV CALCULATION '!$H$31^4)+(E101/(1+'APV CALCULATION '!$G$31^3)+(D101/(1+'APV CALCULATION '!$F$31)^2)+(C101/(1+'APV CALCULATION '!$E$31))))</f>
        <v>3156.0125977988623</v>
      </c>
      <c r="J101" s="617">
        <f>I101+'APV CALCULATION '!$C$45</f>
        <v>105267.74719540244</v>
      </c>
      <c r="N101" s="604">
        <f t="shared" si="5"/>
        <v>0.10870457506561143</v>
      </c>
      <c r="O101" s="609">
        <f>('Restructuration cap'!$AA$79*(1+'WACC CALCULATION'!$D$15))/(N101-'WACC CALCULATION'!$D$15)</f>
        <v>58074.292168476903</v>
      </c>
      <c r="P101" s="609">
        <f>'Restructuration cap'!$AA$79+O101</f>
        <v>62035.025400395898</v>
      </c>
      <c r="Q101" s="609">
        <f>NPV(N101,'Restructuration cap'!$W$79:$Z$79)</f>
        <v>11474.608620400706</v>
      </c>
      <c r="R101" s="609">
        <f>('Restructuration cap'!$AA$79+O101)/((1+N101)^5)</f>
        <v>37030.345673541538</v>
      </c>
      <c r="S101" s="610">
        <f>Q101+R101+'APV CALCULATION '!$C$46</f>
        <v>53142.725999506591</v>
      </c>
    </row>
    <row r="102" spans="2:19">
      <c r="B102" s="614">
        <f t="shared" si="6"/>
        <v>0.12800000000000003</v>
      </c>
      <c r="C102" s="617">
        <f>('Coverage ratios'!$R$7*B102)/(1+'Coverage ratios'!$R$9)</f>
        <v>157.62259879308965</v>
      </c>
      <c r="D102" s="617">
        <f>('Coverage ratios'!$R$17*B102)/((1+'Coverage ratios'!$R$19)^2)</f>
        <v>108.75992195092208</v>
      </c>
      <c r="E102" s="617">
        <f>('Coverage ratios'!$R$27*B102)/((1+'Coverage ratios'!$R$29)^3)</f>
        <v>103.65757681987361</v>
      </c>
      <c r="F102" s="617">
        <f>('Coverage ratios'!$R$37*B102)/((1+'Coverage ratios'!$R$39)^4)</f>
        <v>88.670656605758538</v>
      </c>
      <c r="G102" s="617">
        <f>('Coverage ratios'!$R$47*B102)/((1+'Coverage ratios'!$R$49)^5)</f>
        <v>75.651956315324455</v>
      </c>
      <c r="H102" s="617">
        <f>B102*'APV CALCULATION '!$Q$14</f>
        <v>2659.2853901908061</v>
      </c>
      <c r="I102" s="617">
        <f>((SUM(G102:H102)/(1+'APV CALCULATION '!$I$31^5))+F102/(1+'APV CALCULATION '!$H$31^4)+(E102/(1+'APV CALCULATION '!$G$31^3)+(D102/(1+'APV CALCULATION '!$F$31)^2)+(C102/(1+'APV CALCULATION '!$E$31))))</f>
        <v>3180.8630906949165</v>
      </c>
      <c r="J102" s="617">
        <f>I102+'APV CALCULATION '!$C$45</f>
        <v>105292.59768829848</v>
      </c>
      <c r="N102" s="604">
        <f t="shared" si="5"/>
        <v>0.10970457506561143</v>
      </c>
      <c r="O102" s="609">
        <f>('Restructuration cap'!$AA$79*(1+'WACC CALCULATION'!$D$15))/(N102-'WACC CALCULATION'!$D$15)</f>
        <v>57265.313307127617</v>
      </c>
      <c r="P102" s="609">
        <f>'Restructuration cap'!$AA$79+O102</f>
        <v>61226.046539046612</v>
      </c>
      <c r="Q102" s="609">
        <f>NPV(N102,'Restructuration cap'!$W$79:$Z$79)</f>
        <v>11450.174835771717</v>
      </c>
      <c r="R102" s="609">
        <f>('Restructuration cap'!$AA$79+O102)/((1+N102)^5)</f>
        <v>36383.069378247965</v>
      </c>
      <c r="S102" s="610">
        <f>Q102+R102+'APV CALCULATION '!$C$46</f>
        <v>52471.015919584024</v>
      </c>
    </row>
    <row r="103" spans="2:19" ht="17" thickBot="1">
      <c r="B103" s="614">
        <f t="shared" si="6"/>
        <v>0.12900000000000003</v>
      </c>
      <c r="C103" s="617">
        <f>('Coverage ratios'!$R$7*B103)/(1+'Coverage ratios'!$R$9)</f>
        <v>158.85402534616065</v>
      </c>
      <c r="D103" s="617">
        <f>('Coverage ratios'!$R$17*B103)/((1+'Coverage ratios'!$R$19)^2)</f>
        <v>109.60960884116366</v>
      </c>
      <c r="E103" s="617">
        <f>('Coverage ratios'!$R$27*B103)/((1+'Coverage ratios'!$R$29)^3)</f>
        <v>104.46740163877888</v>
      </c>
      <c r="F103" s="617">
        <f>('Coverage ratios'!$R$37*B103)/((1+'Coverage ratios'!$R$39)^4)</f>
        <v>89.363396110491038</v>
      </c>
      <c r="G103" s="617">
        <f>('Coverage ratios'!$R$47*B103)/((1+'Coverage ratios'!$R$49)^5)</f>
        <v>76.242987224037932</v>
      </c>
      <c r="H103" s="617">
        <f>B103*'APV CALCULATION '!$Q$14</f>
        <v>2680.0610573016716</v>
      </c>
      <c r="I103" s="617">
        <f>((SUM(G103:H103)/(1+'APV CALCULATION '!$I$31^5))+F103/(1+'APV CALCULATION '!$H$31^4)+(E103/(1+'APV CALCULATION '!$G$31^3)+(D103/(1+'APV CALCULATION '!$F$31)^2)+(C103/(1+'APV CALCULATION '!$E$31))))</f>
        <v>3205.7135835909698</v>
      </c>
      <c r="J103" s="617">
        <f>I103+'APV CALCULATION '!$C$45</f>
        <v>105317.44818119454</v>
      </c>
      <c r="N103" s="605">
        <f t="shared" si="5"/>
        <v>0.11070457506561143</v>
      </c>
      <c r="O103" s="611">
        <f>('Restructuration cap'!$AA$79*(1+'WACC CALCULATION'!$D$15))/(N103-'WACC CALCULATION'!$D$15)</f>
        <v>56478.56306136521</v>
      </c>
      <c r="P103" s="611">
        <f>'Restructuration cap'!$AA$79+O103</f>
        <v>60439.296293284206</v>
      </c>
      <c r="Q103" s="611">
        <f>NPV(N103,'Restructuration cap'!$W$79:$Z$79)</f>
        <v>11425.826279444404</v>
      </c>
      <c r="R103" s="611">
        <f>('Restructuration cap'!$AA$79+O103)/((1+N103)^5)</f>
        <v>35754.16132073984</v>
      </c>
      <c r="S103" s="612">
        <f>Q103+R103+'APV CALCULATION '!$C$46</f>
        <v>51817.759305748586</v>
      </c>
    </row>
    <row r="104" spans="2:19">
      <c r="B104" s="614">
        <f t="shared" si="6"/>
        <v>0.13000000000000003</v>
      </c>
      <c r="C104" s="617">
        <f>('Coverage ratios'!$R$7*B104)/(1+'Coverage ratios'!$R$9)</f>
        <v>160.08545189923166</v>
      </c>
      <c r="D104" s="617">
        <f>('Coverage ratios'!$R$17*B104)/((1+'Coverage ratios'!$R$19)^2)</f>
        <v>110.45929573140523</v>
      </c>
      <c r="E104" s="617">
        <f>('Coverage ratios'!$R$27*B104)/((1+'Coverage ratios'!$R$29)^3)</f>
        <v>105.27722645768415</v>
      </c>
      <c r="F104" s="617">
        <f>('Coverage ratios'!$R$37*B104)/((1+'Coverage ratios'!$R$39)^4)</f>
        <v>90.056135615223525</v>
      </c>
      <c r="G104" s="617">
        <f>('Coverage ratios'!$R$47*B104)/((1+'Coverage ratios'!$R$49)^5)</f>
        <v>76.83401813275141</v>
      </c>
      <c r="H104" s="617">
        <f>B104*'APV CALCULATION '!$Q$14</f>
        <v>2700.8367244125375</v>
      </c>
      <c r="I104" s="617">
        <f>((SUM(G104:H104)/(1+'APV CALCULATION '!$I$31^5))+F104/(1+'APV CALCULATION '!$H$31^4)+(E104/(1+'APV CALCULATION '!$G$31^3)+(D104/(1+'APV CALCULATION '!$F$31)^2)+(C104/(1+'APV CALCULATION '!$E$31))))</f>
        <v>3230.5640764870245</v>
      </c>
      <c r="J104" s="617">
        <f>I104+'APV CALCULATION '!$C$45</f>
        <v>105342.29867409059</v>
      </c>
    </row>
    <row r="105" spans="2:19">
      <c r="B105" s="614">
        <f t="shared" si="6"/>
        <v>0.13100000000000003</v>
      </c>
      <c r="C105" s="617">
        <f>('Coverage ratios'!$R$7*B105)/(1+'Coverage ratios'!$R$9)</f>
        <v>161.31687845230269</v>
      </c>
      <c r="D105" s="617">
        <f>('Coverage ratios'!$R$17*B105)/((1+'Coverage ratios'!$R$19)^2)</f>
        <v>111.30898262164682</v>
      </c>
      <c r="E105" s="617">
        <f>('Coverage ratios'!$R$27*B105)/((1+'Coverage ratios'!$R$29)^3)</f>
        <v>106.08705127658939</v>
      </c>
      <c r="F105" s="617">
        <f>('Coverage ratios'!$R$37*B105)/((1+'Coverage ratios'!$R$39)^4)</f>
        <v>90.748875119956011</v>
      </c>
      <c r="G105" s="617">
        <f>('Coverage ratios'!$R$47*B105)/((1+'Coverage ratios'!$R$49)^5)</f>
        <v>77.425049041464888</v>
      </c>
      <c r="H105" s="617">
        <f>B105*'APV CALCULATION '!$Q$14</f>
        <v>2721.6123915234029</v>
      </c>
      <c r="I105" s="617">
        <f>((SUM(G105:H105)/(1+'APV CALCULATION '!$I$31^5))+F105/(1+'APV CALCULATION '!$H$31^4)+(E105/(1+'APV CALCULATION '!$G$31^3)+(D105/(1+'APV CALCULATION '!$F$31)^2)+(C105/(1+'APV CALCULATION '!$E$31))))</f>
        <v>3255.4145693830778</v>
      </c>
      <c r="J105" s="617">
        <f>I105+'APV CALCULATION '!$C$45</f>
        <v>105367.14916698665</v>
      </c>
      <c r="L105" s="6"/>
      <c r="N105"/>
    </row>
    <row r="106" spans="2:19">
      <c r="B106" s="614">
        <f t="shared" si="6"/>
        <v>0.13200000000000003</v>
      </c>
      <c r="C106" s="617">
        <f>('Coverage ratios'!$R$7*B106)/(1+'Coverage ratios'!$R$9)</f>
        <v>162.54830500537369</v>
      </c>
      <c r="D106" s="617">
        <f>('Coverage ratios'!$R$17*B106)/((1+'Coverage ratios'!$R$19)^2)</f>
        <v>112.15866951188841</v>
      </c>
      <c r="E106" s="617">
        <f>('Coverage ratios'!$R$27*B106)/((1+'Coverage ratios'!$R$29)^3)</f>
        <v>106.89687609549466</v>
      </c>
      <c r="F106" s="617">
        <f>('Coverage ratios'!$R$37*B106)/((1+'Coverage ratios'!$R$39)^4)</f>
        <v>91.441614624688498</v>
      </c>
      <c r="G106" s="617">
        <f>('Coverage ratios'!$R$47*B106)/((1+'Coverage ratios'!$R$49)^5)</f>
        <v>78.016079950178352</v>
      </c>
      <c r="H106" s="617">
        <f>B106*'APV CALCULATION '!$Q$14</f>
        <v>2742.3880586342689</v>
      </c>
      <c r="I106" s="617">
        <f>((SUM(G106:H106)/(1+'APV CALCULATION '!$I$31^5))+F106/(1+'APV CALCULATION '!$H$31^4)+(E106/(1+'APV CALCULATION '!$G$31^3)+(D106/(1+'APV CALCULATION '!$F$31)^2)+(C106/(1+'APV CALCULATION '!$E$31))))</f>
        <v>3280.2650622791325</v>
      </c>
      <c r="J106" s="617">
        <f>I106+'APV CALCULATION '!$C$45</f>
        <v>105391.9996598827</v>
      </c>
      <c r="L106" s="6"/>
      <c r="N106"/>
    </row>
    <row r="107" spans="2:19">
      <c r="B107" s="614">
        <f t="shared" si="6"/>
        <v>0.13300000000000003</v>
      </c>
      <c r="C107" s="617">
        <f>('Coverage ratios'!$R$7*B107)/(1+'Coverage ratios'!$R$9)</f>
        <v>163.77973155844469</v>
      </c>
      <c r="D107" s="617">
        <f>('Coverage ratios'!$R$17*B107)/((1+'Coverage ratios'!$R$19)^2)</f>
        <v>113.00835640212999</v>
      </c>
      <c r="E107" s="617">
        <f>('Coverage ratios'!$R$27*B107)/((1+'Coverage ratios'!$R$29)^3)</f>
        <v>107.70670091439993</v>
      </c>
      <c r="F107" s="617">
        <f>('Coverage ratios'!$R$37*B107)/((1+'Coverage ratios'!$R$39)^4)</f>
        <v>92.134354129420984</v>
      </c>
      <c r="G107" s="617">
        <f>('Coverage ratios'!$R$47*B107)/((1+'Coverage ratios'!$R$49)^5)</f>
        <v>78.607110858891815</v>
      </c>
      <c r="H107" s="617">
        <f>B107*'APV CALCULATION '!$Q$14</f>
        <v>2763.1637257451343</v>
      </c>
      <c r="I107" s="617">
        <f>((SUM(G107:H107)/(1+'APV CALCULATION '!$I$31^5))+F107/(1+'APV CALCULATION '!$H$31^4)+(E107/(1+'APV CALCULATION '!$G$31^3)+(D107/(1+'APV CALCULATION '!$F$31)^2)+(C107/(1+'APV CALCULATION '!$E$31))))</f>
        <v>3305.1155551751858</v>
      </c>
      <c r="J107" s="617">
        <f>I107+'APV CALCULATION '!$C$45</f>
        <v>105416.85015277876</v>
      </c>
      <c r="L107" s="6"/>
      <c r="N107"/>
    </row>
    <row r="108" spans="2:19">
      <c r="B108" s="614">
        <f t="shared" si="6"/>
        <v>0.13400000000000004</v>
      </c>
      <c r="C108" s="617">
        <f>('Coverage ratios'!$R$7*B108)/(1+'Coverage ratios'!$R$9)</f>
        <v>165.01115811151573</v>
      </c>
      <c r="D108" s="617">
        <f>('Coverage ratios'!$R$17*B108)/((1+'Coverage ratios'!$R$19)^2)</f>
        <v>113.85804329237156</v>
      </c>
      <c r="E108" s="617">
        <f>('Coverage ratios'!$R$27*B108)/((1+'Coverage ratios'!$R$29)^3)</f>
        <v>108.5165257333052</v>
      </c>
      <c r="F108" s="617">
        <f>('Coverage ratios'!$R$37*B108)/((1+'Coverage ratios'!$R$39)^4)</f>
        <v>92.827093634153471</v>
      </c>
      <c r="G108" s="617">
        <f>('Coverage ratios'!$R$47*B108)/((1+'Coverage ratios'!$R$49)^5)</f>
        <v>79.198141767605293</v>
      </c>
      <c r="H108" s="617">
        <f>B108*'APV CALCULATION '!$Q$14</f>
        <v>2783.9393928560003</v>
      </c>
      <c r="I108" s="617">
        <f>((SUM(G108:H108)/(1+'APV CALCULATION '!$I$31^5))+F108/(1+'APV CALCULATION '!$H$31^4)+(E108/(1+'APV CALCULATION '!$G$31^3)+(D108/(1+'APV CALCULATION '!$F$31)^2)+(C108/(1+'APV CALCULATION '!$E$31))))</f>
        <v>3329.9660480712409</v>
      </c>
      <c r="J108" s="617">
        <f>I108+'APV CALCULATION '!$C$45</f>
        <v>105441.70064567481</v>
      </c>
      <c r="L108" s="6"/>
      <c r="N108"/>
    </row>
    <row r="109" spans="2:19">
      <c r="B109" s="614">
        <f t="shared" si="6"/>
        <v>0.13500000000000004</v>
      </c>
      <c r="C109" s="617">
        <f>('Coverage ratios'!$R$7*B109)/(1+'Coverage ratios'!$R$9)</f>
        <v>166.24258466458673</v>
      </c>
      <c r="D109" s="617">
        <f>('Coverage ratios'!$R$17*B109)/((1+'Coverage ratios'!$R$19)^2)</f>
        <v>114.70773018261315</v>
      </c>
      <c r="E109" s="617">
        <f>('Coverage ratios'!$R$27*B109)/((1+'Coverage ratios'!$R$29)^3)</f>
        <v>109.32635055221044</v>
      </c>
      <c r="F109" s="617">
        <f>('Coverage ratios'!$R$37*B109)/((1+'Coverage ratios'!$R$39)^4)</f>
        <v>93.519833138885971</v>
      </c>
      <c r="G109" s="617">
        <f>('Coverage ratios'!$R$47*B109)/((1+'Coverage ratios'!$R$49)^5)</f>
        <v>79.789172676318756</v>
      </c>
      <c r="H109" s="617">
        <f>B109*'APV CALCULATION '!$Q$14</f>
        <v>2804.7150599668657</v>
      </c>
      <c r="I109" s="617">
        <f>((SUM(G109:H109)/(1+'APV CALCULATION '!$I$31^5))+F109/(1+'APV CALCULATION '!$H$31^4)+(E109/(1+'APV CALCULATION '!$G$31^3)+(D109/(1+'APV CALCULATION '!$F$31)^2)+(C109/(1+'APV CALCULATION '!$E$31))))</f>
        <v>3354.8165409672943</v>
      </c>
      <c r="J109" s="617">
        <f>I109+'APV CALCULATION '!$C$45</f>
        <v>105466.55113857087</v>
      </c>
      <c r="L109" s="6"/>
      <c r="N109"/>
    </row>
    <row r="110" spans="2:19">
      <c r="B110" s="614">
        <f t="shared" si="6"/>
        <v>0.13600000000000004</v>
      </c>
      <c r="C110" s="617">
        <f>('Coverage ratios'!$R$7*B110)/(1+'Coverage ratios'!$R$9)</f>
        <v>167.47401121765776</v>
      </c>
      <c r="D110" s="617">
        <f>('Coverage ratios'!$R$17*B110)/((1+'Coverage ratios'!$R$19)^2)</f>
        <v>115.55741707285472</v>
      </c>
      <c r="E110" s="617">
        <f>('Coverage ratios'!$R$27*B110)/((1+'Coverage ratios'!$R$29)^3)</f>
        <v>110.13617537111571</v>
      </c>
      <c r="F110" s="617">
        <f>('Coverage ratios'!$R$37*B110)/((1+'Coverage ratios'!$R$39)^4)</f>
        <v>94.212572643618458</v>
      </c>
      <c r="G110" s="617">
        <f>('Coverage ratios'!$R$47*B110)/((1+'Coverage ratios'!$R$49)^5)</f>
        <v>80.380203585032234</v>
      </c>
      <c r="H110" s="617">
        <f>B110*'APV CALCULATION '!$Q$14</f>
        <v>2825.4907270777312</v>
      </c>
      <c r="I110" s="617">
        <f>((SUM(G110:H110)/(1+'APV CALCULATION '!$I$31^5))+F110/(1+'APV CALCULATION '!$H$31^4)+(E110/(1+'APV CALCULATION '!$G$31^3)+(D110/(1+'APV CALCULATION '!$F$31)^2)+(C110/(1+'APV CALCULATION '!$E$31))))</f>
        <v>3379.6670338633485</v>
      </c>
      <c r="J110" s="617">
        <f>I110+'APV CALCULATION '!$C$45</f>
        <v>105491.40163146693</v>
      </c>
      <c r="L110" s="6"/>
      <c r="N110"/>
    </row>
    <row r="111" spans="2:19">
      <c r="B111" s="614">
        <f t="shared" si="6"/>
        <v>0.13700000000000004</v>
      </c>
      <c r="C111" s="617">
        <f>('Coverage ratios'!$R$7*B111)/(1+'Coverage ratios'!$R$9)</f>
        <v>168.70543777072874</v>
      </c>
      <c r="D111" s="617">
        <f>('Coverage ratios'!$R$17*B111)/((1+'Coverage ratios'!$R$19)^2)</f>
        <v>116.4071039630963</v>
      </c>
      <c r="E111" s="617">
        <f>('Coverage ratios'!$R$27*B111)/((1+'Coverage ratios'!$R$29)^3)</f>
        <v>110.94600019002098</v>
      </c>
      <c r="F111" s="617">
        <f>('Coverage ratios'!$R$37*B111)/((1+'Coverage ratios'!$R$39)^4)</f>
        <v>94.905312148350944</v>
      </c>
      <c r="G111" s="617">
        <f>('Coverage ratios'!$R$47*B111)/((1+'Coverage ratios'!$R$49)^5)</f>
        <v>80.971234493745712</v>
      </c>
      <c r="H111" s="617">
        <f>B111*'APV CALCULATION '!$Q$14</f>
        <v>2846.2663941885971</v>
      </c>
      <c r="I111" s="617">
        <f>((SUM(G111:H111)/(1+'APV CALCULATION '!$I$31^5))+F111/(1+'APV CALCULATION '!$H$31^4)+(E111/(1+'APV CALCULATION '!$G$31^3)+(D111/(1+'APV CALCULATION '!$F$31)^2)+(C111/(1+'APV CALCULATION '!$E$31))))</f>
        <v>3404.5175267594022</v>
      </c>
      <c r="J111" s="617">
        <f>I111+'APV CALCULATION '!$C$45</f>
        <v>105516.25212436297</v>
      </c>
      <c r="L111" s="6"/>
      <c r="N111"/>
    </row>
    <row r="112" spans="2:19">
      <c r="B112" s="614">
        <f t="shared" si="6"/>
        <v>0.13800000000000004</v>
      </c>
      <c r="C112" s="617">
        <f>('Coverage ratios'!$R$7*B112)/(1+'Coverage ratios'!$R$9)</f>
        <v>169.93686432379977</v>
      </c>
      <c r="D112" s="617">
        <f>('Coverage ratios'!$R$17*B112)/((1+'Coverage ratios'!$R$19)^2)</f>
        <v>117.25679085333788</v>
      </c>
      <c r="E112" s="617">
        <f>('Coverage ratios'!$R$27*B112)/((1+'Coverage ratios'!$R$29)^3)</f>
        <v>111.75582500892625</v>
      </c>
      <c r="F112" s="617">
        <f>('Coverage ratios'!$R$37*B112)/((1+'Coverage ratios'!$R$39)^4)</f>
        <v>95.598051653083445</v>
      </c>
      <c r="G112" s="617">
        <f>('Coverage ratios'!$R$47*B112)/((1+'Coverage ratios'!$R$49)^5)</f>
        <v>81.56226540245919</v>
      </c>
      <c r="H112" s="617">
        <f>B112*'APV CALCULATION '!$Q$14</f>
        <v>2867.0420612994626</v>
      </c>
      <c r="I112" s="617">
        <f>((SUM(G112:H112)/(1+'APV CALCULATION '!$I$31^5))+F112/(1+'APV CALCULATION '!$H$31^4)+(E112/(1+'APV CALCULATION '!$G$31^3)+(D112/(1+'APV CALCULATION '!$F$31)^2)+(C112/(1+'APV CALCULATION '!$E$31))))</f>
        <v>3429.3680196554565</v>
      </c>
      <c r="J112" s="617">
        <f>I112+'APV CALCULATION '!$C$45</f>
        <v>105541.10261725904</v>
      </c>
      <c r="L112" s="6"/>
      <c r="N112"/>
    </row>
    <row r="113" spans="2:14">
      <c r="B113" s="614">
        <f t="shared" si="6"/>
        <v>0.13900000000000004</v>
      </c>
      <c r="C113" s="617">
        <f>('Coverage ratios'!$R$7*B113)/(1+'Coverage ratios'!$R$9)</f>
        <v>171.1682908768708</v>
      </c>
      <c r="D113" s="617">
        <f>('Coverage ratios'!$R$17*B113)/((1+'Coverage ratios'!$R$19)^2)</f>
        <v>118.10647774357945</v>
      </c>
      <c r="E113" s="617">
        <f>('Coverage ratios'!$R$27*B113)/((1+'Coverage ratios'!$R$29)^3)</f>
        <v>112.56564982783151</v>
      </c>
      <c r="F113" s="617">
        <f>('Coverage ratios'!$R$37*B113)/((1+'Coverage ratios'!$R$39)^4)</f>
        <v>96.290791157815917</v>
      </c>
      <c r="G113" s="617">
        <f>('Coverage ratios'!$R$47*B113)/((1+'Coverage ratios'!$R$49)^5)</f>
        <v>82.153296311172653</v>
      </c>
      <c r="H113" s="617">
        <f>B113*'APV CALCULATION '!$Q$14</f>
        <v>2887.8177284103285</v>
      </c>
      <c r="I113" s="617">
        <f>((SUM(G113:H113)/(1+'APV CALCULATION '!$I$31^5))+F113/(1+'APV CALCULATION '!$H$31^4)+(E113/(1+'APV CALCULATION '!$G$31^3)+(D113/(1+'APV CALCULATION '!$F$31)^2)+(C113/(1+'APV CALCULATION '!$E$31))))</f>
        <v>3454.2185125515107</v>
      </c>
      <c r="J113" s="617">
        <f>I113+'APV CALCULATION '!$C$45</f>
        <v>105565.95311015508</v>
      </c>
      <c r="L113" s="6"/>
      <c r="N113"/>
    </row>
    <row r="114" spans="2:14">
      <c r="B114" s="614">
        <f t="shared" si="6"/>
        <v>0.14000000000000004</v>
      </c>
      <c r="C114" s="617">
        <f>('Coverage ratios'!$R$7*B114)/(1+'Coverage ratios'!$R$9)</f>
        <v>172.3997174299418</v>
      </c>
      <c r="D114" s="617">
        <f>('Coverage ratios'!$R$17*B114)/((1+'Coverage ratios'!$R$19)^2)</f>
        <v>118.95616463382103</v>
      </c>
      <c r="E114" s="617">
        <f>('Coverage ratios'!$R$27*B114)/((1+'Coverage ratios'!$R$29)^3)</f>
        <v>113.37547464673676</v>
      </c>
      <c r="F114" s="617">
        <f>('Coverage ratios'!$R$37*B114)/((1+'Coverage ratios'!$R$39)^4)</f>
        <v>96.983530662548418</v>
      </c>
      <c r="G114" s="617">
        <f>('Coverage ratios'!$R$47*B114)/((1+'Coverage ratios'!$R$49)^5)</f>
        <v>82.744327219886131</v>
      </c>
      <c r="H114" s="617">
        <f>B114*'APV CALCULATION '!$Q$14</f>
        <v>2908.593395521194</v>
      </c>
      <c r="I114" s="617">
        <f>((SUM(G114:H114)/(1+'APV CALCULATION '!$I$31^5))+F114/(1+'APV CALCULATION '!$H$31^4)+(E114/(1+'APV CALCULATION '!$G$31^3)+(D114/(1+'APV CALCULATION '!$F$31)^2)+(C114/(1+'APV CALCULATION '!$E$31))))</f>
        <v>3479.0690054475649</v>
      </c>
      <c r="J114" s="617">
        <f>I114+'APV CALCULATION '!$C$45</f>
        <v>105590.80360305114</v>
      </c>
      <c r="L114" s="6"/>
      <c r="N114"/>
    </row>
    <row r="115" spans="2:14">
      <c r="B115" s="614">
        <f t="shared" si="6"/>
        <v>0.14100000000000004</v>
      </c>
      <c r="C115" s="617">
        <f>('Coverage ratios'!$R$7*B115)/(1+'Coverage ratios'!$R$9)</f>
        <v>173.63114398301283</v>
      </c>
      <c r="D115" s="617">
        <f>('Coverage ratios'!$R$17*B115)/((1+'Coverage ratios'!$R$19)^2)</f>
        <v>119.80585152406262</v>
      </c>
      <c r="E115" s="617">
        <f>('Coverage ratios'!$R$27*B115)/((1+'Coverage ratios'!$R$29)^3)</f>
        <v>114.18529946564203</v>
      </c>
      <c r="F115" s="617">
        <f>('Coverage ratios'!$R$37*B115)/((1+'Coverage ratios'!$R$39)^4)</f>
        <v>97.676270167280904</v>
      </c>
      <c r="G115" s="617">
        <f>('Coverage ratios'!$R$47*B115)/((1+'Coverage ratios'!$R$49)^5)</f>
        <v>83.335358128599609</v>
      </c>
      <c r="H115" s="617">
        <f>B115*'APV CALCULATION '!$Q$14</f>
        <v>2929.3690626320599</v>
      </c>
      <c r="I115" s="617">
        <f>((SUM(G115:H115)/(1+'APV CALCULATION '!$I$31^5))+F115/(1+'APV CALCULATION '!$H$31^4)+(E115/(1+'APV CALCULATION '!$G$31^3)+(D115/(1+'APV CALCULATION '!$F$31)^2)+(C115/(1+'APV CALCULATION '!$E$31))))</f>
        <v>3503.9194983436191</v>
      </c>
      <c r="J115" s="617">
        <f>I115+'APV CALCULATION '!$C$45</f>
        <v>105615.65409594719</v>
      </c>
      <c r="L115" s="6"/>
      <c r="N115"/>
    </row>
    <row r="116" spans="2:14">
      <c r="B116" s="614">
        <f t="shared" si="6"/>
        <v>0.14200000000000004</v>
      </c>
      <c r="C116" s="617">
        <f>('Coverage ratios'!$R$7*B116)/(1+'Coverage ratios'!$R$9)</f>
        <v>174.86257053608381</v>
      </c>
      <c r="D116" s="617">
        <f>('Coverage ratios'!$R$17*B116)/((1+'Coverage ratios'!$R$19)^2)</f>
        <v>120.6555384143042</v>
      </c>
      <c r="E116" s="617">
        <f>('Coverage ratios'!$R$27*B116)/((1+'Coverage ratios'!$R$29)^3)</f>
        <v>114.9951242845473</v>
      </c>
      <c r="F116" s="617">
        <f>('Coverage ratios'!$R$37*B116)/((1+'Coverage ratios'!$R$39)^4)</f>
        <v>98.369009672013391</v>
      </c>
      <c r="G116" s="617">
        <f>('Coverage ratios'!$R$47*B116)/((1+'Coverage ratios'!$R$49)^5)</f>
        <v>83.926389037313072</v>
      </c>
      <c r="H116" s="617">
        <f>B116*'APV CALCULATION '!$Q$14</f>
        <v>2950.1447297429254</v>
      </c>
      <c r="I116" s="617">
        <f>((SUM(G116:H116)/(1+'APV CALCULATION '!$I$31^5))+F116/(1+'APV CALCULATION '!$H$31^4)+(E116/(1+'APV CALCULATION '!$G$31^3)+(D116/(1+'APV CALCULATION '!$F$31)^2)+(C116/(1+'APV CALCULATION '!$E$31))))</f>
        <v>3528.7699912396729</v>
      </c>
      <c r="J116" s="617">
        <f>I116+'APV CALCULATION '!$C$45</f>
        <v>105640.50458884325</v>
      </c>
      <c r="L116" s="6"/>
      <c r="N116"/>
    </row>
    <row r="117" spans="2:14">
      <c r="B117" s="614">
        <f t="shared" si="6"/>
        <v>0.14300000000000004</v>
      </c>
      <c r="C117" s="617">
        <f>('Coverage ratios'!$R$7*B117)/(1+'Coverage ratios'!$R$9)</f>
        <v>176.09399708915484</v>
      </c>
      <c r="D117" s="617">
        <f>('Coverage ratios'!$R$17*B117)/((1+'Coverage ratios'!$R$19)^2)</f>
        <v>121.50522530454577</v>
      </c>
      <c r="E117" s="617">
        <f>('Coverage ratios'!$R$27*B117)/((1+'Coverage ratios'!$R$29)^3)</f>
        <v>115.80494910345257</v>
      </c>
      <c r="F117" s="617">
        <f>('Coverage ratios'!$R$37*B117)/((1+'Coverage ratios'!$R$39)^4)</f>
        <v>99.061749176745877</v>
      </c>
      <c r="G117" s="617">
        <f>('Coverage ratios'!$R$47*B117)/((1+'Coverage ratios'!$R$49)^5)</f>
        <v>84.51741994602655</v>
      </c>
      <c r="H117" s="617">
        <f>B117*'APV CALCULATION '!$Q$14</f>
        <v>2970.9203968537913</v>
      </c>
      <c r="I117" s="617">
        <f>((SUM(G117:H117)/(1+'APV CALCULATION '!$I$31^5))+F117/(1+'APV CALCULATION '!$H$31^4)+(E117/(1+'APV CALCULATION '!$G$31^3)+(D117/(1+'APV CALCULATION '!$F$31)^2)+(C117/(1+'APV CALCULATION '!$E$31))))</f>
        <v>3553.6204841357271</v>
      </c>
      <c r="J117" s="617">
        <f>I117+'APV CALCULATION '!$C$45</f>
        <v>105665.3550817393</v>
      </c>
      <c r="L117" s="6"/>
      <c r="N117"/>
    </row>
    <row r="118" spans="2:14">
      <c r="B118" s="614">
        <f t="shared" si="6"/>
        <v>0.14400000000000004</v>
      </c>
      <c r="C118" s="617">
        <f>('Coverage ratios'!$R$7*B118)/(1+'Coverage ratios'!$R$9)</f>
        <v>177.32542364222587</v>
      </c>
      <c r="D118" s="617">
        <f>('Coverage ratios'!$R$17*B118)/((1+'Coverage ratios'!$R$19)^2)</f>
        <v>122.35491219478736</v>
      </c>
      <c r="E118" s="617">
        <f>('Coverage ratios'!$R$27*B118)/((1+'Coverage ratios'!$R$29)^3)</f>
        <v>116.61477392235783</v>
      </c>
      <c r="F118" s="617">
        <f>('Coverage ratios'!$R$37*B118)/((1+'Coverage ratios'!$R$39)^4)</f>
        <v>99.754488681478364</v>
      </c>
      <c r="G118" s="617">
        <f>('Coverage ratios'!$R$47*B118)/((1+'Coverage ratios'!$R$49)^5)</f>
        <v>85.108450854740028</v>
      </c>
      <c r="H118" s="617">
        <f>B118*'APV CALCULATION '!$Q$14</f>
        <v>2991.6960639646568</v>
      </c>
      <c r="I118" s="617">
        <f>((SUM(G118:H118)/(1+'APV CALCULATION '!$I$31^5))+F118/(1+'APV CALCULATION '!$H$31^4)+(E118/(1+'APV CALCULATION '!$G$31^3)+(D118/(1+'APV CALCULATION '!$F$31)^2)+(C118/(1+'APV CALCULATION '!$E$31))))</f>
        <v>3578.4709770317809</v>
      </c>
      <c r="J118" s="617">
        <f>I118+'APV CALCULATION '!$C$45</f>
        <v>105690.20557463536</v>
      </c>
      <c r="L118" s="6"/>
      <c r="N118"/>
    </row>
    <row r="119" spans="2:14">
      <c r="B119" s="614">
        <f t="shared" si="6"/>
        <v>0.14500000000000005</v>
      </c>
      <c r="C119" s="617">
        <f>('Coverage ratios'!$R$7*B119)/(1+'Coverage ratios'!$R$9)</f>
        <v>178.55685019529687</v>
      </c>
      <c r="D119" s="617">
        <f>('Coverage ratios'!$R$17*B119)/((1+'Coverage ratios'!$R$19)^2)</f>
        <v>123.20459908502893</v>
      </c>
      <c r="E119" s="617">
        <f>('Coverage ratios'!$R$27*B119)/((1+'Coverage ratios'!$R$29)^3)</f>
        <v>117.4245987412631</v>
      </c>
      <c r="F119" s="617">
        <f>('Coverage ratios'!$R$37*B119)/((1+'Coverage ratios'!$R$39)^4)</f>
        <v>100.44722818621085</v>
      </c>
      <c r="G119" s="617">
        <f>('Coverage ratios'!$R$47*B119)/((1+'Coverage ratios'!$R$49)^5)</f>
        <v>85.699481763453491</v>
      </c>
      <c r="H119" s="617">
        <f>B119*'APV CALCULATION '!$Q$14</f>
        <v>3012.4717310755227</v>
      </c>
      <c r="I119" s="617">
        <f>((SUM(G119:H119)/(1+'APV CALCULATION '!$I$31^5))+F119/(1+'APV CALCULATION '!$H$31^4)+(E119/(1+'APV CALCULATION '!$G$31^3)+(D119/(1+'APV CALCULATION '!$F$31)^2)+(C119/(1+'APV CALCULATION '!$E$31))))</f>
        <v>3603.3214699278351</v>
      </c>
      <c r="J119" s="617">
        <f>I119+'APV CALCULATION '!$C$45</f>
        <v>105715.0560675314</v>
      </c>
      <c r="L119" s="6"/>
      <c r="N119"/>
    </row>
    <row r="120" spans="2:14">
      <c r="B120" s="614">
        <f t="shared" si="6"/>
        <v>0.14600000000000005</v>
      </c>
      <c r="C120" s="617">
        <f>('Coverage ratios'!$R$7*B120)/(1+'Coverage ratios'!$R$9)</f>
        <v>179.78827674836788</v>
      </c>
      <c r="D120" s="617">
        <f>('Coverage ratios'!$R$17*B120)/((1+'Coverage ratios'!$R$19)^2)</f>
        <v>124.05428597527052</v>
      </c>
      <c r="E120" s="617">
        <f>('Coverage ratios'!$R$27*B120)/((1+'Coverage ratios'!$R$29)^3)</f>
        <v>118.23442356016834</v>
      </c>
      <c r="F120" s="617">
        <f>('Coverage ratios'!$R$37*B120)/((1+'Coverage ratios'!$R$39)^4)</f>
        <v>101.13996769094335</v>
      </c>
      <c r="G120" s="617">
        <f>('Coverage ratios'!$R$47*B120)/((1+'Coverage ratios'!$R$49)^5)</f>
        <v>86.290512672166969</v>
      </c>
      <c r="H120" s="617">
        <f>B120*'APV CALCULATION '!$Q$14</f>
        <v>3033.2473981863882</v>
      </c>
      <c r="I120" s="617">
        <f>((SUM(G120:H120)/(1+'APV CALCULATION '!$I$31^5))+F120/(1+'APV CALCULATION '!$H$31^4)+(E120/(1+'APV CALCULATION '!$G$31^3)+(D120/(1+'APV CALCULATION '!$F$31)^2)+(C120/(1+'APV CALCULATION '!$E$31))))</f>
        <v>3628.1719628238893</v>
      </c>
      <c r="J120" s="617">
        <f>I120+'APV CALCULATION '!$C$45</f>
        <v>105739.90656042747</v>
      </c>
      <c r="L120" s="6"/>
      <c r="N120"/>
    </row>
    <row r="121" spans="2:14">
      <c r="B121" s="614">
        <f t="shared" si="6"/>
        <v>0.14700000000000005</v>
      </c>
      <c r="C121" s="617">
        <f>('Coverage ratios'!$R$7*B121)/(1+'Coverage ratios'!$R$9)</f>
        <v>181.01970330143888</v>
      </c>
      <c r="D121" s="617">
        <f>('Coverage ratios'!$R$17*B121)/((1+'Coverage ratios'!$R$19)^2)</f>
        <v>124.90397286551209</v>
      </c>
      <c r="E121" s="617">
        <f>('Coverage ratios'!$R$27*B121)/((1+'Coverage ratios'!$R$29)^3)</f>
        <v>119.04424837907361</v>
      </c>
      <c r="F121" s="617">
        <f>('Coverage ratios'!$R$37*B121)/((1+'Coverage ratios'!$R$39)^4)</f>
        <v>101.83270719567584</v>
      </c>
      <c r="G121" s="617">
        <f>('Coverage ratios'!$R$47*B121)/((1+'Coverage ratios'!$R$49)^5)</f>
        <v>86.881543580880447</v>
      </c>
      <c r="H121" s="617">
        <f>B121*'APV CALCULATION '!$Q$14</f>
        <v>3054.0230652972541</v>
      </c>
      <c r="I121" s="617">
        <f>((SUM(G121:H121)/(1+'APV CALCULATION '!$I$31^5))+F121/(1+'APV CALCULATION '!$H$31^4)+(E121/(1+'APV CALCULATION '!$G$31^3)+(D121/(1+'APV CALCULATION '!$F$31)^2)+(C121/(1+'APV CALCULATION '!$E$31))))</f>
        <v>3653.0224557199435</v>
      </c>
      <c r="J121" s="617">
        <f>I121+'APV CALCULATION '!$C$45</f>
        <v>105764.75705332351</v>
      </c>
      <c r="L121" s="6"/>
      <c r="N121"/>
    </row>
    <row r="122" spans="2:14">
      <c r="B122" s="614">
        <f t="shared" si="6"/>
        <v>0.14800000000000005</v>
      </c>
      <c r="C122" s="617">
        <f>('Coverage ratios'!$R$7*B122)/(1+'Coverage ratios'!$R$9)</f>
        <v>182.25112985450991</v>
      </c>
      <c r="D122" s="617">
        <f>('Coverage ratios'!$R$17*B122)/((1+'Coverage ratios'!$R$19)^2)</f>
        <v>125.75365975575367</v>
      </c>
      <c r="E122" s="617">
        <f>('Coverage ratios'!$R$27*B122)/((1+'Coverage ratios'!$R$29)^3)</f>
        <v>119.85407319797886</v>
      </c>
      <c r="F122" s="617">
        <f>('Coverage ratios'!$R$37*B122)/((1+'Coverage ratios'!$R$39)^4)</f>
        <v>102.52544670040832</v>
      </c>
      <c r="G122" s="617">
        <f>('Coverage ratios'!$R$47*B122)/((1+'Coverage ratios'!$R$49)^5)</f>
        <v>87.472574489593924</v>
      </c>
      <c r="H122" s="617">
        <f>B122*'APV CALCULATION '!$Q$14</f>
        <v>3074.7987324081196</v>
      </c>
      <c r="I122" s="617">
        <f>((SUM(G122:H122)/(1+'APV CALCULATION '!$I$31^5))+F122/(1+'APV CALCULATION '!$H$31^4)+(E122/(1+'APV CALCULATION '!$G$31^3)+(D122/(1+'APV CALCULATION '!$F$31)^2)+(C122/(1+'APV CALCULATION '!$E$31))))</f>
        <v>3677.8729486159973</v>
      </c>
      <c r="J122" s="617">
        <f>I122+'APV CALCULATION '!$C$45</f>
        <v>105789.60754621957</v>
      </c>
      <c r="L122" s="6"/>
      <c r="N122"/>
    </row>
    <row r="123" spans="2:14">
      <c r="B123" s="614">
        <f t="shared" si="6"/>
        <v>0.14900000000000005</v>
      </c>
      <c r="C123" s="617">
        <f>('Coverage ratios'!$R$7*B123)/(1+'Coverage ratios'!$R$9)</f>
        <v>183.48255640758094</v>
      </c>
      <c r="D123" s="617">
        <f>('Coverage ratios'!$R$17*B123)/((1+'Coverage ratios'!$R$19)^2)</f>
        <v>126.60334664599525</v>
      </c>
      <c r="E123" s="617">
        <f>('Coverage ratios'!$R$27*B123)/((1+'Coverage ratios'!$R$29)^3)</f>
        <v>120.66389801688413</v>
      </c>
      <c r="F123" s="617">
        <f>('Coverage ratios'!$R$37*B123)/((1+'Coverage ratios'!$R$39)^4)</f>
        <v>103.21818620514082</v>
      </c>
      <c r="G123" s="617">
        <f>('Coverage ratios'!$R$47*B123)/((1+'Coverage ratios'!$R$49)^5)</f>
        <v>88.063605398307388</v>
      </c>
      <c r="H123" s="617">
        <f>B123*'APV CALCULATION '!$Q$14</f>
        <v>3095.5743995189855</v>
      </c>
      <c r="I123" s="617">
        <f>((SUM(G123:H123)/(1+'APV CALCULATION '!$I$31^5))+F123/(1+'APV CALCULATION '!$H$31^4)+(E123/(1+'APV CALCULATION '!$G$31^3)+(D123/(1+'APV CALCULATION '!$F$31)^2)+(C123/(1+'APV CALCULATION '!$E$31))))</f>
        <v>3702.7234415120515</v>
      </c>
      <c r="J123" s="617">
        <f>I123+'APV CALCULATION '!$C$45</f>
        <v>105814.45803911562</v>
      </c>
      <c r="L123" s="6"/>
      <c r="N123"/>
    </row>
    <row r="124" spans="2:14">
      <c r="B124" s="614">
        <f t="shared" si="6"/>
        <v>0.15000000000000005</v>
      </c>
      <c r="C124" s="617">
        <f>('Coverage ratios'!$R$7*B124)/(1+'Coverage ratios'!$R$9)</f>
        <v>184.71398296065192</v>
      </c>
      <c r="D124" s="617">
        <f>('Coverage ratios'!$R$17*B124)/((1+'Coverage ratios'!$R$19)^2)</f>
        <v>127.45303353623683</v>
      </c>
      <c r="E124" s="617">
        <f>('Coverage ratios'!$R$27*B124)/((1+'Coverage ratios'!$R$29)^3)</f>
        <v>121.4737228357894</v>
      </c>
      <c r="F124" s="617">
        <f>('Coverage ratios'!$R$37*B124)/((1+'Coverage ratios'!$R$39)^4)</f>
        <v>103.9109257098733</v>
      </c>
      <c r="G124" s="617">
        <f>('Coverage ratios'!$R$47*B124)/((1+'Coverage ratios'!$R$49)^5)</f>
        <v>88.654636307020851</v>
      </c>
      <c r="H124" s="617">
        <f>B124*'APV CALCULATION '!$Q$14</f>
        <v>3116.350066629851</v>
      </c>
      <c r="I124" s="617">
        <f>((SUM(G124:H124)/(1+'APV CALCULATION '!$I$31^5))+F124/(1+'APV CALCULATION '!$H$31^4)+(E124/(1+'APV CALCULATION '!$G$31^3)+(D124/(1+'APV CALCULATION '!$F$31)^2)+(C124/(1+'APV CALCULATION '!$E$31))))</f>
        <v>3727.5739344081053</v>
      </c>
      <c r="J124" s="617">
        <f>I124+'APV CALCULATION '!$C$45</f>
        <v>105839.30853201168</v>
      </c>
      <c r="L124" s="6"/>
      <c r="N124"/>
    </row>
    <row r="125" spans="2:14">
      <c r="B125" s="614">
        <f t="shared" si="6"/>
        <v>0.15100000000000005</v>
      </c>
      <c r="C125" s="617">
        <f>('Coverage ratios'!$R$7*B125)/(1+'Coverage ratios'!$R$9)</f>
        <v>185.94540951372295</v>
      </c>
      <c r="D125" s="617">
        <f>('Coverage ratios'!$R$17*B125)/((1+'Coverage ratios'!$R$19)^2)</f>
        <v>128.3027204264784</v>
      </c>
      <c r="E125" s="617">
        <f>('Coverage ratios'!$R$27*B125)/((1+'Coverage ratios'!$R$29)^3)</f>
        <v>122.28354765469467</v>
      </c>
      <c r="F125" s="617">
        <f>('Coverage ratios'!$R$37*B125)/((1+'Coverage ratios'!$R$39)^4)</f>
        <v>104.6036652146058</v>
      </c>
      <c r="G125" s="617">
        <f>('Coverage ratios'!$R$47*B125)/((1+'Coverage ratios'!$R$49)^5)</f>
        <v>89.245667215734329</v>
      </c>
      <c r="H125" s="617">
        <f>B125*'APV CALCULATION '!$Q$14</f>
        <v>3137.1257337407169</v>
      </c>
      <c r="I125" s="617">
        <f>((SUM(G125:H125)/(1+'APV CALCULATION '!$I$31^5))+F125/(1+'APV CALCULATION '!$H$31^4)+(E125/(1+'APV CALCULATION '!$G$31^3)+(D125/(1+'APV CALCULATION '!$F$31)^2)+(C125/(1+'APV CALCULATION '!$E$31))))</f>
        <v>3752.4244273041591</v>
      </c>
      <c r="J125" s="617">
        <f>I125+'APV CALCULATION '!$C$45</f>
        <v>105864.15902490773</v>
      </c>
      <c r="L125" s="6"/>
      <c r="N125"/>
    </row>
    <row r="126" spans="2:14">
      <c r="B126" s="614">
        <f t="shared" si="6"/>
        <v>0.15200000000000005</v>
      </c>
      <c r="C126" s="617">
        <f>('Coverage ratios'!$R$7*B126)/(1+'Coverage ratios'!$R$9)</f>
        <v>187.17683606679395</v>
      </c>
      <c r="D126" s="617">
        <f>('Coverage ratios'!$R$17*B126)/((1+'Coverage ratios'!$R$19)^2)</f>
        <v>129.15240731671997</v>
      </c>
      <c r="E126" s="617">
        <f>('Coverage ratios'!$R$27*B126)/((1+'Coverage ratios'!$R$29)^3)</f>
        <v>123.09337247359993</v>
      </c>
      <c r="F126" s="617">
        <f>('Coverage ratios'!$R$37*B126)/((1+'Coverage ratios'!$R$39)^4)</f>
        <v>105.29640471933828</v>
      </c>
      <c r="G126" s="617">
        <f>('Coverage ratios'!$R$47*B126)/((1+'Coverage ratios'!$R$49)^5)</f>
        <v>89.836698124447793</v>
      </c>
      <c r="H126" s="617">
        <f>B126*'APV CALCULATION '!$Q$14</f>
        <v>3157.9014008515824</v>
      </c>
      <c r="I126" s="617">
        <f>((SUM(G126:H126)/(1+'APV CALCULATION '!$I$31^5))+F126/(1+'APV CALCULATION '!$H$31^4)+(E126/(1+'APV CALCULATION '!$G$31^3)+(D126/(1+'APV CALCULATION '!$F$31)^2)+(C126/(1+'APV CALCULATION '!$E$31))))</f>
        <v>3777.2749202002133</v>
      </c>
      <c r="J126" s="617">
        <f>I126+'APV CALCULATION '!$C$45</f>
        <v>105889.00951780379</v>
      </c>
      <c r="L126" s="6"/>
      <c r="N126"/>
    </row>
    <row r="127" spans="2:14">
      <c r="B127" s="614">
        <f t="shared" si="6"/>
        <v>0.15300000000000005</v>
      </c>
      <c r="C127" s="617">
        <f>('Coverage ratios'!$R$7*B127)/(1+'Coverage ratios'!$R$9)</f>
        <v>188.40826261986498</v>
      </c>
      <c r="D127" s="617">
        <f>('Coverage ratios'!$R$17*B127)/((1+'Coverage ratios'!$R$19)^2)</f>
        <v>130.00209420696154</v>
      </c>
      <c r="E127" s="617">
        <f>('Coverage ratios'!$R$27*B127)/((1+'Coverage ratios'!$R$29)^3)</f>
        <v>123.9031972925052</v>
      </c>
      <c r="F127" s="617">
        <f>('Coverage ratios'!$R$37*B127)/((1+'Coverage ratios'!$R$39)^4)</f>
        <v>105.98914422407077</v>
      </c>
      <c r="G127" s="617">
        <f>('Coverage ratios'!$R$47*B127)/((1+'Coverage ratios'!$R$49)^5)</f>
        <v>90.42772903316127</v>
      </c>
      <c r="H127" s="617">
        <f>B127*'APV CALCULATION '!$Q$14</f>
        <v>3178.6770679624483</v>
      </c>
      <c r="I127" s="617">
        <f>((SUM(G127:H127)/(1+'APV CALCULATION '!$I$31^5))+F127/(1+'APV CALCULATION '!$H$31^4)+(E127/(1+'APV CALCULATION '!$G$31^3)+(D127/(1+'APV CALCULATION '!$F$31)^2)+(C127/(1+'APV CALCULATION '!$E$31))))</f>
        <v>3802.1254130962675</v>
      </c>
      <c r="J127" s="617">
        <f>I127+'APV CALCULATION '!$C$45</f>
        <v>105913.86001069983</v>
      </c>
      <c r="L127" s="6"/>
      <c r="N127"/>
    </row>
    <row r="128" spans="2:14">
      <c r="B128" s="614">
        <f t="shared" si="6"/>
        <v>0.15400000000000005</v>
      </c>
      <c r="C128" s="617">
        <f>('Coverage ratios'!$R$7*B128)/(1+'Coverage ratios'!$R$9)</f>
        <v>189.63968917293602</v>
      </c>
      <c r="D128" s="617">
        <f>('Coverage ratios'!$R$17*B128)/((1+'Coverage ratios'!$R$19)^2)</f>
        <v>130.85178109720314</v>
      </c>
      <c r="E128" s="617">
        <f>('Coverage ratios'!$R$27*B128)/((1+'Coverage ratios'!$R$29)^3)</f>
        <v>124.71302211141047</v>
      </c>
      <c r="F128" s="617">
        <f>('Coverage ratios'!$R$37*B128)/((1+'Coverage ratios'!$R$39)^4)</f>
        <v>106.68188372880326</v>
      </c>
      <c r="G128" s="617">
        <f>('Coverage ratios'!$R$47*B128)/((1+'Coverage ratios'!$R$49)^5)</f>
        <v>91.018759941874748</v>
      </c>
      <c r="H128" s="617">
        <f>B128*'APV CALCULATION '!$Q$14</f>
        <v>3199.4527350733138</v>
      </c>
      <c r="I128" s="617">
        <f>((SUM(G128:H128)/(1+'APV CALCULATION '!$I$31^5))+F128/(1+'APV CALCULATION '!$H$31^4)+(E128/(1+'APV CALCULATION '!$G$31^3)+(D128/(1+'APV CALCULATION '!$F$31)^2)+(C128/(1+'APV CALCULATION '!$E$31))))</f>
        <v>3826.9759059923213</v>
      </c>
      <c r="J128" s="617">
        <f>I128+'APV CALCULATION '!$C$45</f>
        <v>105938.7105035959</v>
      </c>
      <c r="L128" s="6"/>
      <c r="N128"/>
    </row>
    <row r="129" spans="2:14">
      <c r="B129" s="614">
        <f t="shared" si="6"/>
        <v>0.15500000000000005</v>
      </c>
      <c r="C129" s="617">
        <f>('Coverage ratios'!$R$7*B129)/(1+'Coverage ratios'!$R$9)</f>
        <v>190.87111572600699</v>
      </c>
      <c r="D129" s="617">
        <f>('Coverage ratios'!$R$17*B129)/((1+'Coverage ratios'!$R$19)^2)</f>
        <v>131.70146798744472</v>
      </c>
      <c r="E129" s="617">
        <f>('Coverage ratios'!$R$27*B129)/((1+'Coverage ratios'!$R$29)^3)</f>
        <v>125.52284693031571</v>
      </c>
      <c r="F129" s="617">
        <f>('Coverage ratios'!$R$37*B129)/((1+'Coverage ratios'!$R$39)^4)</f>
        <v>107.37462323353574</v>
      </c>
      <c r="G129" s="617">
        <f>('Coverage ratios'!$R$47*B129)/((1+'Coverage ratios'!$R$49)^5)</f>
        <v>91.609790850588226</v>
      </c>
      <c r="H129" s="617">
        <f>B129*'APV CALCULATION '!$Q$14</f>
        <v>3220.2284021841792</v>
      </c>
      <c r="I129" s="617">
        <f>((SUM(G129:H129)/(1+'APV CALCULATION '!$I$31^5))+F129/(1+'APV CALCULATION '!$H$31^4)+(E129/(1+'APV CALCULATION '!$G$31^3)+(D129/(1+'APV CALCULATION '!$F$31)^2)+(C129/(1+'APV CALCULATION '!$E$31))))</f>
        <v>3851.826398888375</v>
      </c>
      <c r="J129" s="617">
        <f>I129+'APV CALCULATION '!$C$45</f>
        <v>105963.56099649194</v>
      </c>
      <c r="L129" s="6"/>
      <c r="N129"/>
    </row>
    <row r="130" spans="2:14">
      <c r="B130" s="614">
        <f t="shared" si="6"/>
        <v>0.15600000000000006</v>
      </c>
      <c r="C130" s="617">
        <f>('Coverage ratios'!$R$7*B130)/(1+'Coverage ratios'!$R$9)</f>
        <v>192.10254227907802</v>
      </c>
      <c r="D130" s="617">
        <f>('Coverage ratios'!$R$17*B130)/((1+'Coverage ratios'!$R$19)^2)</f>
        <v>132.55115487768632</v>
      </c>
      <c r="E130" s="617">
        <f>('Coverage ratios'!$R$27*B130)/((1+'Coverage ratios'!$R$29)^3)</f>
        <v>126.33267174922098</v>
      </c>
      <c r="F130" s="617">
        <f>('Coverage ratios'!$R$37*B130)/((1+'Coverage ratios'!$R$39)^4)</f>
        <v>108.06736273826823</v>
      </c>
      <c r="G130" s="617">
        <f>('Coverage ratios'!$R$47*B130)/((1+'Coverage ratios'!$R$49)^5)</f>
        <v>92.200821759301689</v>
      </c>
      <c r="H130" s="617">
        <f>B130*'APV CALCULATION '!$Q$14</f>
        <v>3241.0040692950452</v>
      </c>
      <c r="I130" s="617">
        <f>((SUM(G130:H130)/(1+'APV CALCULATION '!$I$31^5))+F130/(1+'APV CALCULATION '!$H$31^4)+(E130/(1+'APV CALCULATION '!$G$31^3)+(D130/(1+'APV CALCULATION '!$F$31)^2)+(C130/(1+'APV CALCULATION '!$E$31))))</f>
        <v>3876.6768917844297</v>
      </c>
      <c r="J130" s="617">
        <f>I130+'APV CALCULATION '!$C$45</f>
        <v>105988.411489388</v>
      </c>
      <c r="L130" s="6"/>
      <c r="N130"/>
    </row>
    <row r="131" spans="2:14">
      <c r="B131" s="614">
        <f t="shared" si="6"/>
        <v>0.15700000000000006</v>
      </c>
      <c r="C131" s="617">
        <f>('Coverage ratios'!$R$7*B131)/(1+'Coverage ratios'!$R$9)</f>
        <v>193.33396883214903</v>
      </c>
      <c r="D131" s="617">
        <f>('Coverage ratios'!$R$17*B131)/((1+'Coverage ratios'!$R$19)^2)</f>
        <v>133.40084176792789</v>
      </c>
      <c r="E131" s="617">
        <f>('Coverage ratios'!$R$27*B131)/((1+'Coverage ratios'!$R$29)^3)</f>
        <v>127.14249656812623</v>
      </c>
      <c r="F131" s="617">
        <f>('Coverage ratios'!$R$37*B131)/((1+'Coverage ratios'!$R$39)^4)</f>
        <v>108.76010224300073</v>
      </c>
      <c r="G131" s="617">
        <f>('Coverage ratios'!$R$47*B131)/((1+'Coverage ratios'!$R$49)^5)</f>
        <v>92.791852668015167</v>
      </c>
      <c r="H131" s="617">
        <f>B131*'APV CALCULATION '!$Q$14</f>
        <v>3261.7797364059106</v>
      </c>
      <c r="I131" s="617">
        <f>((SUM(G131:H131)/(1+'APV CALCULATION '!$I$31^5))+F131/(1+'APV CALCULATION '!$H$31^4)+(E131/(1+'APV CALCULATION '!$G$31^3)+(D131/(1+'APV CALCULATION '!$F$31)^2)+(C131/(1+'APV CALCULATION '!$E$31))))</f>
        <v>3901.527384680483</v>
      </c>
      <c r="J131" s="617">
        <f>I131+'APV CALCULATION '!$C$45</f>
        <v>106013.26198228405</v>
      </c>
      <c r="L131" s="6"/>
      <c r="N131"/>
    </row>
    <row r="132" spans="2:14">
      <c r="B132" s="614">
        <f t="shared" si="6"/>
        <v>0.15800000000000006</v>
      </c>
      <c r="C132" s="617">
        <f>('Coverage ratios'!$R$7*B132)/(1+'Coverage ratios'!$R$9)</f>
        <v>194.56539538522006</v>
      </c>
      <c r="D132" s="617">
        <f>('Coverage ratios'!$R$17*B132)/((1+'Coverage ratios'!$R$19)^2)</f>
        <v>134.25052865816949</v>
      </c>
      <c r="E132" s="617">
        <f>('Coverage ratios'!$R$27*B132)/((1+'Coverage ratios'!$R$29)^3)</f>
        <v>127.9523213870315</v>
      </c>
      <c r="F132" s="617">
        <f>('Coverage ratios'!$R$37*B132)/((1+'Coverage ratios'!$R$39)^4)</f>
        <v>109.45284174773322</v>
      </c>
      <c r="G132" s="617">
        <f>('Coverage ratios'!$R$47*B132)/((1+'Coverage ratios'!$R$49)^5)</f>
        <v>93.382883576728645</v>
      </c>
      <c r="H132" s="617">
        <f>B132*'APV CALCULATION '!$Q$14</f>
        <v>3282.5554035167766</v>
      </c>
      <c r="I132" s="617">
        <f>((SUM(G132:H132)/(1+'APV CALCULATION '!$I$31^5))+F132/(1+'APV CALCULATION '!$H$31^4)+(E132/(1+'APV CALCULATION '!$G$31^3)+(D132/(1+'APV CALCULATION '!$F$31)^2)+(C132/(1+'APV CALCULATION '!$E$31))))</f>
        <v>3926.3778775765381</v>
      </c>
      <c r="J132" s="617">
        <f>I132+'APV CALCULATION '!$C$45</f>
        <v>106038.11247518011</v>
      </c>
      <c r="L132" s="6"/>
      <c r="N132"/>
    </row>
    <row r="133" spans="2:14">
      <c r="B133" s="614">
        <f t="shared" si="6"/>
        <v>0.15900000000000006</v>
      </c>
      <c r="C133" s="617">
        <f>('Coverage ratios'!$R$7*B133)/(1+'Coverage ratios'!$R$9)</f>
        <v>195.79682193829106</v>
      </c>
      <c r="D133" s="617">
        <f>('Coverage ratios'!$R$17*B133)/((1+'Coverage ratios'!$R$19)^2)</f>
        <v>135.10021554841106</v>
      </c>
      <c r="E133" s="617">
        <f>('Coverage ratios'!$R$27*B133)/((1+'Coverage ratios'!$R$29)^3)</f>
        <v>128.76214620593677</v>
      </c>
      <c r="F133" s="617">
        <f>('Coverage ratios'!$R$37*B133)/((1+'Coverage ratios'!$R$39)^4)</f>
        <v>110.1455812524657</v>
      </c>
      <c r="G133" s="617">
        <f>('Coverage ratios'!$R$47*B133)/((1+'Coverage ratios'!$R$49)^5)</f>
        <v>93.973914485442108</v>
      </c>
      <c r="H133" s="617">
        <f>B133*'APV CALCULATION '!$Q$14</f>
        <v>3303.331070627642</v>
      </c>
      <c r="I133" s="617">
        <f>((SUM(G133:H133)/(1+'APV CALCULATION '!$I$31^5))+F133/(1+'APV CALCULATION '!$H$31^4)+(E133/(1+'APV CALCULATION '!$G$31^3)+(D133/(1+'APV CALCULATION '!$F$31)^2)+(C133/(1+'APV CALCULATION '!$E$31))))</f>
        <v>3951.2283704725915</v>
      </c>
      <c r="J133" s="617">
        <f>I133+'APV CALCULATION '!$C$45</f>
        <v>106062.96296807616</v>
      </c>
      <c r="L133" s="6"/>
      <c r="N133"/>
    </row>
    <row r="134" spans="2:14">
      <c r="B134" s="614">
        <f t="shared" si="6"/>
        <v>0.16000000000000006</v>
      </c>
      <c r="C134" s="617">
        <f>('Coverage ratios'!$R$7*B134)/(1+'Coverage ratios'!$R$9)</f>
        <v>197.02824849136206</v>
      </c>
      <c r="D134" s="617">
        <f>('Coverage ratios'!$R$17*B134)/((1+'Coverage ratios'!$R$19)^2)</f>
        <v>135.94990243865263</v>
      </c>
      <c r="E134" s="617">
        <f>('Coverage ratios'!$R$27*B134)/((1+'Coverage ratios'!$R$29)^3)</f>
        <v>129.57197102484204</v>
      </c>
      <c r="F134" s="617">
        <f>('Coverage ratios'!$R$37*B134)/((1+'Coverage ratios'!$R$39)^4)</f>
        <v>110.8383207571982</v>
      </c>
      <c r="G134" s="617">
        <f>('Coverage ratios'!$R$47*B134)/((1+'Coverage ratios'!$R$49)^5)</f>
        <v>94.564945394155586</v>
      </c>
      <c r="H134" s="617">
        <f>B134*'APV CALCULATION '!$Q$14</f>
        <v>3324.1067377385079</v>
      </c>
      <c r="I134" s="617">
        <f>((SUM(G134:H134)/(1+'APV CALCULATION '!$I$31^5))+F134/(1+'APV CALCULATION '!$H$31^4)+(E134/(1+'APV CALCULATION '!$G$31^3)+(D134/(1+'APV CALCULATION '!$F$31)^2)+(C134/(1+'APV CALCULATION '!$E$31))))</f>
        <v>3976.0788633686461</v>
      </c>
      <c r="J134" s="617">
        <f>I134+'APV CALCULATION '!$C$45</f>
        <v>106087.81346097222</v>
      </c>
      <c r="L134" s="6"/>
      <c r="N134"/>
    </row>
    <row r="135" spans="2:14">
      <c r="B135" s="614">
        <f t="shared" si="6"/>
        <v>0.16100000000000006</v>
      </c>
      <c r="C135" s="617">
        <f>('Coverage ratios'!$R$7*B135)/(1+'Coverage ratios'!$R$9)</f>
        <v>198.2596750444331</v>
      </c>
      <c r="D135" s="617">
        <f>('Coverage ratios'!$R$17*B135)/((1+'Coverage ratios'!$R$19)^2)</f>
        <v>136.7995893288942</v>
      </c>
      <c r="E135" s="617">
        <f>('Coverage ratios'!$R$27*B135)/((1+'Coverage ratios'!$R$29)^3)</f>
        <v>130.38179584374731</v>
      </c>
      <c r="F135" s="617">
        <f>('Coverage ratios'!$R$37*B135)/((1+'Coverage ratios'!$R$39)^4)</f>
        <v>111.53106026193068</v>
      </c>
      <c r="G135" s="617">
        <f>('Coverage ratios'!$R$47*B135)/((1+'Coverage ratios'!$R$49)^5)</f>
        <v>95.155976302869064</v>
      </c>
      <c r="H135" s="617">
        <f>B135*'APV CALCULATION '!$Q$14</f>
        <v>3344.8824048493734</v>
      </c>
      <c r="I135" s="617">
        <f>((SUM(G135:H135)/(1+'APV CALCULATION '!$I$31^5))+F135/(1+'APV CALCULATION '!$H$31^4)+(E135/(1+'APV CALCULATION '!$G$31^3)+(D135/(1+'APV CALCULATION '!$F$31)^2)+(C135/(1+'APV CALCULATION '!$E$31))))</f>
        <v>4000.9293562646999</v>
      </c>
      <c r="J135" s="617">
        <f>I135+'APV CALCULATION '!$C$45</f>
        <v>106112.66395386826</v>
      </c>
      <c r="L135" s="6"/>
      <c r="N135"/>
    </row>
    <row r="136" spans="2:14">
      <c r="B136" s="614">
        <f t="shared" si="6"/>
        <v>0.16200000000000006</v>
      </c>
      <c r="C136" s="617">
        <f>('Coverage ratios'!$R$7*B136)/(1+'Coverage ratios'!$R$9)</f>
        <v>199.4911015975041</v>
      </c>
      <c r="D136" s="617">
        <f>('Coverage ratios'!$R$17*B136)/((1+'Coverage ratios'!$R$19)^2)</f>
        <v>137.6492762191358</v>
      </c>
      <c r="E136" s="617">
        <f>('Coverage ratios'!$R$27*B136)/((1+'Coverage ratios'!$R$29)^3)</f>
        <v>131.19162066265258</v>
      </c>
      <c r="F136" s="617">
        <f>('Coverage ratios'!$R$37*B136)/((1+'Coverage ratios'!$R$39)^4)</f>
        <v>112.22379976666318</v>
      </c>
      <c r="G136" s="617">
        <f>('Coverage ratios'!$R$47*B136)/((1+'Coverage ratios'!$R$49)^5)</f>
        <v>95.747007211582527</v>
      </c>
      <c r="H136" s="617">
        <f>B136*'APV CALCULATION '!$Q$14</f>
        <v>3365.6580719602393</v>
      </c>
      <c r="I136" s="617">
        <f>((SUM(G136:H136)/(1+'APV CALCULATION '!$I$31^5))+F136/(1+'APV CALCULATION '!$H$31^4)+(E136/(1+'APV CALCULATION '!$G$31^3)+(D136/(1+'APV CALCULATION '!$F$31)^2)+(C136/(1+'APV CALCULATION '!$E$31))))</f>
        <v>4025.7798491607541</v>
      </c>
      <c r="J136" s="617">
        <f>I136+'APV CALCULATION '!$C$45</f>
        <v>106137.51444676433</v>
      </c>
      <c r="L136" s="6"/>
      <c r="N136"/>
    </row>
    <row r="137" spans="2:14">
      <c r="B137" s="614">
        <f t="shared" si="6"/>
        <v>0.16300000000000006</v>
      </c>
      <c r="C137" s="617">
        <f>('Coverage ratios'!$R$7*B137)/(1+'Coverage ratios'!$R$9)</f>
        <v>200.7225281505751</v>
      </c>
      <c r="D137" s="617">
        <f>('Coverage ratios'!$R$17*B137)/((1+'Coverage ratios'!$R$19)^2)</f>
        <v>138.49896310937737</v>
      </c>
      <c r="E137" s="617">
        <f>('Coverage ratios'!$R$27*B137)/((1+'Coverage ratios'!$R$29)^3)</f>
        <v>132.00144548155782</v>
      </c>
      <c r="F137" s="617">
        <f>('Coverage ratios'!$R$37*B137)/((1+'Coverage ratios'!$R$39)^4)</f>
        <v>112.91653927139566</v>
      </c>
      <c r="G137" s="617">
        <f>('Coverage ratios'!$R$47*B137)/((1+'Coverage ratios'!$R$49)^5)</f>
        <v>96.338038120296005</v>
      </c>
      <c r="H137" s="617">
        <f>B137*'APV CALCULATION '!$Q$14</f>
        <v>3386.4337390711048</v>
      </c>
      <c r="I137" s="617">
        <f>((SUM(G137:H137)/(1+'APV CALCULATION '!$I$31^5))+F137/(1+'APV CALCULATION '!$H$31^4)+(E137/(1+'APV CALCULATION '!$G$31^3)+(D137/(1+'APV CALCULATION '!$F$31)^2)+(C137/(1+'APV CALCULATION '!$E$31))))</f>
        <v>4050.6303420568074</v>
      </c>
      <c r="J137" s="617">
        <f>I137+'APV CALCULATION '!$C$45</f>
        <v>106162.36493966039</v>
      </c>
      <c r="L137" s="6"/>
      <c r="N137"/>
    </row>
    <row r="138" spans="2:14">
      <c r="B138" s="614">
        <f t="shared" si="6"/>
        <v>0.16400000000000006</v>
      </c>
      <c r="C138" s="617">
        <f>('Coverage ratios'!$R$7*B138)/(1+'Coverage ratios'!$R$9)</f>
        <v>201.95395470364613</v>
      </c>
      <c r="D138" s="617">
        <f>('Coverage ratios'!$R$17*B138)/((1+'Coverage ratios'!$R$19)^2)</f>
        <v>139.34864999961894</v>
      </c>
      <c r="E138" s="617">
        <f>('Coverage ratios'!$R$27*B138)/((1+'Coverage ratios'!$R$29)^3)</f>
        <v>132.81127030046306</v>
      </c>
      <c r="F138" s="617">
        <f>('Coverage ratios'!$R$37*B138)/((1+'Coverage ratios'!$R$39)^4)</f>
        <v>113.60927877612814</v>
      </c>
      <c r="G138" s="617">
        <f>('Coverage ratios'!$R$47*B138)/((1+'Coverage ratios'!$R$49)^5)</f>
        <v>96.929069029009483</v>
      </c>
      <c r="H138" s="617">
        <f>B138*'APV CALCULATION '!$Q$14</f>
        <v>3407.2094061819707</v>
      </c>
      <c r="I138" s="617">
        <f>((SUM(G138:H138)/(1+'APV CALCULATION '!$I$31^5))+F138/(1+'APV CALCULATION '!$H$31^4)+(E138/(1+'APV CALCULATION '!$G$31^3)+(D138/(1+'APV CALCULATION '!$F$31)^2)+(C138/(1+'APV CALCULATION '!$E$31))))</f>
        <v>4075.4808349528621</v>
      </c>
      <c r="J138" s="617">
        <f>I138+'APV CALCULATION '!$C$45</f>
        <v>106187.21543255643</v>
      </c>
      <c r="L138" s="6"/>
      <c r="N138"/>
    </row>
    <row r="139" spans="2:14">
      <c r="B139" s="614">
        <f t="shared" ref="B139:B202" si="7">B138+0.1%</f>
        <v>0.16500000000000006</v>
      </c>
      <c r="C139" s="617">
        <f>('Coverage ratios'!$R$7*B139)/(1+'Coverage ratios'!$R$9)</f>
        <v>203.18538125671714</v>
      </c>
      <c r="D139" s="617">
        <f>('Coverage ratios'!$R$17*B139)/((1+'Coverage ratios'!$R$19)^2)</f>
        <v>140.19833688986051</v>
      </c>
      <c r="E139" s="617">
        <f>('Coverage ratios'!$R$27*B139)/((1+'Coverage ratios'!$R$29)^3)</f>
        <v>133.62109511936833</v>
      </c>
      <c r="F139" s="617">
        <f>('Coverage ratios'!$R$37*B139)/((1+'Coverage ratios'!$R$39)^4)</f>
        <v>114.30201828086064</v>
      </c>
      <c r="G139" s="617">
        <f>('Coverage ratios'!$R$47*B139)/((1+'Coverage ratios'!$R$49)^5)</f>
        <v>97.520099937722946</v>
      </c>
      <c r="H139" s="617">
        <f>B139*'APV CALCULATION '!$Q$14</f>
        <v>3427.9850732928362</v>
      </c>
      <c r="I139" s="617">
        <f>((SUM(G139:H139)/(1+'APV CALCULATION '!$I$31^5))+F139/(1+'APV CALCULATION '!$H$31^4)+(E139/(1+'APV CALCULATION '!$G$31^3)+(D139/(1+'APV CALCULATION '!$F$31)^2)+(C139/(1+'APV CALCULATION '!$E$31))))</f>
        <v>4100.3313278489159</v>
      </c>
      <c r="J139" s="617">
        <f>I139+'APV CALCULATION '!$C$45</f>
        <v>106212.06592545249</v>
      </c>
      <c r="L139" s="6"/>
      <c r="N139"/>
    </row>
    <row r="140" spans="2:14">
      <c r="B140" s="614">
        <f t="shared" si="7"/>
        <v>0.16600000000000006</v>
      </c>
      <c r="C140" s="617">
        <f>('Coverage ratios'!$R$7*B140)/(1+'Coverage ratios'!$R$9)</f>
        <v>204.41680780978817</v>
      </c>
      <c r="D140" s="617">
        <f>('Coverage ratios'!$R$17*B140)/((1+'Coverage ratios'!$R$19)^2)</f>
        <v>141.04802378010208</v>
      </c>
      <c r="E140" s="617">
        <f>('Coverage ratios'!$R$27*B140)/((1+'Coverage ratios'!$R$29)^3)</f>
        <v>134.4309199382736</v>
      </c>
      <c r="F140" s="617">
        <f>('Coverage ratios'!$R$37*B140)/((1+'Coverage ratios'!$R$39)^4)</f>
        <v>114.99475778559312</v>
      </c>
      <c r="G140" s="617">
        <f>('Coverage ratios'!$R$47*B140)/((1+'Coverage ratios'!$R$49)^5)</f>
        <v>98.111130846436424</v>
      </c>
      <c r="H140" s="617">
        <f>B140*'APV CALCULATION '!$Q$14</f>
        <v>3448.7607404037021</v>
      </c>
      <c r="I140" s="617">
        <f>((SUM(G140:H140)/(1+'APV CALCULATION '!$I$31^5))+F140/(1+'APV CALCULATION '!$H$31^4)+(E140/(1+'APV CALCULATION '!$G$31^3)+(D140/(1+'APV CALCULATION '!$F$31)^2)+(C140/(1+'APV CALCULATION '!$E$31))))</f>
        <v>4125.1818207449705</v>
      </c>
      <c r="J140" s="617">
        <f>I140+'APV CALCULATION '!$C$45</f>
        <v>106236.91641834854</v>
      </c>
      <c r="L140" s="6"/>
      <c r="N140"/>
    </row>
    <row r="141" spans="2:14">
      <c r="B141" s="614">
        <f t="shared" si="7"/>
        <v>0.16700000000000007</v>
      </c>
      <c r="C141" s="617">
        <f>('Coverage ratios'!$R$7*B141)/(1+'Coverage ratios'!$R$9)</f>
        <v>205.64823436285917</v>
      </c>
      <c r="D141" s="617">
        <f>('Coverage ratios'!$R$17*B141)/((1+'Coverage ratios'!$R$19)^2)</f>
        <v>141.89771067034368</v>
      </c>
      <c r="E141" s="617">
        <f>('Coverage ratios'!$R$27*B141)/((1+'Coverage ratios'!$R$29)^3)</f>
        <v>135.24074475717887</v>
      </c>
      <c r="F141" s="617">
        <f>('Coverage ratios'!$R$37*B141)/((1+'Coverage ratios'!$R$39)^4)</f>
        <v>115.68749729032562</v>
      </c>
      <c r="G141" s="617">
        <f>('Coverage ratios'!$R$47*B141)/((1+'Coverage ratios'!$R$49)^5)</f>
        <v>98.702161755149888</v>
      </c>
      <c r="H141" s="617">
        <f>B141*'APV CALCULATION '!$Q$14</f>
        <v>3469.5364075145676</v>
      </c>
      <c r="I141" s="617">
        <f>((SUM(G141:H141)/(1+'APV CALCULATION '!$I$31^5))+F141/(1+'APV CALCULATION '!$H$31^4)+(E141/(1+'APV CALCULATION '!$G$31^3)+(D141/(1+'APV CALCULATION '!$F$31)^2)+(C141/(1+'APV CALCULATION '!$E$31))))</f>
        <v>4150.0323136410243</v>
      </c>
      <c r="J141" s="617">
        <f>I141+'APV CALCULATION '!$C$45</f>
        <v>106261.7669112446</v>
      </c>
      <c r="L141" s="6"/>
      <c r="N141"/>
    </row>
    <row r="142" spans="2:14">
      <c r="B142" s="614">
        <f t="shared" si="7"/>
        <v>0.16800000000000007</v>
      </c>
      <c r="C142" s="617">
        <f>('Coverage ratios'!$R$7*B142)/(1+'Coverage ratios'!$R$9)</f>
        <v>206.87966091593017</v>
      </c>
      <c r="D142" s="617">
        <f>('Coverage ratios'!$R$17*B142)/((1+'Coverage ratios'!$R$19)^2)</f>
        <v>142.74739756058526</v>
      </c>
      <c r="E142" s="617">
        <f>('Coverage ratios'!$R$27*B142)/((1+'Coverage ratios'!$R$29)^3)</f>
        <v>136.05056957608414</v>
      </c>
      <c r="F142" s="617">
        <f>('Coverage ratios'!$R$37*B142)/((1+'Coverage ratios'!$R$39)^4)</f>
        <v>116.3802367950581</v>
      </c>
      <c r="G142" s="617">
        <f>('Coverage ratios'!$R$47*B142)/((1+'Coverage ratios'!$R$49)^5)</f>
        <v>99.293192663863366</v>
      </c>
      <c r="H142" s="617">
        <f>B142*'APV CALCULATION '!$Q$14</f>
        <v>3490.3120746254335</v>
      </c>
      <c r="I142" s="617">
        <f>((SUM(G142:H142)/(1+'APV CALCULATION '!$I$31^5))+F142/(1+'APV CALCULATION '!$H$31^4)+(E142/(1+'APV CALCULATION '!$G$31^3)+(D142/(1+'APV CALCULATION '!$F$31)^2)+(C142/(1+'APV CALCULATION '!$E$31))))</f>
        <v>4174.8828065370781</v>
      </c>
      <c r="J142" s="617">
        <f>I142+'APV CALCULATION '!$C$45</f>
        <v>106286.61740414065</v>
      </c>
      <c r="L142" s="6"/>
      <c r="N142"/>
    </row>
    <row r="143" spans="2:14">
      <c r="B143" s="614">
        <f t="shared" si="7"/>
        <v>0.16900000000000007</v>
      </c>
      <c r="C143" s="617">
        <f>('Coverage ratios'!$R$7*B143)/(1+'Coverage ratios'!$R$9)</f>
        <v>208.11108746900121</v>
      </c>
      <c r="D143" s="617">
        <f>('Coverage ratios'!$R$17*B143)/((1+'Coverage ratios'!$R$19)^2)</f>
        <v>143.59708445082683</v>
      </c>
      <c r="E143" s="617">
        <f>('Coverage ratios'!$R$27*B143)/((1+'Coverage ratios'!$R$29)^3)</f>
        <v>136.86039439498941</v>
      </c>
      <c r="F143" s="617">
        <f>('Coverage ratios'!$R$37*B143)/((1+'Coverage ratios'!$R$39)^4)</f>
        <v>117.07297629979058</v>
      </c>
      <c r="G143" s="617">
        <f>('Coverage ratios'!$R$47*B143)/((1+'Coverage ratios'!$R$49)^5)</f>
        <v>99.884223572576829</v>
      </c>
      <c r="H143" s="617">
        <f>B143*'APV CALCULATION '!$Q$14</f>
        <v>3511.087741736299</v>
      </c>
      <c r="I143" s="617">
        <f>((SUM(G143:H143)/(1+'APV CALCULATION '!$I$31^5))+F143/(1+'APV CALCULATION '!$H$31^4)+(E143/(1+'APV CALCULATION '!$G$31^3)+(D143/(1+'APV CALCULATION '!$F$31)^2)+(C143/(1+'APV CALCULATION '!$E$31))))</f>
        <v>4199.7332994331318</v>
      </c>
      <c r="J143" s="617">
        <f>I143+'APV CALCULATION '!$C$45</f>
        <v>106311.46789703671</v>
      </c>
      <c r="L143" s="6"/>
      <c r="N143"/>
    </row>
    <row r="144" spans="2:14">
      <c r="B144" s="614">
        <f t="shared" si="7"/>
        <v>0.17000000000000007</v>
      </c>
      <c r="C144" s="617">
        <f>('Coverage ratios'!$R$7*B144)/(1+'Coverage ratios'!$R$9)</f>
        <v>209.34251402207221</v>
      </c>
      <c r="D144" s="617">
        <f>('Coverage ratios'!$R$17*B144)/((1+'Coverage ratios'!$R$19)^2)</f>
        <v>144.4467713410684</v>
      </c>
      <c r="E144" s="617">
        <f>('Coverage ratios'!$R$27*B144)/((1+'Coverage ratios'!$R$29)^3)</f>
        <v>137.67021921389468</v>
      </c>
      <c r="F144" s="617">
        <f>('Coverage ratios'!$R$37*B144)/((1+'Coverage ratios'!$R$39)^4)</f>
        <v>117.76571580452308</v>
      </c>
      <c r="G144" s="617">
        <f>('Coverage ratios'!$R$47*B144)/((1+'Coverage ratios'!$R$49)^5)</f>
        <v>100.47525448129031</v>
      </c>
      <c r="H144" s="617">
        <f>B144*'APV CALCULATION '!$Q$14</f>
        <v>3531.8634088471649</v>
      </c>
      <c r="I144" s="617">
        <f>((SUM(G144:H144)/(1+'APV CALCULATION '!$I$31^5))+F144/(1+'APV CALCULATION '!$H$31^4)+(E144/(1+'APV CALCULATION '!$G$31^3)+(D144/(1+'APV CALCULATION '!$F$31)^2)+(C144/(1+'APV CALCULATION '!$E$31))))</f>
        <v>4224.5837923291865</v>
      </c>
      <c r="J144" s="617">
        <f>I144+'APV CALCULATION '!$C$45</f>
        <v>106336.31838993276</v>
      </c>
      <c r="L144" s="6"/>
      <c r="N144"/>
    </row>
    <row r="145" spans="2:14">
      <c r="B145" s="614">
        <f t="shared" si="7"/>
        <v>0.17100000000000007</v>
      </c>
      <c r="C145" s="617">
        <f>('Coverage ratios'!$R$7*B145)/(1+'Coverage ratios'!$R$9)</f>
        <v>210.57394057514324</v>
      </c>
      <c r="D145" s="617">
        <f>('Coverage ratios'!$R$17*B145)/((1+'Coverage ratios'!$R$19)^2)</f>
        <v>145.29645823131</v>
      </c>
      <c r="E145" s="617">
        <f>('Coverage ratios'!$R$27*B145)/((1+'Coverage ratios'!$R$29)^3)</f>
        <v>138.48004403279995</v>
      </c>
      <c r="F145" s="617">
        <f>('Coverage ratios'!$R$37*B145)/((1+'Coverage ratios'!$R$39)^4)</f>
        <v>118.45845530925558</v>
      </c>
      <c r="G145" s="617">
        <f>('Coverage ratios'!$R$47*B145)/((1+'Coverage ratios'!$R$49)^5)</f>
        <v>101.06628539000378</v>
      </c>
      <c r="H145" s="617">
        <f>B145*'APV CALCULATION '!$Q$14</f>
        <v>3552.6390759580304</v>
      </c>
      <c r="I145" s="617">
        <f>((SUM(G145:H145)/(1+'APV CALCULATION '!$I$31^5))+F145/(1+'APV CALCULATION '!$H$31^4)+(E145/(1+'APV CALCULATION '!$G$31^3)+(D145/(1+'APV CALCULATION '!$F$31)^2)+(C145/(1+'APV CALCULATION '!$E$31))))</f>
        <v>4249.4342852252403</v>
      </c>
      <c r="J145" s="617">
        <f>I145+'APV CALCULATION '!$C$45</f>
        <v>106361.16888282882</v>
      </c>
      <c r="L145" s="6"/>
      <c r="N145"/>
    </row>
    <row r="146" spans="2:14">
      <c r="B146" s="614">
        <f t="shared" si="7"/>
        <v>0.17200000000000007</v>
      </c>
      <c r="C146" s="617">
        <f>('Coverage ratios'!$R$7*B146)/(1+'Coverage ratios'!$R$9)</f>
        <v>211.80536712821421</v>
      </c>
      <c r="D146" s="617">
        <f>('Coverage ratios'!$R$17*B146)/((1+'Coverage ratios'!$R$19)^2)</f>
        <v>146.14614512155157</v>
      </c>
      <c r="E146" s="617">
        <f>('Coverage ratios'!$R$27*B146)/((1+'Coverage ratios'!$R$29)^3)</f>
        <v>139.28986885170519</v>
      </c>
      <c r="F146" s="617">
        <f>('Coverage ratios'!$R$37*B146)/((1+'Coverage ratios'!$R$39)^4)</f>
        <v>119.15119481398807</v>
      </c>
      <c r="G146" s="617">
        <f>('Coverage ratios'!$R$47*B146)/((1+'Coverage ratios'!$R$49)^5)</f>
        <v>101.65731629871726</v>
      </c>
      <c r="H146" s="617">
        <f>B146*'APV CALCULATION '!$Q$14</f>
        <v>3573.4147430688959</v>
      </c>
      <c r="I146" s="617">
        <f>((SUM(G146:H146)/(1+'APV CALCULATION '!$I$31^5))+F146/(1+'APV CALCULATION '!$H$31^4)+(E146/(1+'APV CALCULATION '!$G$31^3)+(D146/(1+'APV CALCULATION '!$F$31)^2)+(C146/(1+'APV CALCULATION '!$E$31))))</f>
        <v>4274.284778121294</v>
      </c>
      <c r="J146" s="617">
        <f>I146+'APV CALCULATION '!$C$45</f>
        <v>106386.01937572486</v>
      </c>
      <c r="L146" s="6"/>
      <c r="N146"/>
    </row>
    <row r="147" spans="2:14">
      <c r="B147" s="614">
        <f t="shared" si="7"/>
        <v>0.17300000000000007</v>
      </c>
      <c r="C147" s="617">
        <f>('Coverage ratios'!$R$7*B147)/(1+'Coverage ratios'!$R$9)</f>
        <v>213.03679368128525</v>
      </c>
      <c r="D147" s="617">
        <f>('Coverage ratios'!$R$17*B147)/((1+'Coverage ratios'!$R$19)^2)</f>
        <v>146.99583201179314</v>
      </c>
      <c r="E147" s="617">
        <f>('Coverage ratios'!$R$27*B147)/((1+'Coverage ratios'!$R$29)^3)</f>
        <v>140.09969367061043</v>
      </c>
      <c r="F147" s="617">
        <f>('Coverage ratios'!$R$37*B147)/((1+'Coverage ratios'!$R$39)^4)</f>
        <v>119.84393431872054</v>
      </c>
      <c r="G147" s="617">
        <f>('Coverage ratios'!$R$47*B147)/((1+'Coverage ratios'!$R$49)^5)</f>
        <v>102.24834720743073</v>
      </c>
      <c r="H147" s="617">
        <f>B147*'APV CALCULATION '!$Q$14</f>
        <v>3594.1904101797618</v>
      </c>
      <c r="I147" s="617">
        <f>((SUM(G147:H147)/(1+'APV CALCULATION '!$I$31^5))+F147/(1+'APV CALCULATION '!$H$31^4)+(E147/(1+'APV CALCULATION '!$G$31^3)+(D147/(1+'APV CALCULATION '!$F$31)^2)+(C147/(1+'APV CALCULATION '!$E$31))))</f>
        <v>4299.1352710173487</v>
      </c>
      <c r="J147" s="617">
        <f>I147+'APV CALCULATION '!$C$45</f>
        <v>106410.86986862092</v>
      </c>
      <c r="L147" s="6"/>
      <c r="N147"/>
    </row>
    <row r="148" spans="2:14">
      <c r="B148" s="614">
        <f t="shared" si="7"/>
        <v>0.17400000000000007</v>
      </c>
      <c r="C148" s="617">
        <f>('Coverage ratios'!$R$7*B148)/(1+'Coverage ratios'!$R$9)</f>
        <v>214.26822023435628</v>
      </c>
      <c r="D148" s="617">
        <f>('Coverage ratios'!$R$17*B148)/((1+'Coverage ratios'!$R$19)^2)</f>
        <v>147.84551890203471</v>
      </c>
      <c r="E148" s="617">
        <f>('Coverage ratios'!$R$27*B148)/((1+'Coverage ratios'!$R$29)^3)</f>
        <v>140.9095184895157</v>
      </c>
      <c r="F148" s="617">
        <f>('Coverage ratios'!$R$37*B148)/((1+'Coverage ratios'!$R$39)^4)</f>
        <v>120.53667382345304</v>
      </c>
      <c r="G148" s="617">
        <f>('Coverage ratios'!$R$47*B148)/((1+'Coverage ratios'!$R$49)^5)</f>
        <v>102.8393781161442</v>
      </c>
      <c r="H148" s="617">
        <f>B148*'APV CALCULATION '!$Q$14</f>
        <v>3614.9660772906273</v>
      </c>
      <c r="I148" s="617">
        <f>((SUM(G148:H148)/(1+'APV CALCULATION '!$I$31^5))+F148/(1+'APV CALCULATION '!$H$31^4)+(E148/(1+'APV CALCULATION '!$G$31^3)+(D148/(1+'APV CALCULATION '!$F$31)^2)+(C148/(1+'APV CALCULATION '!$E$31))))</f>
        <v>4323.9857639134025</v>
      </c>
      <c r="J148" s="617">
        <f>I148+'APV CALCULATION '!$C$45</f>
        <v>106435.72036151697</v>
      </c>
      <c r="L148" s="6"/>
      <c r="N148"/>
    </row>
    <row r="149" spans="2:14">
      <c r="B149" s="614">
        <f t="shared" si="7"/>
        <v>0.17500000000000007</v>
      </c>
      <c r="C149" s="617">
        <f>('Coverage ratios'!$R$7*B149)/(1+'Coverage ratios'!$R$9)</f>
        <v>215.49964678742728</v>
      </c>
      <c r="D149" s="617">
        <f>('Coverage ratios'!$R$17*B149)/((1+'Coverage ratios'!$R$19)^2)</f>
        <v>148.69520579227634</v>
      </c>
      <c r="E149" s="617">
        <f>('Coverage ratios'!$R$27*B149)/((1+'Coverage ratios'!$R$29)^3)</f>
        <v>141.71934330842097</v>
      </c>
      <c r="F149" s="617">
        <f>('Coverage ratios'!$R$37*B149)/((1+'Coverage ratios'!$R$39)^4)</f>
        <v>121.22941332818553</v>
      </c>
      <c r="G149" s="617">
        <f>('Coverage ratios'!$R$47*B149)/((1+'Coverage ratios'!$R$49)^5)</f>
        <v>103.43040902485768</v>
      </c>
      <c r="H149" s="617">
        <f>B149*'APV CALCULATION '!$Q$14</f>
        <v>3635.7417444014932</v>
      </c>
      <c r="I149" s="617">
        <f>((SUM(G149:H149)/(1+'APV CALCULATION '!$I$31^5))+F149/(1+'APV CALCULATION '!$H$31^4)+(E149/(1+'APV CALCULATION '!$G$31^3)+(D149/(1+'APV CALCULATION '!$F$31)^2)+(C149/(1+'APV CALCULATION '!$E$31))))</f>
        <v>4348.8362568094562</v>
      </c>
      <c r="J149" s="617">
        <f>I149+'APV CALCULATION '!$C$45</f>
        <v>106460.57085441303</v>
      </c>
      <c r="L149" s="6"/>
      <c r="N149"/>
    </row>
    <row r="150" spans="2:14">
      <c r="B150" s="614">
        <f t="shared" si="7"/>
        <v>0.17600000000000007</v>
      </c>
      <c r="C150" s="617">
        <f>('Coverage ratios'!$R$7*B150)/(1+'Coverage ratios'!$R$9)</f>
        <v>216.73107334049828</v>
      </c>
      <c r="D150" s="617">
        <f>('Coverage ratios'!$R$17*B150)/((1+'Coverage ratios'!$R$19)^2)</f>
        <v>149.54489268251791</v>
      </c>
      <c r="E150" s="617">
        <f>('Coverage ratios'!$R$27*B150)/((1+'Coverage ratios'!$R$29)^3)</f>
        <v>142.52916812732624</v>
      </c>
      <c r="F150" s="617">
        <f>('Coverage ratios'!$R$37*B150)/((1+'Coverage ratios'!$R$39)^4)</f>
        <v>121.92215283291803</v>
      </c>
      <c r="G150" s="617">
        <f>('Coverage ratios'!$R$47*B150)/((1+'Coverage ratios'!$R$49)^5)</f>
        <v>104.02143993357114</v>
      </c>
      <c r="H150" s="617">
        <f>B150*'APV CALCULATION '!$Q$14</f>
        <v>3656.5174115123586</v>
      </c>
      <c r="I150" s="617">
        <f>((SUM(G150:H150)/(1+'APV CALCULATION '!$I$31^5))+F150/(1+'APV CALCULATION '!$H$31^4)+(E150/(1+'APV CALCULATION '!$G$31^3)+(D150/(1+'APV CALCULATION '!$F$31)^2)+(C150/(1+'APV CALCULATION '!$E$31))))</f>
        <v>4373.68674970551</v>
      </c>
      <c r="J150" s="617">
        <f>I150+'APV CALCULATION '!$C$45</f>
        <v>106485.42134730908</v>
      </c>
      <c r="L150" s="6"/>
      <c r="N150"/>
    </row>
    <row r="151" spans="2:14">
      <c r="B151" s="614">
        <f t="shared" si="7"/>
        <v>0.17700000000000007</v>
      </c>
      <c r="C151" s="617">
        <f>('Coverage ratios'!$R$7*B151)/(1+'Coverage ratios'!$R$9)</f>
        <v>217.96249989356929</v>
      </c>
      <c r="D151" s="617">
        <f>('Coverage ratios'!$R$17*B151)/((1+'Coverage ratios'!$R$19)^2)</f>
        <v>150.39457957275948</v>
      </c>
      <c r="E151" s="617">
        <f>('Coverage ratios'!$R$27*B151)/((1+'Coverage ratios'!$R$29)^3)</f>
        <v>143.33899294623151</v>
      </c>
      <c r="F151" s="617">
        <f>('Coverage ratios'!$R$37*B151)/((1+'Coverage ratios'!$R$39)^4)</f>
        <v>122.6148923376505</v>
      </c>
      <c r="G151" s="617">
        <f>('Coverage ratios'!$R$47*B151)/((1+'Coverage ratios'!$R$49)^5)</f>
        <v>104.61247084228462</v>
      </c>
      <c r="H151" s="617">
        <f>B151*'APV CALCULATION '!$Q$14</f>
        <v>3677.2930786232246</v>
      </c>
      <c r="I151" s="617">
        <f>((SUM(G151:H151)/(1+'APV CALCULATION '!$I$31^5))+F151/(1+'APV CALCULATION '!$H$31^4)+(E151/(1+'APV CALCULATION '!$G$31^3)+(D151/(1+'APV CALCULATION '!$F$31)^2)+(C151/(1+'APV CALCULATION '!$E$31))))</f>
        <v>4398.5372426015647</v>
      </c>
      <c r="J151" s="617">
        <f>I151+'APV CALCULATION '!$C$45</f>
        <v>106510.27184020514</v>
      </c>
      <c r="L151" s="6"/>
      <c r="N151"/>
    </row>
    <row r="152" spans="2:14">
      <c r="B152" s="614">
        <f t="shared" si="7"/>
        <v>0.17800000000000007</v>
      </c>
      <c r="C152" s="617">
        <f>('Coverage ratios'!$R$7*B152)/(1+'Coverage ratios'!$R$9)</f>
        <v>219.19392644664032</v>
      </c>
      <c r="D152" s="617">
        <f>('Coverage ratios'!$R$17*B152)/((1+'Coverage ratios'!$R$19)^2)</f>
        <v>151.24426646300105</v>
      </c>
      <c r="E152" s="617">
        <f>('Coverage ratios'!$R$27*B152)/((1+'Coverage ratios'!$R$29)^3)</f>
        <v>144.14881776513678</v>
      </c>
      <c r="F152" s="617">
        <f>('Coverage ratios'!$R$37*B152)/((1+'Coverage ratios'!$R$39)^4)</f>
        <v>123.30763184238299</v>
      </c>
      <c r="G152" s="617">
        <f>('Coverage ratios'!$R$47*B152)/((1+'Coverage ratios'!$R$49)^5)</f>
        <v>105.2035017509981</v>
      </c>
      <c r="H152" s="617">
        <f>B152*'APV CALCULATION '!$Q$14</f>
        <v>3698.06874573409</v>
      </c>
      <c r="I152" s="617">
        <f>((SUM(G152:H152)/(1+'APV CALCULATION '!$I$31^5))+F152/(1+'APV CALCULATION '!$H$31^4)+(E152/(1+'APV CALCULATION '!$G$31^3)+(D152/(1+'APV CALCULATION '!$F$31)^2)+(C152/(1+'APV CALCULATION '!$E$31))))</f>
        <v>4423.3877354976185</v>
      </c>
      <c r="J152" s="617">
        <f>I152+'APV CALCULATION '!$C$45</f>
        <v>106535.12233310119</v>
      </c>
      <c r="L152" s="6"/>
      <c r="N152"/>
    </row>
    <row r="153" spans="2:14">
      <c r="B153" s="614">
        <f t="shared" si="7"/>
        <v>0.17900000000000008</v>
      </c>
      <c r="C153" s="617">
        <f>('Coverage ratios'!$R$7*B153)/(1+'Coverage ratios'!$R$9)</f>
        <v>220.42535299971135</v>
      </c>
      <c r="D153" s="617">
        <f>('Coverage ratios'!$R$17*B153)/((1+'Coverage ratios'!$R$19)^2)</f>
        <v>152.09395335324263</v>
      </c>
      <c r="E153" s="617">
        <f>('Coverage ratios'!$R$27*B153)/((1+'Coverage ratios'!$R$29)^3)</f>
        <v>144.95864258404205</v>
      </c>
      <c r="F153" s="617">
        <f>('Coverage ratios'!$R$37*B153)/((1+'Coverage ratios'!$R$39)^4)</f>
        <v>124.00037134711549</v>
      </c>
      <c r="G153" s="617">
        <f>('Coverage ratios'!$R$47*B153)/((1+'Coverage ratios'!$R$49)^5)</f>
        <v>105.79453265971158</v>
      </c>
      <c r="H153" s="617">
        <f>B153*'APV CALCULATION '!$Q$14</f>
        <v>3718.844412844956</v>
      </c>
      <c r="I153" s="617">
        <f>((SUM(G153:H153)/(1+'APV CALCULATION '!$I$31^5))+F153/(1+'APV CALCULATION '!$H$31^4)+(E153/(1+'APV CALCULATION '!$G$31^3)+(D153/(1+'APV CALCULATION '!$F$31)^2)+(C153/(1+'APV CALCULATION '!$E$31))))</f>
        <v>4448.2382283936731</v>
      </c>
      <c r="J153" s="617">
        <f>I153+'APV CALCULATION '!$C$45</f>
        <v>106559.97282599725</v>
      </c>
      <c r="L153" s="6"/>
      <c r="N153"/>
    </row>
    <row r="154" spans="2:14">
      <c r="B154" s="614">
        <f t="shared" si="7"/>
        <v>0.18000000000000008</v>
      </c>
      <c r="C154" s="617">
        <f>('Coverage ratios'!$R$7*B154)/(1+'Coverage ratios'!$R$9)</f>
        <v>221.65677955278235</v>
      </c>
      <c r="D154" s="617">
        <f>('Coverage ratios'!$R$17*B154)/((1+'Coverage ratios'!$R$19)^2)</f>
        <v>152.94364024348423</v>
      </c>
      <c r="E154" s="617">
        <f>('Coverage ratios'!$R$27*B154)/((1+'Coverage ratios'!$R$29)^3)</f>
        <v>145.76846740294729</v>
      </c>
      <c r="F154" s="617">
        <f>('Coverage ratios'!$R$37*B154)/((1+'Coverage ratios'!$R$39)^4)</f>
        <v>124.69311085184798</v>
      </c>
      <c r="G154" s="617">
        <f>('Coverage ratios'!$R$47*B154)/((1+'Coverage ratios'!$R$49)^5)</f>
        <v>106.38556356842504</v>
      </c>
      <c r="H154" s="617">
        <f>B154*'APV CALCULATION '!$Q$14</f>
        <v>3739.6200799558214</v>
      </c>
      <c r="I154" s="617">
        <f>((SUM(G154:H154)/(1+'APV CALCULATION '!$I$31^5))+F154/(1+'APV CALCULATION '!$H$31^4)+(E154/(1+'APV CALCULATION '!$G$31^3)+(D154/(1+'APV CALCULATION '!$F$31)^2)+(C154/(1+'APV CALCULATION '!$E$31))))</f>
        <v>4473.0887212897269</v>
      </c>
      <c r="J154" s="617">
        <f>I154+'APV CALCULATION '!$C$45</f>
        <v>106584.82331889329</v>
      </c>
      <c r="L154" s="6"/>
      <c r="N154"/>
    </row>
    <row r="155" spans="2:14">
      <c r="B155" s="614">
        <f t="shared" si="7"/>
        <v>0.18100000000000008</v>
      </c>
      <c r="C155" s="617">
        <f>('Coverage ratios'!$R$7*B155)/(1+'Coverage ratios'!$R$9)</f>
        <v>222.88820610585336</v>
      </c>
      <c r="D155" s="617">
        <f>('Coverage ratios'!$R$17*B155)/((1+'Coverage ratios'!$R$19)^2)</f>
        <v>153.7933271337258</v>
      </c>
      <c r="E155" s="617">
        <f>('Coverage ratios'!$R$27*B155)/((1+'Coverage ratios'!$R$29)^3)</f>
        <v>146.57829222185254</v>
      </c>
      <c r="F155" s="617">
        <f>('Coverage ratios'!$R$37*B155)/((1+'Coverage ratios'!$R$39)^4)</f>
        <v>125.38585035658048</v>
      </c>
      <c r="G155" s="617">
        <f>('Coverage ratios'!$R$47*B155)/((1+'Coverage ratios'!$R$49)^5)</f>
        <v>106.97659447713852</v>
      </c>
      <c r="H155" s="617">
        <f>B155*'APV CALCULATION '!$Q$14</f>
        <v>3760.3957470666874</v>
      </c>
      <c r="I155" s="617">
        <f>((SUM(G155:H155)/(1+'APV CALCULATION '!$I$31^5))+F155/(1+'APV CALCULATION '!$H$31^4)+(E155/(1+'APV CALCULATION '!$G$31^3)+(D155/(1+'APV CALCULATION '!$F$31)^2)+(C155/(1+'APV CALCULATION '!$E$31))))</f>
        <v>4497.9392141857807</v>
      </c>
      <c r="J155" s="617">
        <f>I155+'APV CALCULATION '!$C$45</f>
        <v>106609.67381178935</v>
      </c>
      <c r="L155" s="6"/>
      <c r="N155"/>
    </row>
    <row r="156" spans="2:14">
      <c r="B156" s="614">
        <f t="shared" si="7"/>
        <v>0.18200000000000008</v>
      </c>
      <c r="C156" s="617">
        <f>('Coverage ratios'!$R$7*B156)/(1+'Coverage ratios'!$R$9)</f>
        <v>224.11963265892436</v>
      </c>
      <c r="D156" s="617">
        <f>('Coverage ratios'!$R$17*B156)/((1+'Coverage ratios'!$R$19)^2)</f>
        <v>154.64301402396737</v>
      </c>
      <c r="E156" s="617">
        <f>('Coverage ratios'!$R$27*B156)/((1+'Coverage ratios'!$R$29)^3)</f>
        <v>147.38811704075781</v>
      </c>
      <c r="F156" s="617">
        <f>('Coverage ratios'!$R$37*B156)/((1+'Coverage ratios'!$R$39)^4)</f>
        <v>126.07858986131295</v>
      </c>
      <c r="G156" s="617">
        <f>('Coverage ratios'!$R$47*B156)/((1+'Coverage ratios'!$R$49)^5)</f>
        <v>107.56762538585198</v>
      </c>
      <c r="H156" s="617">
        <f>B156*'APV CALCULATION '!$Q$14</f>
        <v>3781.1714141775528</v>
      </c>
      <c r="I156" s="617">
        <f>((SUM(G156:H156)/(1+'APV CALCULATION '!$I$31^5))+F156/(1+'APV CALCULATION '!$H$31^4)+(E156/(1+'APV CALCULATION '!$G$31^3)+(D156/(1+'APV CALCULATION '!$F$31)^2)+(C156/(1+'APV CALCULATION '!$E$31))))</f>
        <v>4522.7897070818344</v>
      </c>
      <c r="J156" s="617">
        <f>I156+'APV CALCULATION '!$C$45</f>
        <v>106634.5243046854</v>
      </c>
      <c r="L156" s="6"/>
      <c r="N156"/>
    </row>
    <row r="157" spans="2:14">
      <c r="B157" s="614">
        <f t="shared" si="7"/>
        <v>0.18300000000000008</v>
      </c>
      <c r="C157" s="617">
        <f>('Coverage ratios'!$R$7*B157)/(1+'Coverage ratios'!$R$9)</f>
        <v>225.35105921199539</v>
      </c>
      <c r="D157" s="617">
        <f>('Coverage ratios'!$R$17*B157)/((1+'Coverage ratios'!$R$19)^2)</f>
        <v>155.49270091420894</v>
      </c>
      <c r="E157" s="617">
        <f>('Coverage ratios'!$R$27*B157)/((1+'Coverage ratios'!$R$29)^3)</f>
        <v>148.19794185966308</v>
      </c>
      <c r="F157" s="617">
        <f>('Coverage ratios'!$R$37*B157)/((1+'Coverage ratios'!$R$39)^4)</f>
        <v>126.77132936604544</v>
      </c>
      <c r="G157" s="617">
        <f>('Coverage ratios'!$R$47*B157)/((1+'Coverage ratios'!$R$49)^5)</f>
        <v>108.15865629456545</v>
      </c>
      <c r="H157" s="617">
        <f>B157*'APV CALCULATION '!$Q$14</f>
        <v>3801.9470812884188</v>
      </c>
      <c r="I157" s="617">
        <f>((SUM(G157:H157)/(1+'APV CALCULATION '!$I$31^5))+F157/(1+'APV CALCULATION '!$H$31^4)+(E157/(1+'APV CALCULATION '!$G$31^3)+(D157/(1+'APV CALCULATION '!$F$31)^2)+(C157/(1+'APV CALCULATION '!$E$31))))</f>
        <v>4547.6401999778891</v>
      </c>
      <c r="J157" s="617">
        <f>I157+'APV CALCULATION '!$C$45</f>
        <v>106659.37479758146</v>
      </c>
      <c r="L157" s="6"/>
      <c r="N157"/>
    </row>
    <row r="158" spans="2:14">
      <c r="B158" s="614">
        <f t="shared" si="7"/>
        <v>0.18400000000000008</v>
      </c>
      <c r="C158" s="617">
        <f>('Coverage ratios'!$R$7*B158)/(1+'Coverage ratios'!$R$9)</f>
        <v>226.58248576506642</v>
      </c>
      <c r="D158" s="617">
        <f>('Coverage ratios'!$R$17*B158)/((1+'Coverage ratios'!$R$19)^2)</f>
        <v>156.34238780445054</v>
      </c>
      <c r="E158" s="617">
        <f>('Coverage ratios'!$R$27*B158)/((1+'Coverage ratios'!$R$29)^3)</f>
        <v>149.00776667856834</v>
      </c>
      <c r="F158" s="617">
        <f>('Coverage ratios'!$R$37*B158)/((1+'Coverage ratios'!$R$39)^4)</f>
        <v>127.46406887077794</v>
      </c>
      <c r="G158" s="617">
        <f>('Coverage ratios'!$R$47*B158)/((1+'Coverage ratios'!$R$49)^5)</f>
        <v>108.74968720327892</v>
      </c>
      <c r="H158" s="617">
        <f>B158*'APV CALCULATION '!$Q$14</f>
        <v>3822.7227483992842</v>
      </c>
      <c r="I158" s="617">
        <f>((SUM(G158:H158)/(1+'APV CALCULATION '!$I$31^5))+F158/(1+'APV CALCULATION '!$H$31^4)+(E158/(1+'APV CALCULATION '!$G$31^3)+(D158/(1+'APV CALCULATION '!$F$31)^2)+(C158/(1+'APV CALCULATION '!$E$31))))</f>
        <v>4572.4906928739429</v>
      </c>
      <c r="J158" s="617">
        <f>I158+'APV CALCULATION '!$C$45</f>
        <v>106684.22529047751</v>
      </c>
      <c r="L158" s="6"/>
      <c r="N158"/>
    </row>
    <row r="159" spans="2:14">
      <c r="B159" s="614">
        <f t="shared" si="7"/>
        <v>0.18500000000000008</v>
      </c>
      <c r="C159" s="617">
        <f>('Coverage ratios'!$R$7*B159)/(1+'Coverage ratios'!$R$9)</f>
        <v>227.8139123181374</v>
      </c>
      <c r="D159" s="617">
        <f>('Coverage ratios'!$R$17*B159)/((1+'Coverage ratios'!$R$19)^2)</f>
        <v>157.19207469469211</v>
      </c>
      <c r="E159" s="617">
        <f>('Coverage ratios'!$R$27*B159)/((1+'Coverage ratios'!$R$29)^3)</f>
        <v>149.81759149747361</v>
      </c>
      <c r="F159" s="617">
        <f>('Coverage ratios'!$R$37*B159)/((1+'Coverage ratios'!$R$39)^4)</f>
        <v>128.15680837551042</v>
      </c>
      <c r="G159" s="617">
        <f>('Coverage ratios'!$R$47*B159)/((1+'Coverage ratios'!$R$49)^5)</f>
        <v>109.3407181119924</v>
      </c>
      <c r="H159" s="617">
        <f>B159*'APV CALCULATION '!$Q$14</f>
        <v>3843.4984155101502</v>
      </c>
      <c r="I159" s="617">
        <f>((SUM(G159:H159)/(1+'APV CALCULATION '!$I$31^5))+F159/(1+'APV CALCULATION '!$H$31^4)+(E159/(1+'APV CALCULATION '!$G$31^3)+(D159/(1+'APV CALCULATION '!$F$31)^2)+(C159/(1+'APV CALCULATION '!$E$31))))</f>
        <v>4597.3411857699975</v>
      </c>
      <c r="J159" s="617">
        <f>I159+'APV CALCULATION '!$C$45</f>
        <v>106709.07578337357</v>
      </c>
      <c r="L159" s="6"/>
      <c r="N159"/>
    </row>
    <row r="160" spans="2:14">
      <c r="B160" s="614">
        <f t="shared" si="7"/>
        <v>0.18600000000000008</v>
      </c>
      <c r="C160" s="617">
        <f>('Coverage ratios'!$R$7*B160)/(1+'Coverage ratios'!$R$9)</f>
        <v>229.04533887120843</v>
      </c>
      <c r="D160" s="617">
        <f>('Coverage ratios'!$R$17*B160)/((1+'Coverage ratios'!$R$19)^2)</f>
        <v>158.04176158493368</v>
      </c>
      <c r="E160" s="617">
        <f>('Coverage ratios'!$R$27*B160)/((1+'Coverage ratios'!$R$29)^3)</f>
        <v>150.62741631637888</v>
      </c>
      <c r="F160" s="617">
        <f>('Coverage ratios'!$R$37*B160)/((1+'Coverage ratios'!$R$39)^4)</f>
        <v>128.84954788024291</v>
      </c>
      <c r="G160" s="617">
        <f>('Coverage ratios'!$R$47*B160)/((1+'Coverage ratios'!$R$49)^5)</f>
        <v>109.93174902070587</v>
      </c>
      <c r="H160" s="617">
        <f>B160*'APV CALCULATION '!$Q$14</f>
        <v>3864.2740826210156</v>
      </c>
      <c r="I160" s="617">
        <f>((SUM(G160:H160)/(1+'APV CALCULATION '!$I$31^5))+F160/(1+'APV CALCULATION '!$H$31^4)+(E160/(1+'APV CALCULATION '!$G$31^3)+(D160/(1+'APV CALCULATION '!$F$31)^2)+(C160/(1+'APV CALCULATION '!$E$31))))</f>
        <v>4622.1916786660513</v>
      </c>
      <c r="J160" s="617">
        <f>I160+'APV CALCULATION '!$C$45</f>
        <v>106733.92627626963</v>
      </c>
      <c r="L160" s="6"/>
      <c r="N160"/>
    </row>
    <row r="161" spans="2:14">
      <c r="B161" s="614">
        <f t="shared" si="7"/>
        <v>0.18700000000000008</v>
      </c>
      <c r="C161" s="617">
        <f>('Coverage ratios'!$R$7*B161)/(1+'Coverage ratios'!$R$9)</f>
        <v>230.27676542427943</v>
      </c>
      <c r="D161" s="617">
        <f>('Coverage ratios'!$R$17*B161)/((1+'Coverage ratios'!$R$19)^2)</f>
        <v>158.89144847517525</v>
      </c>
      <c r="E161" s="617">
        <f>('Coverage ratios'!$R$27*B161)/((1+'Coverage ratios'!$R$29)^3)</f>
        <v>151.43724113528415</v>
      </c>
      <c r="F161" s="617">
        <f>('Coverage ratios'!$R$37*B161)/((1+'Coverage ratios'!$R$39)^4)</f>
        <v>129.5422873849754</v>
      </c>
      <c r="G161" s="617">
        <f>('Coverage ratios'!$R$47*B161)/((1+'Coverage ratios'!$R$49)^5)</f>
        <v>110.52277992941934</v>
      </c>
      <c r="H161" s="617">
        <f>B161*'APV CALCULATION '!$Q$14</f>
        <v>3885.0497497318815</v>
      </c>
      <c r="I161" s="617">
        <f>((SUM(G161:H161)/(1+'APV CALCULATION '!$I$31^5))+F161/(1+'APV CALCULATION '!$H$31^4)+(E161/(1+'APV CALCULATION '!$G$31^3)+(D161/(1+'APV CALCULATION '!$F$31)^2)+(C161/(1+'APV CALCULATION '!$E$31))))</f>
        <v>4647.042171562106</v>
      </c>
      <c r="J161" s="617">
        <f>I161+'APV CALCULATION '!$C$45</f>
        <v>106758.77676916568</v>
      </c>
      <c r="L161" s="6"/>
      <c r="N161"/>
    </row>
    <row r="162" spans="2:14">
      <c r="B162" s="614">
        <f t="shared" si="7"/>
        <v>0.18800000000000008</v>
      </c>
      <c r="C162" s="617">
        <f>('Coverage ratios'!$R$7*B162)/(1+'Coverage ratios'!$R$9)</f>
        <v>231.50819197735046</v>
      </c>
      <c r="D162" s="617">
        <f>('Coverage ratios'!$R$17*B162)/((1+'Coverage ratios'!$R$19)^2)</f>
        <v>159.74113536541685</v>
      </c>
      <c r="E162" s="617">
        <f>('Coverage ratios'!$R$27*B162)/((1+'Coverage ratios'!$R$29)^3)</f>
        <v>152.24706595418942</v>
      </c>
      <c r="F162" s="617">
        <f>('Coverage ratios'!$R$37*B162)/((1+'Coverage ratios'!$R$39)^4)</f>
        <v>130.23502688970788</v>
      </c>
      <c r="G162" s="617">
        <f>('Coverage ratios'!$R$47*B162)/((1+'Coverage ratios'!$R$49)^5)</f>
        <v>111.11381083813281</v>
      </c>
      <c r="H162" s="617">
        <f>B162*'APV CALCULATION '!$Q$14</f>
        <v>3905.825416842747</v>
      </c>
      <c r="I162" s="617">
        <f>((SUM(G162:H162)/(1+'APV CALCULATION '!$I$31^5))+F162/(1+'APV CALCULATION '!$H$31^4)+(E162/(1+'APV CALCULATION '!$G$31^3)+(D162/(1+'APV CALCULATION '!$F$31)^2)+(C162/(1+'APV CALCULATION '!$E$31))))</f>
        <v>4671.8926644581588</v>
      </c>
      <c r="J162" s="617">
        <f>I162+'APV CALCULATION '!$C$45</f>
        <v>106783.62726206172</v>
      </c>
      <c r="L162" s="6"/>
      <c r="N162"/>
    </row>
    <row r="163" spans="2:14">
      <c r="B163" s="614">
        <f t="shared" si="7"/>
        <v>0.18900000000000008</v>
      </c>
      <c r="C163" s="617">
        <f>('Coverage ratios'!$R$7*B163)/(1+'Coverage ratios'!$R$9)</f>
        <v>232.73961853042147</v>
      </c>
      <c r="D163" s="617">
        <f>('Coverage ratios'!$R$17*B163)/((1+'Coverage ratios'!$R$19)^2)</f>
        <v>160.59082225565842</v>
      </c>
      <c r="E163" s="617">
        <f>('Coverage ratios'!$R$27*B163)/((1+'Coverage ratios'!$R$29)^3)</f>
        <v>153.05689077309466</v>
      </c>
      <c r="F163" s="617">
        <f>('Coverage ratios'!$R$37*B163)/((1+'Coverage ratios'!$R$39)^4)</f>
        <v>130.9277663944404</v>
      </c>
      <c r="G163" s="617">
        <f>('Coverage ratios'!$R$47*B163)/((1+'Coverage ratios'!$R$49)^5)</f>
        <v>111.7048417468463</v>
      </c>
      <c r="H163" s="617">
        <f>B163*'APV CALCULATION '!$Q$14</f>
        <v>3926.6010839536129</v>
      </c>
      <c r="I163" s="617">
        <f>((SUM(G163:H163)/(1+'APV CALCULATION '!$I$31^5))+F163/(1+'APV CALCULATION '!$H$31^4)+(E163/(1+'APV CALCULATION '!$G$31^3)+(D163/(1+'APV CALCULATION '!$F$31)^2)+(C163/(1+'APV CALCULATION '!$E$31))))</f>
        <v>4696.7431573542135</v>
      </c>
      <c r="J163" s="617">
        <f>I163+'APV CALCULATION '!$C$45</f>
        <v>106808.47775495778</v>
      </c>
      <c r="L163" s="6"/>
      <c r="N163"/>
    </row>
    <row r="164" spans="2:14">
      <c r="B164" s="614">
        <f t="shared" si="7"/>
        <v>0.19000000000000009</v>
      </c>
      <c r="C164" s="617">
        <f>('Coverage ratios'!$R$7*B164)/(1+'Coverage ratios'!$R$9)</f>
        <v>233.97104508349247</v>
      </c>
      <c r="D164" s="617">
        <f>('Coverage ratios'!$R$17*B164)/((1+'Coverage ratios'!$R$19)^2)</f>
        <v>161.44050914589999</v>
      </c>
      <c r="E164" s="617">
        <f>('Coverage ratios'!$R$27*B164)/((1+'Coverage ratios'!$R$29)^3)</f>
        <v>153.86671559199991</v>
      </c>
      <c r="F164" s="617">
        <f>('Coverage ratios'!$R$37*B164)/((1+'Coverage ratios'!$R$39)^4)</f>
        <v>131.62050589917285</v>
      </c>
      <c r="G164" s="617">
        <f>('Coverage ratios'!$R$47*B164)/((1+'Coverage ratios'!$R$49)^5)</f>
        <v>112.29587265555976</v>
      </c>
      <c r="H164" s="617">
        <f>B164*'APV CALCULATION '!$Q$14</f>
        <v>3947.3767510644784</v>
      </c>
      <c r="I164" s="617">
        <f>((SUM(G164:H164)/(1+'APV CALCULATION '!$I$31^5))+F164/(1+'APV CALCULATION '!$H$31^4)+(E164/(1+'APV CALCULATION '!$G$31^3)+(D164/(1+'APV CALCULATION '!$F$31)^2)+(C164/(1+'APV CALCULATION '!$E$31))))</f>
        <v>4721.5936502502673</v>
      </c>
      <c r="J164" s="617">
        <f>I164+'APV CALCULATION '!$C$45</f>
        <v>106833.32824785385</v>
      </c>
      <c r="L164" s="6"/>
      <c r="N164"/>
    </row>
    <row r="165" spans="2:14">
      <c r="B165" s="614">
        <f t="shared" si="7"/>
        <v>0.19100000000000009</v>
      </c>
      <c r="C165" s="617">
        <f>('Coverage ratios'!$R$7*B165)/(1+'Coverage ratios'!$R$9)</f>
        <v>235.2024716365635</v>
      </c>
      <c r="D165" s="617">
        <f>('Coverage ratios'!$R$17*B165)/((1+'Coverage ratios'!$R$19)^2)</f>
        <v>162.29019603614157</v>
      </c>
      <c r="E165" s="617">
        <f>('Coverage ratios'!$R$27*B165)/((1+'Coverage ratios'!$R$29)^3)</f>
        <v>154.67654041090518</v>
      </c>
      <c r="F165" s="617">
        <f>('Coverage ratios'!$R$37*B165)/((1+'Coverage ratios'!$R$39)^4)</f>
        <v>132.31324540390534</v>
      </c>
      <c r="G165" s="617">
        <f>('Coverage ratios'!$R$47*B165)/((1+'Coverage ratios'!$R$49)^5)</f>
        <v>112.88690356427323</v>
      </c>
      <c r="H165" s="617">
        <f>B165*'APV CALCULATION '!$Q$14</f>
        <v>3968.1524181753439</v>
      </c>
      <c r="I165" s="617">
        <f>((SUM(G165:H165)/(1+'APV CALCULATION '!$I$31^5))+F165/(1+'APV CALCULATION '!$H$31^4)+(E165/(1+'APV CALCULATION '!$G$31^3)+(D165/(1+'APV CALCULATION '!$F$31)^2)+(C165/(1+'APV CALCULATION '!$E$31))))</f>
        <v>4746.444143146321</v>
      </c>
      <c r="J165" s="617">
        <f>I165+'APV CALCULATION '!$C$45</f>
        <v>106858.17874074989</v>
      </c>
      <c r="L165" s="6"/>
      <c r="N165"/>
    </row>
    <row r="166" spans="2:14">
      <c r="B166" s="614">
        <f t="shared" si="7"/>
        <v>0.19200000000000009</v>
      </c>
      <c r="C166" s="617">
        <f>('Coverage ratios'!$R$7*B166)/(1+'Coverage ratios'!$R$9)</f>
        <v>236.4338981896345</v>
      </c>
      <c r="D166" s="617">
        <f>('Coverage ratios'!$R$17*B166)/((1+'Coverage ratios'!$R$19)^2)</f>
        <v>163.13988292638314</v>
      </c>
      <c r="E166" s="617">
        <f>('Coverage ratios'!$R$27*B166)/((1+'Coverage ratios'!$R$29)^3)</f>
        <v>155.48636522981045</v>
      </c>
      <c r="F166" s="617">
        <f>('Coverage ratios'!$R$37*B166)/((1+'Coverage ratios'!$R$39)^4)</f>
        <v>133.00598490863786</v>
      </c>
      <c r="G166" s="617">
        <f>('Coverage ratios'!$R$47*B166)/((1+'Coverage ratios'!$R$49)^5)</f>
        <v>113.47793447298672</v>
      </c>
      <c r="H166" s="617">
        <f>B166*'APV CALCULATION '!$Q$14</f>
        <v>3988.9280852862098</v>
      </c>
      <c r="I166" s="617">
        <f>((SUM(G166:H166)/(1+'APV CALCULATION '!$I$31^5))+F166/(1+'APV CALCULATION '!$H$31^4)+(E166/(1+'APV CALCULATION '!$G$31^3)+(D166/(1+'APV CALCULATION '!$F$31)^2)+(C166/(1+'APV CALCULATION '!$E$31))))</f>
        <v>4771.2946360423757</v>
      </c>
      <c r="J166" s="617">
        <f>I166+'APV CALCULATION '!$C$45</f>
        <v>106883.02923364595</v>
      </c>
      <c r="L166" s="6"/>
      <c r="N166"/>
    </row>
    <row r="167" spans="2:14">
      <c r="B167" s="614">
        <f t="shared" si="7"/>
        <v>0.19300000000000009</v>
      </c>
      <c r="C167" s="617">
        <f>('Coverage ratios'!$R$7*B167)/(1+'Coverage ratios'!$R$9)</f>
        <v>237.66532474270554</v>
      </c>
      <c r="D167" s="617">
        <f>('Coverage ratios'!$R$17*B167)/((1+'Coverage ratios'!$R$19)^2)</f>
        <v>163.98956981662474</v>
      </c>
      <c r="E167" s="617">
        <f>('Coverage ratios'!$R$27*B167)/((1+'Coverage ratios'!$R$29)^3)</f>
        <v>156.29619004871572</v>
      </c>
      <c r="F167" s="617">
        <f>('Coverage ratios'!$R$37*B167)/((1+'Coverage ratios'!$R$39)^4)</f>
        <v>133.69872441337034</v>
      </c>
      <c r="G167" s="617">
        <f>('Coverage ratios'!$R$47*B167)/((1+'Coverage ratios'!$R$49)^5)</f>
        <v>114.06896538170018</v>
      </c>
      <c r="H167" s="617">
        <f>B167*'APV CALCULATION '!$Q$14</f>
        <v>4009.7037523970753</v>
      </c>
      <c r="I167" s="617">
        <f>((SUM(G167:H167)/(1+'APV CALCULATION '!$I$31^5))+F167/(1+'APV CALCULATION '!$H$31^4)+(E167/(1+'APV CALCULATION '!$G$31^3)+(D167/(1+'APV CALCULATION '!$F$31)^2)+(C167/(1+'APV CALCULATION '!$E$31))))</f>
        <v>4796.1451289384295</v>
      </c>
      <c r="J167" s="617">
        <f>I167+'APV CALCULATION '!$C$45</f>
        <v>106907.879726542</v>
      </c>
      <c r="L167" s="6"/>
      <c r="N167"/>
    </row>
    <row r="168" spans="2:14">
      <c r="B168" s="614">
        <f t="shared" si="7"/>
        <v>0.19400000000000009</v>
      </c>
      <c r="C168" s="617">
        <f>('Coverage ratios'!$R$7*B168)/(1+'Coverage ratios'!$R$9)</f>
        <v>238.89675129577654</v>
      </c>
      <c r="D168" s="617">
        <f>('Coverage ratios'!$R$17*B168)/((1+'Coverage ratios'!$R$19)^2)</f>
        <v>164.83925670686634</v>
      </c>
      <c r="E168" s="617">
        <f>('Coverage ratios'!$R$27*B168)/((1+'Coverage ratios'!$R$29)^3)</f>
        <v>157.10601486762098</v>
      </c>
      <c r="F168" s="617">
        <f>('Coverage ratios'!$R$37*B168)/((1+'Coverage ratios'!$R$39)^4)</f>
        <v>134.39146391810283</v>
      </c>
      <c r="G168" s="617">
        <f>('Coverage ratios'!$R$47*B168)/((1+'Coverage ratios'!$R$49)^5)</f>
        <v>114.65999629041367</v>
      </c>
      <c r="H168" s="617">
        <f>B168*'APV CALCULATION '!$Q$14</f>
        <v>4030.4794195079412</v>
      </c>
      <c r="I168" s="617">
        <f>((SUM(G168:H168)/(1+'APV CALCULATION '!$I$31^5))+F168/(1+'APV CALCULATION '!$H$31^4)+(E168/(1+'APV CALCULATION '!$G$31^3)+(D168/(1+'APV CALCULATION '!$F$31)^2)+(C168/(1+'APV CALCULATION '!$E$31))))</f>
        <v>4820.9956218344832</v>
      </c>
      <c r="J168" s="617">
        <f>I168+'APV CALCULATION '!$C$45</f>
        <v>106932.73021943806</v>
      </c>
      <c r="L168" s="6"/>
      <c r="N168"/>
    </row>
    <row r="169" spans="2:14">
      <c r="B169" s="614">
        <f t="shared" si="7"/>
        <v>0.19500000000000009</v>
      </c>
      <c r="C169" s="617">
        <f>('Coverage ratios'!$R$7*B169)/(1+'Coverage ratios'!$R$9)</f>
        <v>240.12817784884754</v>
      </c>
      <c r="D169" s="617">
        <f>('Coverage ratios'!$R$17*B169)/((1+'Coverage ratios'!$R$19)^2)</f>
        <v>165.68894359710791</v>
      </c>
      <c r="E169" s="617">
        <f>('Coverage ratios'!$R$27*B169)/((1+'Coverage ratios'!$R$29)^3)</f>
        <v>157.91583968652625</v>
      </c>
      <c r="F169" s="617">
        <f>('Coverage ratios'!$R$37*B169)/((1+'Coverage ratios'!$R$39)^4)</f>
        <v>135.08420342283532</v>
      </c>
      <c r="G169" s="617">
        <f>('Coverage ratios'!$R$47*B169)/((1+'Coverage ratios'!$R$49)^5)</f>
        <v>115.25102719912714</v>
      </c>
      <c r="H169" s="617">
        <f>B169*'APV CALCULATION '!$Q$14</f>
        <v>4051.2550866188067</v>
      </c>
      <c r="I169" s="617">
        <f>((SUM(G169:H169)/(1+'APV CALCULATION '!$I$31^5))+F169/(1+'APV CALCULATION '!$H$31^4)+(E169/(1+'APV CALCULATION '!$G$31^3)+(D169/(1+'APV CALCULATION '!$F$31)^2)+(C169/(1+'APV CALCULATION '!$E$31))))</f>
        <v>4845.8461147305379</v>
      </c>
      <c r="J169" s="617">
        <f>I169+'APV CALCULATION '!$C$45</f>
        <v>106957.58071233411</v>
      </c>
      <c r="L169" s="6"/>
      <c r="N169"/>
    </row>
    <row r="170" spans="2:14">
      <c r="B170" s="614">
        <f t="shared" si="7"/>
        <v>0.19600000000000009</v>
      </c>
      <c r="C170" s="617">
        <f>('Coverage ratios'!$R$7*B170)/(1+'Coverage ratios'!$R$9)</f>
        <v>241.35960440191857</v>
      </c>
      <c r="D170" s="617">
        <f>('Coverage ratios'!$R$17*B170)/((1+'Coverage ratios'!$R$19)^2)</f>
        <v>166.53863048734948</v>
      </c>
      <c r="E170" s="617">
        <f>('Coverage ratios'!$R$27*B170)/((1+'Coverage ratios'!$R$29)^3)</f>
        <v>158.72566450543152</v>
      </c>
      <c r="F170" s="617">
        <f>('Coverage ratios'!$R$37*B170)/((1+'Coverage ratios'!$R$39)^4)</f>
        <v>135.7769429275678</v>
      </c>
      <c r="G170" s="617">
        <f>('Coverage ratios'!$R$47*B170)/((1+'Coverage ratios'!$R$49)^5)</f>
        <v>115.8420581078406</v>
      </c>
      <c r="H170" s="617">
        <f>B170*'APV CALCULATION '!$Q$14</f>
        <v>4072.0307537296726</v>
      </c>
      <c r="I170" s="617">
        <f>((SUM(G170:H170)/(1+'APV CALCULATION '!$I$31^5))+F170/(1+'APV CALCULATION '!$H$31^4)+(E170/(1+'APV CALCULATION '!$G$31^3)+(D170/(1+'APV CALCULATION '!$F$31)^2)+(C170/(1+'APV CALCULATION '!$E$31))))</f>
        <v>4870.6966076265917</v>
      </c>
      <c r="J170" s="617">
        <f>I170+'APV CALCULATION '!$C$45</f>
        <v>106982.43120523017</v>
      </c>
      <c r="L170" s="6"/>
      <c r="N170"/>
    </row>
    <row r="171" spans="2:14">
      <c r="B171" s="614">
        <f t="shared" si="7"/>
        <v>0.19700000000000009</v>
      </c>
      <c r="C171" s="617">
        <f>('Coverage ratios'!$R$7*B171)/(1+'Coverage ratios'!$R$9)</f>
        <v>242.59103095498958</v>
      </c>
      <c r="D171" s="617">
        <f>('Coverage ratios'!$R$17*B171)/((1+'Coverage ratios'!$R$19)^2)</f>
        <v>167.38831737759108</v>
      </c>
      <c r="E171" s="617">
        <f>('Coverage ratios'!$R$27*B171)/((1+'Coverage ratios'!$R$29)^3)</f>
        <v>159.53548932433679</v>
      </c>
      <c r="F171" s="617">
        <f>('Coverage ratios'!$R$37*B171)/((1+'Coverage ratios'!$R$39)^4)</f>
        <v>136.46968243230029</v>
      </c>
      <c r="G171" s="617">
        <f>('Coverage ratios'!$R$47*B171)/((1+'Coverage ratios'!$R$49)^5)</f>
        <v>116.43308901655408</v>
      </c>
      <c r="H171" s="617">
        <f>B171*'APV CALCULATION '!$Q$14</f>
        <v>4092.8064208405381</v>
      </c>
      <c r="I171" s="617">
        <f>((SUM(G171:H171)/(1+'APV CALCULATION '!$I$31^5))+F171/(1+'APV CALCULATION '!$H$31^4)+(E171/(1+'APV CALCULATION '!$G$31^3)+(D171/(1+'APV CALCULATION '!$F$31)^2)+(C171/(1+'APV CALCULATION '!$E$31))))</f>
        <v>4895.5471005226455</v>
      </c>
      <c r="J171" s="617">
        <f>I171+'APV CALCULATION '!$C$45</f>
        <v>107007.28169812621</v>
      </c>
      <c r="L171" s="6"/>
      <c r="N171"/>
    </row>
    <row r="172" spans="2:14">
      <c r="B172" s="614">
        <f t="shared" si="7"/>
        <v>0.19800000000000009</v>
      </c>
      <c r="C172" s="617">
        <f>('Coverage ratios'!$R$7*B172)/(1+'Coverage ratios'!$R$9)</f>
        <v>243.82245750806058</v>
      </c>
      <c r="D172" s="617">
        <f>('Coverage ratios'!$R$17*B172)/((1+'Coverage ratios'!$R$19)^2)</f>
        <v>168.23800426783265</v>
      </c>
      <c r="E172" s="617">
        <f>('Coverage ratios'!$R$27*B172)/((1+'Coverage ratios'!$R$29)^3)</f>
        <v>160.34531414324204</v>
      </c>
      <c r="F172" s="617">
        <f>('Coverage ratios'!$R$37*B172)/((1+'Coverage ratios'!$R$39)^4)</f>
        <v>137.16242193703278</v>
      </c>
      <c r="G172" s="617">
        <f>('Coverage ratios'!$R$47*B172)/((1+'Coverage ratios'!$R$49)^5)</f>
        <v>117.02411992526756</v>
      </c>
      <c r="H172" s="617">
        <f>B172*'APV CALCULATION '!$Q$14</f>
        <v>4113.582087951404</v>
      </c>
      <c r="I172" s="617">
        <f>((SUM(G172:H172)/(1+'APV CALCULATION '!$I$31^5))+F172/(1+'APV CALCULATION '!$H$31^4)+(E172/(1+'APV CALCULATION '!$G$31^3)+(D172/(1+'APV CALCULATION '!$F$31)^2)+(C172/(1+'APV CALCULATION '!$E$31))))</f>
        <v>4920.3975934187001</v>
      </c>
      <c r="J172" s="617">
        <f>I172+'APV CALCULATION '!$C$45</f>
        <v>107032.13219102228</v>
      </c>
      <c r="L172" s="6"/>
      <c r="N172"/>
    </row>
    <row r="173" spans="2:14">
      <c r="B173" s="614">
        <f t="shared" si="7"/>
        <v>0.19900000000000009</v>
      </c>
      <c r="C173" s="617">
        <f>('Coverage ratios'!$R$7*B173)/(1+'Coverage ratios'!$R$9)</f>
        <v>245.05388406113161</v>
      </c>
      <c r="D173" s="617">
        <f>('Coverage ratios'!$R$17*B173)/((1+'Coverage ratios'!$R$19)^2)</f>
        <v>169.08769115807422</v>
      </c>
      <c r="E173" s="617">
        <f>('Coverage ratios'!$R$27*B173)/((1+'Coverage ratios'!$R$29)^3)</f>
        <v>161.15513896214728</v>
      </c>
      <c r="F173" s="617">
        <f>('Coverage ratios'!$R$37*B173)/((1+'Coverage ratios'!$R$39)^4)</f>
        <v>137.85516144176526</v>
      </c>
      <c r="G173" s="617">
        <f>('Coverage ratios'!$R$47*B173)/((1+'Coverage ratios'!$R$49)^5)</f>
        <v>117.61515083398102</v>
      </c>
      <c r="H173" s="617">
        <f>B173*'APV CALCULATION '!$Q$14</f>
        <v>4134.3577550622695</v>
      </c>
      <c r="I173" s="617">
        <f>((SUM(G173:H173)/(1+'APV CALCULATION '!$I$31^5))+F173/(1+'APV CALCULATION '!$H$31^4)+(E173/(1+'APV CALCULATION '!$G$31^3)+(D173/(1+'APV CALCULATION '!$F$31)^2)+(C173/(1+'APV CALCULATION '!$E$31))))</f>
        <v>4945.2480863147539</v>
      </c>
      <c r="J173" s="617">
        <f>I173+'APV CALCULATION '!$C$45</f>
        <v>107056.98268391832</v>
      </c>
      <c r="L173" s="6"/>
      <c r="N173"/>
    </row>
    <row r="174" spans="2:14">
      <c r="B174" s="614">
        <f t="shared" si="7"/>
        <v>0.20000000000000009</v>
      </c>
      <c r="C174" s="617">
        <f>('Coverage ratios'!$R$7*B174)/(1+'Coverage ratios'!$R$9)</f>
        <v>246.28531061420261</v>
      </c>
      <c r="D174" s="617">
        <f>('Coverage ratios'!$R$17*B174)/((1+'Coverage ratios'!$R$19)^2)</f>
        <v>169.93737804831579</v>
      </c>
      <c r="E174" s="617">
        <f>('Coverage ratios'!$R$27*B174)/((1+'Coverage ratios'!$R$29)^3)</f>
        <v>161.96496378105255</v>
      </c>
      <c r="F174" s="617">
        <f>('Coverage ratios'!$R$37*B174)/((1+'Coverage ratios'!$R$39)^4)</f>
        <v>138.54790094649775</v>
      </c>
      <c r="G174" s="617">
        <f>('Coverage ratios'!$R$47*B174)/((1+'Coverage ratios'!$R$49)^5)</f>
        <v>118.2061817426945</v>
      </c>
      <c r="H174" s="617">
        <f>B174*'APV CALCULATION '!$Q$14</f>
        <v>4155.1334221731349</v>
      </c>
      <c r="I174" s="617">
        <f>((SUM(G174:H174)/(1+'APV CALCULATION '!$I$31^5))+F174/(1+'APV CALCULATION '!$H$31^4)+(E174/(1+'APV CALCULATION '!$G$31^3)+(D174/(1+'APV CALCULATION '!$F$31)^2)+(C174/(1+'APV CALCULATION '!$E$31))))</f>
        <v>4970.0985792108077</v>
      </c>
      <c r="J174" s="617">
        <f>I174+'APV CALCULATION '!$C$45</f>
        <v>107081.83317681438</v>
      </c>
      <c r="L174" s="6"/>
      <c r="N174"/>
    </row>
    <row r="175" spans="2:14">
      <c r="B175" s="614">
        <f t="shared" si="7"/>
        <v>0.2010000000000001</v>
      </c>
      <c r="C175" s="617">
        <f>('Coverage ratios'!$R$7*B175)/(1+'Coverage ratios'!$R$9)</f>
        <v>247.51673716727362</v>
      </c>
      <c r="D175" s="617">
        <f>('Coverage ratios'!$R$17*B175)/((1+'Coverage ratios'!$R$19)^2)</f>
        <v>170.78706493855739</v>
      </c>
      <c r="E175" s="617">
        <f>('Coverage ratios'!$R$27*B175)/((1+'Coverage ratios'!$R$29)^3)</f>
        <v>162.77478859995782</v>
      </c>
      <c r="F175" s="617">
        <f>('Coverage ratios'!$R$37*B175)/((1+'Coverage ratios'!$R$39)^4)</f>
        <v>139.24064045123023</v>
      </c>
      <c r="G175" s="617">
        <f>('Coverage ratios'!$R$47*B175)/((1+'Coverage ratios'!$R$49)^5)</f>
        <v>118.79721265140796</v>
      </c>
      <c r="H175" s="617">
        <f>B175*'APV CALCULATION '!$Q$14</f>
        <v>4175.9090892840013</v>
      </c>
      <c r="I175" s="617">
        <f>((SUM(G175:H175)/(1+'APV CALCULATION '!$I$31^5))+F175/(1+'APV CALCULATION '!$H$31^4)+(E175/(1+'APV CALCULATION '!$G$31^3)+(D175/(1+'APV CALCULATION '!$F$31)^2)+(C175/(1+'APV CALCULATION '!$E$31))))</f>
        <v>4994.9490721068614</v>
      </c>
      <c r="J175" s="617">
        <f>I175+'APV CALCULATION '!$C$45</f>
        <v>107106.68366971043</v>
      </c>
      <c r="L175" s="6"/>
      <c r="N175"/>
    </row>
    <row r="176" spans="2:14">
      <c r="B176" s="614">
        <f t="shared" si="7"/>
        <v>0.2020000000000001</v>
      </c>
      <c r="C176" s="617">
        <f>('Coverage ratios'!$R$7*B176)/(1+'Coverage ratios'!$R$9)</f>
        <v>248.74816372034465</v>
      </c>
      <c r="D176" s="617">
        <f>('Coverage ratios'!$R$17*B176)/((1+'Coverage ratios'!$R$19)^2)</f>
        <v>171.63675182879896</v>
      </c>
      <c r="E176" s="617">
        <f>('Coverage ratios'!$R$27*B176)/((1+'Coverage ratios'!$R$29)^3)</f>
        <v>163.58461341886309</v>
      </c>
      <c r="F176" s="617">
        <f>('Coverage ratios'!$R$37*B176)/((1+'Coverage ratios'!$R$39)^4)</f>
        <v>139.93337995596275</v>
      </c>
      <c r="G176" s="617">
        <f>('Coverage ratios'!$R$47*B176)/((1+'Coverage ratios'!$R$49)^5)</f>
        <v>119.38824356012142</v>
      </c>
      <c r="H176" s="617">
        <f>B176*'APV CALCULATION '!$Q$14</f>
        <v>4196.6847563948668</v>
      </c>
      <c r="I176" s="617">
        <f>((SUM(G176:H176)/(1+'APV CALCULATION '!$I$31^5))+F176/(1+'APV CALCULATION '!$H$31^4)+(E176/(1+'APV CALCULATION '!$G$31^3)+(D176/(1+'APV CALCULATION '!$F$31)^2)+(C176/(1+'APV CALCULATION '!$E$31))))</f>
        <v>5019.7995650029152</v>
      </c>
      <c r="J176" s="617">
        <f>I176+'APV CALCULATION '!$C$45</f>
        <v>107131.53416260649</v>
      </c>
      <c r="L176" s="6"/>
      <c r="N176"/>
    </row>
    <row r="177" spans="2:14">
      <c r="B177" s="614">
        <f t="shared" si="7"/>
        <v>0.2030000000000001</v>
      </c>
      <c r="C177" s="617">
        <f>('Coverage ratios'!$R$7*B177)/(1+'Coverage ratios'!$R$9)</f>
        <v>249.97959027341565</v>
      </c>
      <c r="D177" s="617">
        <f>('Coverage ratios'!$R$17*B177)/((1+'Coverage ratios'!$R$19)^2)</f>
        <v>172.48643871904054</v>
      </c>
      <c r="E177" s="617">
        <f>('Coverage ratios'!$R$27*B177)/((1+'Coverage ratios'!$R$29)^3)</f>
        <v>164.39443823776836</v>
      </c>
      <c r="F177" s="617">
        <f>('Coverage ratios'!$R$37*B177)/((1+'Coverage ratios'!$R$39)^4)</f>
        <v>140.62611946069524</v>
      </c>
      <c r="G177" s="617">
        <f>('Coverage ratios'!$R$47*B177)/((1+'Coverage ratios'!$R$49)^5)</f>
        <v>119.97927446883492</v>
      </c>
      <c r="H177" s="617">
        <f>B177*'APV CALCULATION '!$Q$14</f>
        <v>4217.4604235057323</v>
      </c>
      <c r="I177" s="617">
        <f>((SUM(G177:H177)/(1+'APV CALCULATION '!$I$31^5))+F177/(1+'APV CALCULATION '!$H$31^4)+(E177/(1+'APV CALCULATION '!$G$31^3)+(D177/(1+'APV CALCULATION '!$F$31)^2)+(C177/(1+'APV CALCULATION '!$E$31))))</f>
        <v>5044.6500578989699</v>
      </c>
      <c r="J177" s="617">
        <f>I177+'APV CALCULATION '!$C$45</f>
        <v>107156.38465550254</v>
      </c>
      <c r="L177" s="6"/>
      <c r="N177"/>
    </row>
    <row r="178" spans="2:14">
      <c r="B178" s="614">
        <f t="shared" si="7"/>
        <v>0.2040000000000001</v>
      </c>
      <c r="C178" s="617">
        <f>('Coverage ratios'!$R$7*B178)/(1+'Coverage ratios'!$R$9)</f>
        <v>251.21101682648666</v>
      </c>
      <c r="D178" s="617">
        <f>('Coverage ratios'!$R$17*B178)/((1+'Coverage ratios'!$R$19)^2)</f>
        <v>173.33612560928211</v>
      </c>
      <c r="E178" s="617">
        <f>('Coverage ratios'!$R$27*B178)/((1+'Coverage ratios'!$R$29)^3)</f>
        <v>165.20426305667362</v>
      </c>
      <c r="F178" s="617">
        <f>('Coverage ratios'!$R$37*B178)/((1+'Coverage ratios'!$R$39)^4)</f>
        <v>141.31885896542769</v>
      </c>
      <c r="G178" s="617">
        <f>('Coverage ratios'!$R$47*B178)/((1+'Coverage ratios'!$R$49)^5)</f>
        <v>120.57030537754838</v>
      </c>
      <c r="H178" s="617">
        <f>B178*'APV CALCULATION '!$Q$14</f>
        <v>4238.2360906165977</v>
      </c>
      <c r="I178" s="617">
        <f>((SUM(G178:H178)/(1+'APV CALCULATION '!$I$31^5))+F178/(1+'APV CALCULATION '!$H$31^4)+(E178/(1+'APV CALCULATION '!$G$31^3)+(D178/(1+'APV CALCULATION '!$F$31)^2)+(C178/(1+'APV CALCULATION '!$E$31))))</f>
        <v>5069.5005507950236</v>
      </c>
      <c r="J178" s="617">
        <f>I178+'APV CALCULATION '!$C$45</f>
        <v>107181.2351483986</v>
      </c>
      <c r="L178" s="6"/>
      <c r="N178"/>
    </row>
    <row r="179" spans="2:14">
      <c r="B179" s="614">
        <f t="shared" si="7"/>
        <v>0.2050000000000001</v>
      </c>
      <c r="C179" s="617">
        <f>('Coverage ratios'!$R$7*B179)/(1+'Coverage ratios'!$R$9)</f>
        <v>252.44244337955772</v>
      </c>
      <c r="D179" s="617">
        <f>('Coverage ratios'!$R$17*B179)/((1+'Coverage ratios'!$R$19)^2)</f>
        <v>174.18581249952368</v>
      </c>
      <c r="E179" s="617">
        <f>('Coverage ratios'!$R$27*B179)/((1+'Coverage ratios'!$R$29)^3)</f>
        <v>166.01408787557889</v>
      </c>
      <c r="F179" s="617">
        <f>('Coverage ratios'!$R$37*B179)/((1+'Coverage ratios'!$R$39)^4)</f>
        <v>142.01159847016021</v>
      </c>
      <c r="G179" s="617">
        <f>('Coverage ratios'!$R$47*B179)/((1+'Coverage ratios'!$R$49)^5)</f>
        <v>121.16133628626184</v>
      </c>
      <c r="H179" s="617">
        <f>B179*'APV CALCULATION '!$Q$14</f>
        <v>4259.0117577274641</v>
      </c>
      <c r="I179" s="617">
        <f>((SUM(G179:H179)/(1+'APV CALCULATION '!$I$31^5))+F179/(1+'APV CALCULATION '!$H$31^4)+(E179/(1+'APV CALCULATION '!$G$31^3)+(D179/(1+'APV CALCULATION '!$F$31)^2)+(C179/(1+'APV CALCULATION '!$E$31))))</f>
        <v>5094.3510436910783</v>
      </c>
      <c r="J179" s="617">
        <f>I179+'APV CALCULATION '!$C$45</f>
        <v>107206.08564129465</v>
      </c>
      <c r="L179" s="6"/>
      <c r="N179"/>
    </row>
    <row r="180" spans="2:14">
      <c r="B180" s="614">
        <f t="shared" si="7"/>
        <v>0.2060000000000001</v>
      </c>
      <c r="C180" s="617">
        <f>('Coverage ratios'!$R$7*B180)/(1+'Coverage ratios'!$R$9)</f>
        <v>253.67386993262872</v>
      </c>
      <c r="D180" s="617">
        <f>('Coverage ratios'!$R$17*B180)/((1+'Coverage ratios'!$R$19)^2)</f>
        <v>175.03549938976528</v>
      </c>
      <c r="E180" s="617">
        <f>('Coverage ratios'!$R$27*B180)/((1+'Coverage ratios'!$R$29)^3)</f>
        <v>166.82391269448414</v>
      </c>
      <c r="F180" s="617">
        <f>('Coverage ratios'!$R$37*B180)/((1+'Coverage ratios'!$R$39)^4)</f>
        <v>142.7043379748927</v>
      </c>
      <c r="G180" s="617">
        <f>('Coverage ratios'!$R$47*B180)/((1+'Coverage ratios'!$R$49)^5)</f>
        <v>121.75236719497533</v>
      </c>
      <c r="H180" s="617">
        <f>B180*'APV CALCULATION '!$Q$14</f>
        <v>4279.7874248383296</v>
      </c>
      <c r="I180" s="617">
        <f>((SUM(G180:H180)/(1+'APV CALCULATION '!$I$31^5))+F180/(1+'APV CALCULATION '!$H$31^4)+(E180/(1+'APV CALCULATION '!$G$31^3)+(D180/(1+'APV CALCULATION '!$F$31)^2)+(C180/(1+'APV CALCULATION '!$E$31))))</f>
        <v>5119.2015365871321</v>
      </c>
      <c r="J180" s="617">
        <f>I180+'APV CALCULATION '!$C$45</f>
        <v>107230.93613419071</v>
      </c>
      <c r="L180" s="6"/>
      <c r="N180"/>
    </row>
    <row r="181" spans="2:14">
      <c r="B181" s="614">
        <f t="shared" si="7"/>
        <v>0.2070000000000001</v>
      </c>
      <c r="C181" s="617">
        <f>('Coverage ratios'!$R$7*B181)/(1+'Coverage ratios'!$R$9)</f>
        <v>254.90529648569969</v>
      </c>
      <c r="D181" s="617">
        <f>('Coverage ratios'!$R$17*B181)/((1+'Coverage ratios'!$R$19)^2)</f>
        <v>175.88518628000685</v>
      </c>
      <c r="E181" s="617">
        <f>('Coverage ratios'!$R$27*B181)/((1+'Coverage ratios'!$R$29)^3)</f>
        <v>167.63373751338938</v>
      </c>
      <c r="F181" s="617">
        <f>('Coverage ratios'!$R$37*B181)/((1+'Coverage ratios'!$R$39)^4)</f>
        <v>143.39707747962518</v>
      </c>
      <c r="G181" s="617">
        <f>('Coverage ratios'!$R$47*B181)/((1+'Coverage ratios'!$R$49)^5)</f>
        <v>122.3433981036888</v>
      </c>
      <c r="H181" s="617">
        <f>B181*'APV CALCULATION '!$Q$14</f>
        <v>4300.563091949195</v>
      </c>
      <c r="I181" s="617">
        <f>((SUM(G181:H181)/(1+'APV CALCULATION '!$I$31^5))+F181/(1+'APV CALCULATION '!$H$31^4)+(E181/(1+'APV CALCULATION '!$G$31^3)+(D181/(1+'APV CALCULATION '!$F$31)^2)+(C181/(1+'APV CALCULATION '!$E$31))))</f>
        <v>5144.0520294831867</v>
      </c>
      <c r="J181" s="617">
        <f>I181+'APV CALCULATION '!$C$45</f>
        <v>107255.78662708675</v>
      </c>
      <c r="L181" s="6"/>
      <c r="N181"/>
    </row>
    <row r="182" spans="2:14">
      <c r="B182" s="614">
        <f t="shared" si="7"/>
        <v>0.2080000000000001</v>
      </c>
      <c r="C182" s="617">
        <f>('Coverage ratios'!$R$7*B182)/(1+'Coverage ratios'!$R$9)</f>
        <v>256.13672303877075</v>
      </c>
      <c r="D182" s="617">
        <f>('Coverage ratios'!$R$17*B182)/((1+'Coverage ratios'!$R$19)^2)</f>
        <v>176.73487317024842</v>
      </c>
      <c r="E182" s="617">
        <f>('Coverage ratios'!$R$27*B182)/((1+'Coverage ratios'!$R$29)^3)</f>
        <v>168.44356233229465</v>
      </c>
      <c r="F182" s="617">
        <f>('Coverage ratios'!$R$37*B182)/((1+'Coverage ratios'!$R$39)^4)</f>
        <v>144.08981698435767</v>
      </c>
      <c r="G182" s="617">
        <f>('Coverage ratios'!$R$47*B182)/((1+'Coverage ratios'!$R$49)^5)</f>
        <v>122.93442901240229</v>
      </c>
      <c r="H182" s="617">
        <f>B182*'APV CALCULATION '!$Q$14</f>
        <v>4321.3387590600605</v>
      </c>
      <c r="I182" s="617">
        <f>((SUM(G182:H182)/(1+'APV CALCULATION '!$I$31^5))+F182/(1+'APV CALCULATION '!$H$31^4)+(E182/(1+'APV CALCULATION '!$G$31^3)+(D182/(1+'APV CALCULATION '!$F$31)^2)+(C182/(1+'APV CALCULATION '!$E$31))))</f>
        <v>5168.9025223792405</v>
      </c>
      <c r="J182" s="617">
        <f>I182+'APV CALCULATION '!$C$45</f>
        <v>107280.63711998281</v>
      </c>
      <c r="L182" s="6"/>
      <c r="N182"/>
    </row>
    <row r="183" spans="2:14">
      <c r="B183" s="614">
        <f t="shared" si="7"/>
        <v>0.2090000000000001</v>
      </c>
      <c r="C183" s="617">
        <f>('Coverage ratios'!$R$7*B183)/(1+'Coverage ratios'!$R$9)</f>
        <v>257.36814959184176</v>
      </c>
      <c r="D183" s="617">
        <f>('Coverage ratios'!$R$17*B183)/((1+'Coverage ratios'!$R$19)^2)</f>
        <v>177.58456006048999</v>
      </c>
      <c r="E183" s="617">
        <f>('Coverage ratios'!$R$27*B183)/((1+'Coverage ratios'!$R$29)^3)</f>
        <v>169.25338715119992</v>
      </c>
      <c r="F183" s="617">
        <f>('Coverage ratios'!$R$37*B183)/((1+'Coverage ratios'!$R$39)^4)</f>
        <v>144.78255648909015</v>
      </c>
      <c r="G183" s="617">
        <f>('Coverage ratios'!$R$47*B183)/((1+'Coverage ratios'!$R$49)^5)</f>
        <v>123.52545992111575</v>
      </c>
      <c r="H183" s="617">
        <f>B183*'APV CALCULATION '!$Q$14</f>
        <v>4342.114426170926</v>
      </c>
      <c r="I183" s="617">
        <f>((SUM(G183:H183)/(1+'APV CALCULATION '!$I$31^5))+F183/(1+'APV CALCULATION '!$H$31^4)+(E183/(1+'APV CALCULATION '!$G$31^3)+(D183/(1+'APV CALCULATION '!$F$31)^2)+(C183/(1+'APV CALCULATION '!$E$31))))</f>
        <v>5193.7530152752934</v>
      </c>
      <c r="J183" s="617">
        <f>I183+'APV CALCULATION '!$C$45</f>
        <v>107305.48761287886</v>
      </c>
      <c r="L183" s="6"/>
      <c r="N183"/>
    </row>
    <row r="184" spans="2:14">
      <c r="B184" s="614">
        <f t="shared" si="7"/>
        <v>0.2100000000000001</v>
      </c>
      <c r="C184" s="617">
        <f>('Coverage ratios'!$R$7*B184)/(1+'Coverage ratios'!$R$9)</f>
        <v>258.59957614491276</v>
      </c>
      <c r="D184" s="617">
        <f>('Coverage ratios'!$R$17*B184)/((1+'Coverage ratios'!$R$19)^2)</f>
        <v>178.43424695073159</v>
      </c>
      <c r="E184" s="617">
        <f>('Coverage ratios'!$R$27*B184)/((1+'Coverage ratios'!$R$29)^3)</f>
        <v>170.06321197010519</v>
      </c>
      <c r="F184" s="617">
        <f>('Coverage ratios'!$R$37*B184)/((1+'Coverage ratios'!$R$39)^4)</f>
        <v>145.47529599382264</v>
      </c>
      <c r="G184" s="617">
        <f>('Coverage ratios'!$R$47*B184)/((1+'Coverage ratios'!$R$49)^5)</f>
        <v>124.11649082982922</v>
      </c>
      <c r="H184" s="617">
        <f>B184*'APV CALCULATION '!$Q$14</f>
        <v>4362.8900932817924</v>
      </c>
      <c r="I184" s="617">
        <f>((SUM(G184:H184)/(1+'APV CALCULATION '!$I$31^5))+F184/(1+'APV CALCULATION '!$H$31^4)+(E184/(1+'APV CALCULATION '!$G$31^3)+(D184/(1+'APV CALCULATION '!$F$31)^2)+(C184/(1+'APV CALCULATION '!$E$31))))</f>
        <v>5218.6035081713489</v>
      </c>
      <c r="J184" s="617">
        <f>I184+'APV CALCULATION '!$C$45</f>
        <v>107330.33810577492</v>
      </c>
      <c r="L184" s="6"/>
      <c r="N184"/>
    </row>
    <row r="185" spans="2:14">
      <c r="B185" s="614">
        <f t="shared" si="7"/>
        <v>0.2110000000000001</v>
      </c>
      <c r="C185" s="617">
        <f>('Coverage ratios'!$R$7*B185)/(1+'Coverage ratios'!$R$9)</f>
        <v>259.83100269798376</v>
      </c>
      <c r="D185" s="617">
        <f>('Coverage ratios'!$R$17*B185)/((1+'Coverage ratios'!$R$19)^2)</f>
        <v>179.28393384097316</v>
      </c>
      <c r="E185" s="617">
        <f>('Coverage ratios'!$R$27*B185)/((1+'Coverage ratios'!$R$29)^3)</f>
        <v>170.87303678901046</v>
      </c>
      <c r="F185" s="617">
        <f>('Coverage ratios'!$R$37*B185)/((1+'Coverage ratios'!$R$39)^4)</f>
        <v>146.16803549855516</v>
      </c>
      <c r="G185" s="617">
        <f>('Coverage ratios'!$R$47*B185)/((1+'Coverage ratios'!$R$49)^5)</f>
        <v>124.70752173854271</v>
      </c>
      <c r="H185" s="617">
        <f>B185*'APV CALCULATION '!$Q$14</f>
        <v>4383.6657603926578</v>
      </c>
      <c r="I185" s="617">
        <f>((SUM(G185:H185)/(1+'APV CALCULATION '!$I$31^5))+F185/(1+'APV CALCULATION '!$H$31^4)+(E185/(1+'APV CALCULATION '!$G$31^3)+(D185/(1+'APV CALCULATION '!$F$31)^2)+(C185/(1+'APV CALCULATION '!$E$31))))</f>
        <v>5243.4540010674027</v>
      </c>
      <c r="J185" s="617">
        <f>I185+'APV CALCULATION '!$C$45</f>
        <v>107355.18859867097</v>
      </c>
      <c r="L185" s="6"/>
      <c r="N185"/>
    </row>
    <row r="186" spans="2:14">
      <c r="B186" s="614">
        <f t="shared" si="7"/>
        <v>0.21200000000000011</v>
      </c>
      <c r="C186" s="617">
        <f>('Coverage ratios'!$R$7*B186)/(1+'Coverage ratios'!$R$9)</f>
        <v>261.06242925105482</v>
      </c>
      <c r="D186" s="617">
        <f>('Coverage ratios'!$R$17*B186)/((1+'Coverage ratios'!$R$19)^2)</f>
        <v>180.13362073121473</v>
      </c>
      <c r="E186" s="617">
        <f>('Coverage ratios'!$R$27*B186)/((1+'Coverage ratios'!$R$29)^3)</f>
        <v>171.68286160791573</v>
      </c>
      <c r="F186" s="617">
        <f>('Coverage ratios'!$R$37*B186)/((1+'Coverage ratios'!$R$39)^4)</f>
        <v>146.86077500328761</v>
      </c>
      <c r="G186" s="617">
        <f>('Coverage ratios'!$R$47*B186)/((1+'Coverage ratios'!$R$49)^5)</f>
        <v>125.29855264725617</v>
      </c>
      <c r="H186" s="617">
        <f>B186*'APV CALCULATION '!$Q$14</f>
        <v>4404.4414275035233</v>
      </c>
      <c r="I186" s="617">
        <f>((SUM(G186:H186)/(1+'APV CALCULATION '!$I$31^5))+F186/(1+'APV CALCULATION '!$H$31^4)+(E186/(1+'APV CALCULATION '!$G$31^3)+(D186/(1+'APV CALCULATION '!$F$31)^2)+(C186/(1+'APV CALCULATION '!$E$31))))</f>
        <v>5268.3044939634556</v>
      </c>
      <c r="J186" s="617">
        <f>I186+'APV CALCULATION '!$C$45</f>
        <v>107380.03909156703</v>
      </c>
      <c r="L186" s="6"/>
      <c r="N186"/>
    </row>
    <row r="187" spans="2:14">
      <c r="B187" s="614">
        <f t="shared" si="7"/>
        <v>0.21300000000000011</v>
      </c>
      <c r="C187" s="617">
        <f>('Coverage ratios'!$R$7*B187)/(1+'Coverage ratios'!$R$9)</f>
        <v>262.29385580412577</v>
      </c>
      <c r="D187" s="617">
        <f>('Coverage ratios'!$R$17*B187)/((1+'Coverage ratios'!$R$19)^2)</f>
        <v>180.98330762145631</v>
      </c>
      <c r="E187" s="617">
        <f>('Coverage ratios'!$R$27*B187)/((1+'Coverage ratios'!$R$29)^3)</f>
        <v>172.492686426821</v>
      </c>
      <c r="F187" s="617">
        <f>('Coverage ratios'!$R$37*B187)/((1+'Coverage ratios'!$R$39)^4)</f>
        <v>147.5535145080201</v>
      </c>
      <c r="G187" s="617">
        <f>('Coverage ratios'!$R$47*B187)/((1+'Coverage ratios'!$R$49)^5)</f>
        <v>125.88958355596964</v>
      </c>
      <c r="H187" s="617">
        <f>B187*'APV CALCULATION '!$Q$14</f>
        <v>4425.2170946143888</v>
      </c>
      <c r="I187" s="617">
        <f>((SUM(G187:H187)/(1+'APV CALCULATION '!$I$31^5))+F187/(1+'APV CALCULATION '!$H$31^4)+(E187/(1+'APV CALCULATION '!$G$31^3)+(D187/(1+'APV CALCULATION '!$F$31)^2)+(C187/(1+'APV CALCULATION '!$E$31))))</f>
        <v>5293.1549868595093</v>
      </c>
      <c r="J187" s="617">
        <f>I187+'APV CALCULATION '!$C$45</f>
        <v>107404.88958446308</v>
      </c>
      <c r="L187" s="6"/>
      <c r="N187"/>
    </row>
    <row r="188" spans="2:14">
      <c r="B188" s="614">
        <f t="shared" si="7"/>
        <v>0.21400000000000011</v>
      </c>
      <c r="C188" s="617">
        <f>('Coverage ratios'!$R$7*B188)/(1+'Coverage ratios'!$R$9)</f>
        <v>263.52528235719677</v>
      </c>
      <c r="D188" s="617">
        <f>('Coverage ratios'!$R$17*B188)/((1+'Coverage ratios'!$R$19)^2)</f>
        <v>181.83299451169793</v>
      </c>
      <c r="E188" s="617">
        <f>('Coverage ratios'!$R$27*B188)/((1+'Coverage ratios'!$R$29)^3)</f>
        <v>173.30251124572627</v>
      </c>
      <c r="F188" s="617">
        <f>('Coverage ratios'!$R$37*B188)/((1+'Coverage ratios'!$R$39)^4)</f>
        <v>148.24625401275262</v>
      </c>
      <c r="G188" s="617">
        <f>('Coverage ratios'!$R$47*B188)/((1+'Coverage ratios'!$R$49)^5)</f>
        <v>126.48061446468311</v>
      </c>
      <c r="H188" s="617">
        <f>B188*'APV CALCULATION '!$Q$14</f>
        <v>4445.9927617252551</v>
      </c>
      <c r="I188" s="617">
        <f>((SUM(G188:H188)/(1+'APV CALCULATION '!$I$31^5))+F188/(1+'APV CALCULATION '!$H$31^4)+(E188/(1+'APV CALCULATION '!$G$31^3)+(D188/(1+'APV CALCULATION '!$F$31)^2)+(C188/(1+'APV CALCULATION '!$E$31))))</f>
        <v>5318.005479755564</v>
      </c>
      <c r="J188" s="617">
        <f>I188+'APV CALCULATION '!$C$45</f>
        <v>107429.74007735914</v>
      </c>
      <c r="L188" s="6"/>
      <c r="N188"/>
    </row>
    <row r="189" spans="2:14">
      <c r="B189" s="614">
        <f t="shared" si="7"/>
        <v>0.21500000000000011</v>
      </c>
      <c r="C189" s="617">
        <f>('Coverage ratios'!$R$7*B189)/(1+'Coverage ratios'!$R$9)</f>
        <v>264.75670891026783</v>
      </c>
      <c r="D189" s="617">
        <f>('Coverage ratios'!$R$17*B189)/((1+'Coverage ratios'!$R$19)^2)</f>
        <v>182.6826814019395</v>
      </c>
      <c r="E189" s="617">
        <f>('Coverage ratios'!$R$27*B189)/((1+'Coverage ratios'!$R$29)^3)</f>
        <v>174.11233606463151</v>
      </c>
      <c r="F189" s="617">
        <f>('Coverage ratios'!$R$37*B189)/((1+'Coverage ratios'!$R$39)^4)</f>
        <v>148.9389935174851</v>
      </c>
      <c r="G189" s="617">
        <f>('Coverage ratios'!$R$47*B189)/((1+'Coverage ratios'!$R$49)^5)</f>
        <v>127.07164537339658</v>
      </c>
      <c r="H189" s="617">
        <f>B189*'APV CALCULATION '!$Q$14</f>
        <v>4466.7684288361206</v>
      </c>
      <c r="I189" s="617">
        <f>((SUM(G189:H189)/(1+'APV CALCULATION '!$I$31^5))+F189/(1+'APV CALCULATION '!$H$31^4)+(E189/(1+'APV CALCULATION '!$G$31^3)+(D189/(1+'APV CALCULATION '!$F$31)^2)+(C189/(1+'APV CALCULATION '!$E$31))))</f>
        <v>5342.8559726516187</v>
      </c>
      <c r="J189" s="617">
        <f>I189+'APV CALCULATION '!$C$45</f>
        <v>107454.5905702552</v>
      </c>
      <c r="L189" s="6"/>
      <c r="N189"/>
    </row>
    <row r="190" spans="2:14">
      <c r="B190" s="614">
        <f t="shared" si="7"/>
        <v>0.21600000000000011</v>
      </c>
      <c r="C190" s="617">
        <f>('Coverage ratios'!$R$7*B190)/(1+'Coverage ratios'!$R$9)</f>
        <v>265.98813546333884</v>
      </c>
      <c r="D190" s="617">
        <f>('Coverage ratios'!$R$17*B190)/((1+'Coverage ratios'!$R$19)^2)</f>
        <v>183.53236829218108</v>
      </c>
      <c r="E190" s="617">
        <f>('Coverage ratios'!$R$27*B190)/((1+'Coverage ratios'!$R$29)^3)</f>
        <v>174.92216088353675</v>
      </c>
      <c r="F190" s="617">
        <f>('Coverage ratios'!$R$37*B190)/((1+'Coverage ratios'!$R$39)^4)</f>
        <v>149.63173302221759</v>
      </c>
      <c r="G190" s="617">
        <f>('Coverage ratios'!$R$47*B190)/((1+'Coverage ratios'!$R$49)^5)</f>
        <v>127.66267628211006</v>
      </c>
      <c r="H190" s="617">
        <f>B190*'APV CALCULATION '!$Q$14</f>
        <v>4487.5440959469861</v>
      </c>
      <c r="I190" s="617">
        <f>((SUM(G190:H190)/(1+'APV CALCULATION '!$I$31^5))+F190/(1+'APV CALCULATION '!$H$31^4)+(E190/(1+'APV CALCULATION '!$G$31^3)+(D190/(1+'APV CALCULATION '!$F$31)^2)+(C190/(1+'APV CALCULATION '!$E$31))))</f>
        <v>5367.7064655476715</v>
      </c>
      <c r="J190" s="617">
        <f>I190+'APV CALCULATION '!$C$45</f>
        <v>107479.44106315124</v>
      </c>
      <c r="L190" s="6"/>
      <c r="N190"/>
    </row>
    <row r="191" spans="2:14">
      <c r="B191" s="614">
        <f t="shared" si="7"/>
        <v>0.21700000000000011</v>
      </c>
      <c r="C191" s="617">
        <f>('Coverage ratios'!$R$7*B191)/(1+'Coverage ratios'!$R$9)</f>
        <v>267.21956201640984</v>
      </c>
      <c r="D191" s="617">
        <f>('Coverage ratios'!$R$17*B191)/((1+'Coverage ratios'!$R$19)^2)</f>
        <v>184.38205518242265</v>
      </c>
      <c r="E191" s="617">
        <f>('Coverage ratios'!$R$27*B191)/((1+'Coverage ratios'!$R$29)^3)</f>
        <v>175.73198570244202</v>
      </c>
      <c r="F191" s="617">
        <f>('Coverage ratios'!$R$37*B191)/((1+'Coverage ratios'!$R$39)^4)</f>
        <v>150.32447252695007</v>
      </c>
      <c r="G191" s="617">
        <f>('Coverage ratios'!$R$47*B191)/((1+'Coverage ratios'!$R$49)^5)</f>
        <v>128.25370719082355</v>
      </c>
      <c r="H191" s="617">
        <f>B191*'APV CALCULATION '!$Q$14</f>
        <v>4508.3197630578516</v>
      </c>
      <c r="I191" s="617">
        <f>((SUM(G191:H191)/(1+'APV CALCULATION '!$I$31^5))+F191/(1+'APV CALCULATION '!$H$31^4)+(E191/(1+'APV CALCULATION '!$G$31^3)+(D191/(1+'APV CALCULATION '!$F$31)^2)+(C191/(1+'APV CALCULATION '!$E$31))))</f>
        <v>5392.5569584437262</v>
      </c>
      <c r="J191" s="617">
        <f>I191+'APV CALCULATION '!$C$45</f>
        <v>107504.2915560473</v>
      </c>
      <c r="L191" s="6"/>
      <c r="N191"/>
    </row>
    <row r="192" spans="2:14">
      <c r="B192" s="614">
        <f t="shared" si="7"/>
        <v>0.21800000000000011</v>
      </c>
      <c r="C192" s="617">
        <f>('Coverage ratios'!$R$7*B192)/(1+'Coverage ratios'!$R$9)</f>
        <v>268.4509885694809</v>
      </c>
      <c r="D192" s="617">
        <f>('Coverage ratios'!$R$17*B192)/((1+'Coverage ratios'!$R$19)^2)</f>
        <v>185.23174207266422</v>
      </c>
      <c r="E192" s="617">
        <f>('Coverage ratios'!$R$27*B192)/((1+'Coverage ratios'!$R$29)^3)</f>
        <v>176.54181052134729</v>
      </c>
      <c r="F192" s="617">
        <f>('Coverage ratios'!$R$37*B192)/((1+'Coverage ratios'!$R$39)^4)</f>
        <v>151.01721203168256</v>
      </c>
      <c r="G192" s="617">
        <f>('Coverage ratios'!$R$47*B192)/((1+'Coverage ratios'!$R$49)^5)</f>
        <v>128.84473809953701</v>
      </c>
      <c r="H192" s="617">
        <f>B192*'APV CALCULATION '!$Q$14</f>
        <v>4529.0954301687179</v>
      </c>
      <c r="I192" s="617">
        <f>((SUM(G192:H192)/(1+'APV CALCULATION '!$I$31^5))+F192/(1+'APV CALCULATION '!$H$31^4)+(E192/(1+'APV CALCULATION '!$G$31^3)+(D192/(1+'APV CALCULATION '!$F$31)^2)+(C192/(1+'APV CALCULATION '!$E$31))))</f>
        <v>5417.4074513397809</v>
      </c>
      <c r="J192" s="617">
        <f>I192+'APV CALCULATION '!$C$45</f>
        <v>107529.14204894335</v>
      </c>
      <c r="L192" s="6"/>
      <c r="N192"/>
    </row>
    <row r="193" spans="2:14">
      <c r="B193" s="614">
        <f t="shared" si="7"/>
        <v>0.21900000000000011</v>
      </c>
      <c r="C193" s="617">
        <f>('Coverage ratios'!$R$7*B193)/(1+'Coverage ratios'!$R$9)</f>
        <v>269.6824151225519</v>
      </c>
      <c r="D193" s="617">
        <f>('Coverage ratios'!$R$17*B193)/((1+'Coverage ratios'!$R$19)^2)</f>
        <v>186.08142896290582</v>
      </c>
      <c r="E193" s="617">
        <f>('Coverage ratios'!$R$27*B193)/((1+'Coverage ratios'!$R$29)^3)</f>
        <v>177.35163534025256</v>
      </c>
      <c r="F193" s="617">
        <f>('Coverage ratios'!$R$37*B193)/((1+'Coverage ratios'!$R$39)^4)</f>
        <v>151.70995153641505</v>
      </c>
      <c r="G193" s="617">
        <f>('Coverage ratios'!$R$47*B193)/((1+'Coverage ratios'!$R$49)^5)</f>
        <v>129.43576900825047</v>
      </c>
      <c r="H193" s="617">
        <f>B193*'APV CALCULATION '!$Q$14</f>
        <v>4549.8710972795834</v>
      </c>
      <c r="I193" s="617">
        <f>((SUM(G193:H193)/(1+'APV CALCULATION '!$I$31^5))+F193/(1+'APV CALCULATION '!$H$31^4)+(E193/(1+'APV CALCULATION '!$G$31^3)+(D193/(1+'APV CALCULATION '!$F$31)^2)+(C193/(1+'APV CALCULATION '!$E$31))))</f>
        <v>5442.2579442358356</v>
      </c>
      <c r="J193" s="617">
        <f>I193+'APV CALCULATION '!$C$45</f>
        <v>107553.99254183941</v>
      </c>
      <c r="L193" s="6"/>
      <c r="N193"/>
    </row>
    <row r="194" spans="2:14">
      <c r="B194" s="614">
        <f t="shared" si="7"/>
        <v>0.22000000000000011</v>
      </c>
      <c r="C194" s="617">
        <f>('Coverage ratios'!$R$7*B194)/(1+'Coverage ratios'!$R$9)</f>
        <v>270.9138416756229</v>
      </c>
      <c r="D194" s="617">
        <f>('Coverage ratios'!$R$17*B194)/((1+'Coverage ratios'!$R$19)^2)</f>
        <v>186.93111585314739</v>
      </c>
      <c r="E194" s="617">
        <f>('Coverage ratios'!$R$27*B194)/((1+'Coverage ratios'!$R$29)^3)</f>
        <v>178.16146015915783</v>
      </c>
      <c r="F194" s="617">
        <f>('Coverage ratios'!$R$37*B194)/((1+'Coverage ratios'!$R$39)^4)</f>
        <v>152.40269104114753</v>
      </c>
      <c r="G194" s="617">
        <f>('Coverage ratios'!$R$47*B194)/((1+'Coverage ratios'!$R$49)^5)</f>
        <v>130.02679991696397</v>
      </c>
      <c r="H194" s="617">
        <f>B194*'APV CALCULATION '!$Q$14</f>
        <v>4570.6467643904489</v>
      </c>
      <c r="I194" s="617">
        <f>((SUM(G194:H194)/(1+'APV CALCULATION '!$I$31^5))+F194/(1+'APV CALCULATION '!$H$31^4)+(E194/(1+'APV CALCULATION '!$G$31^3)+(D194/(1+'APV CALCULATION '!$F$31)^2)+(C194/(1+'APV CALCULATION '!$E$31))))</f>
        <v>5467.1084371318884</v>
      </c>
      <c r="J194" s="617">
        <f>I194+'APV CALCULATION '!$C$45</f>
        <v>107578.84303473546</v>
      </c>
      <c r="L194" s="6"/>
      <c r="N194"/>
    </row>
    <row r="195" spans="2:14">
      <c r="B195" s="614">
        <f t="shared" si="7"/>
        <v>0.22100000000000011</v>
      </c>
      <c r="C195" s="617">
        <f>('Coverage ratios'!$R$7*B195)/(1+'Coverage ratios'!$R$9)</f>
        <v>272.14526822869391</v>
      </c>
      <c r="D195" s="617">
        <f>('Coverage ratios'!$R$17*B195)/((1+'Coverage ratios'!$R$19)^2)</f>
        <v>187.78080274338896</v>
      </c>
      <c r="E195" s="617">
        <f>('Coverage ratios'!$R$27*B195)/((1+'Coverage ratios'!$R$29)^3)</f>
        <v>178.9712849780631</v>
      </c>
      <c r="F195" s="617">
        <f>('Coverage ratios'!$R$37*B195)/((1+'Coverage ratios'!$R$39)^4)</f>
        <v>153.09543054588002</v>
      </c>
      <c r="G195" s="617">
        <f>('Coverage ratios'!$R$47*B195)/((1+'Coverage ratios'!$R$49)^5)</f>
        <v>130.61783082567743</v>
      </c>
      <c r="H195" s="617">
        <f>B195*'APV CALCULATION '!$Q$14</f>
        <v>4591.4224315013143</v>
      </c>
      <c r="I195" s="617">
        <f>((SUM(G195:H195)/(1+'APV CALCULATION '!$I$31^5))+F195/(1+'APV CALCULATION '!$H$31^4)+(E195/(1+'APV CALCULATION '!$G$31^3)+(D195/(1+'APV CALCULATION '!$F$31)^2)+(C195/(1+'APV CALCULATION '!$E$31))))</f>
        <v>5491.9589300279422</v>
      </c>
      <c r="J195" s="617">
        <f>I195+'APV CALCULATION '!$C$45</f>
        <v>107603.69352763152</v>
      </c>
      <c r="L195" s="6"/>
      <c r="N195"/>
    </row>
    <row r="196" spans="2:14">
      <c r="B196" s="614">
        <f t="shared" si="7"/>
        <v>0.22200000000000011</v>
      </c>
      <c r="C196" s="617">
        <f>('Coverage ratios'!$R$7*B196)/(1+'Coverage ratios'!$R$9)</f>
        <v>273.37669478176491</v>
      </c>
      <c r="D196" s="617">
        <f>('Coverage ratios'!$R$17*B196)/((1+'Coverage ratios'!$R$19)^2)</f>
        <v>188.63048963363053</v>
      </c>
      <c r="E196" s="617">
        <f>('Coverage ratios'!$R$27*B196)/((1+'Coverage ratios'!$R$29)^3)</f>
        <v>179.78110979696837</v>
      </c>
      <c r="F196" s="617">
        <f>('Coverage ratios'!$R$37*B196)/((1+'Coverage ratios'!$R$39)^4)</f>
        <v>153.78817005061251</v>
      </c>
      <c r="G196" s="617">
        <f>('Coverage ratios'!$R$47*B196)/((1+'Coverage ratios'!$R$49)^5)</f>
        <v>131.20886173439089</v>
      </c>
      <c r="H196" s="617">
        <f>B196*'APV CALCULATION '!$Q$14</f>
        <v>4612.1980986121807</v>
      </c>
      <c r="I196" s="617">
        <f>((SUM(G196:H196)/(1+'APV CALCULATION '!$I$31^5))+F196/(1+'APV CALCULATION '!$H$31^4)+(E196/(1+'APV CALCULATION '!$G$31^3)+(D196/(1+'APV CALCULATION '!$F$31)^2)+(C196/(1+'APV CALCULATION '!$E$31))))</f>
        <v>5516.8094229239978</v>
      </c>
      <c r="J196" s="617">
        <f>I196+'APV CALCULATION '!$C$45</f>
        <v>107628.54402052757</v>
      </c>
      <c r="L196" s="6"/>
      <c r="N196"/>
    </row>
    <row r="197" spans="2:14">
      <c r="B197" s="614">
        <f t="shared" si="7"/>
        <v>0.22300000000000011</v>
      </c>
      <c r="C197" s="617">
        <f>('Coverage ratios'!$R$7*B197)/(1+'Coverage ratios'!$R$9)</f>
        <v>274.60812133483591</v>
      </c>
      <c r="D197" s="617">
        <f>('Coverage ratios'!$R$17*B197)/((1+'Coverage ratios'!$R$19)^2)</f>
        <v>189.48017652387213</v>
      </c>
      <c r="E197" s="617">
        <f>('Coverage ratios'!$R$27*B197)/((1+'Coverage ratios'!$R$29)^3)</f>
        <v>180.59093461587361</v>
      </c>
      <c r="F197" s="617">
        <f>('Coverage ratios'!$R$37*B197)/((1+'Coverage ratios'!$R$39)^4)</f>
        <v>154.48090955534499</v>
      </c>
      <c r="G197" s="617">
        <f>('Coverage ratios'!$R$47*B197)/((1+'Coverage ratios'!$R$49)^5)</f>
        <v>131.79989264310436</v>
      </c>
      <c r="H197" s="617">
        <f>B197*'APV CALCULATION '!$Q$14</f>
        <v>4632.9737657230462</v>
      </c>
      <c r="I197" s="617">
        <f>((SUM(G197:H197)/(1+'APV CALCULATION '!$I$31^5))+F197/(1+'APV CALCULATION '!$H$31^4)+(E197/(1+'APV CALCULATION '!$G$31^3)+(D197/(1+'APV CALCULATION '!$F$31)^2)+(C197/(1+'APV CALCULATION '!$E$31))))</f>
        <v>5541.6599158200515</v>
      </c>
      <c r="J197" s="617">
        <f>I197+'APV CALCULATION '!$C$45</f>
        <v>107653.39451342363</v>
      </c>
      <c r="L197" s="6"/>
      <c r="N197"/>
    </row>
    <row r="198" spans="2:14">
      <c r="B198" s="614">
        <f t="shared" si="7"/>
        <v>0.22400000000000012</v>
      </c>
      <c r="C198" s="617">
        <f>('Coverage ratios'!$R$7*B198)/(1+'Coverage ratios'!$R$9)</f>
        <v>275.83954788790692</v>
      </c>
      <c r="D198" s="617">
        <f>('Coverage ratios'!$R$17*B198)/((1+'Coverage ratios'!$R$19)^2)</f>
        <v>190.3298634141137</v>
      </c>
      <c r="E198" s="617">
        <f>('Coverage ratios'!$R$27*B198)/((1+'Coverage ratios'!$R$29)^3)</f>
        <v>181.40075943477888</v>
      </c>
      <c r="F198" s="617">
        <f>('Coverage ratios'!$R$37*B198)/((1+'Coverage ratios'!$R$39)^4)</f>
        <v>155.17364906007751</v>
      </c>
      <c r="G198" s="617">
        <f>('Coverage ratios'!$R$47*B198)/((1+'Coverage ratios'!$R$49)^5)</f>
        <v>132.39092355181782</v>
      </c>
      <c r="H198" s="617">
        <f>B198*'APV CALCULATION '!$Q$14</f>
        <v>4653.7494328339117</v>
      </c>
      <c r="I198" s="617">
        <f>((SUM(G198:H198)/(1+'APV CALCULATION '!$I$31^5))+F198/(1+'APV CALCULATION '!$H$31^4)+(E198/(1+'APV CALCULATION '!$G$31^3)+(D198/(1+'APV CALCULATION '!$F$31)^2)+(C198/(1+'APV CALCULATION '!$E$31))))</f>
        <v>5566.5104087161044</v>
      </c>
      <c r="J198" s="617">
        <f>I198+'APV CALCULATION '!$C$45</f>
        <v>107678.24500631967</v>
      </c>
      <c r="L198" s="6"/>
      <c r="N198"/>
    </row>
    <row r="199" spans="2:14">
      <c r="B199" s="614">
        <f t="shared" si="7"/>
        <v>0.22500000000000012</v>
      </c>
      <c r="C199" s="617">
        <f>('Coverage ratios'!$R$7*B199)/(1+'Coverage ratios'!$R$9)</f>
        <v>277.07097444097798</v>
      </c>
      <c r="D199" s="617">
        <f>('Coverage ratios'!$R$17*B199)/((1+'Coverage ratios'!$R$19)^2)</f>
        <v>191.17955030435527</v>
      </c>
      <c r="E199" s="617">
        <f>('Coverage ratios'!$R$27*B199)/((1+'Coverage ratios'!$R$29)^3)</f>
        <v>182.21058425368412</v>
      </c>
      <c r="F199" s="617">
        <f>('Coverage ratios'!$R$37*B199)/((1+'Coverage ratios'!$R$39)^4)</f>
        <v>155.86638856480999</v>
      </c>
      <c r="G199" s="617">
        <f>('Coverage ratios'!$R$47*B199)/((1+'Coverage ratios'!$R$49)^5)</f>
        <v>132.98195446053131</v>
      </c>
      <c r="H199" s="617">
        <f>B199*'APV CALCULATION '!$Q$14</f>
        <v>4674.5250999447771</v>
      </c>
      <c r="I199" s="617">
        <f>((SUM(G199:H199)/(1+'APV CALCULATION '!$I$31^5))+F199/(1+'APV CALCULATION '!$H$31^4)+(E199/(1+'APV CALCULATION '!$G$31^3)+(D199/(1+'APV CALCULATION '!$F$31)^2)+(C199/(1+'APV CALCULATION '!$E$31))))</f>
        <v>5591.3609016121591</v>
      </c>
      <c r="J199" s="617">
        <f>I199+'APV CALCULATION '!$C$45</f>
        <v>107703.09549921573</v>
      </c>
      <c r="L199" s="6"/>
      <c r="N199"/>
    </row>
    <row r="200" spans="2:14">
      <c r="B200" s="614">
        <f t="shared" si="7"/>
        <v>0.22600000000000012</v>
      </c>
      <c r="C200" s="617">
        <f>('Coverage ratios'!$R$7*B200)/(1+'Coverage ratios'!$R$9)</f>
        <v>278.30240099404898</v>
      </c>
      <c r="D200" s="617">
        <f>('Coverage ratios'!$R$17*B200)/((1+'Coverage ratios'!$R$19)^2)</f>
        <v>192.02923719459685</v>
      </c>
      <c r="E200" s="617">
        <f>('Coverage ratios'!$R$27*B200)/((1+'Coverage ratios'!$R$29)^3)</f>
        <v>183.02040907258939</v>
      </c>
      <c r="F200" s="617">
        <f>('Coverage ratios'!$R$37*B200)/((1+'Coverage ratios'!$R$39)^4)</f>
        <v>156.55912806954245</v>
      </c>
      <c r="G200" s="617">
        <f>('Coverage ratios'!$R$47*B200)/((1+'Coverage ratios'!$R$49)^5)</f>
        <v>133.57298536924478</v>
      </c>
      <c r="H200" s="617">
        <f>B200*'APV CALCULATION '!$Q$14</f>
        <v>4695.3007670556426</v>
      </c>
      <c r="I200" s="617">
        <f>((SUM(G200:H200)/(1+'APV CALCULATION '!$I$31^5))+F200/(1+'APV CALCULATION '!$H$31^4)+(E200/(1+'APV CALCULATION '!$G$31^3)+(D200/(1+'APV CALCULATION '!$F$31)^2)+(C200/(1+'APV CALCULATION '!$E$31))))</f>
        <v>5616.2113945082128</v>
      </c>
      <c r="J200" s="617">
        <f>I200+'APV CALCULATION '!$C$45</f>
        <v>107727.94599211178</v>
      </c>
      <c r="L200" s="6"/>
      <c r="N200"/>
    </row>
    <row r="201" spans="2:14">
      <c r="B201" s="614">
        <f t="shared" si="7"/>
        <v>0.22700000000000012</v>
      </c>
      <c r="C201" s="617">
        <f>('Coverage ratios'!$R$7*B201)/(1+'Coverage ratios'!$R$9)</f>
        <v>279.53382754711998</v>
      </c>
      <c r="D201" s="617">
        <f>('Coverage ratios'!$R$17*B201)/((1+'Coverage ratios'!$R$19)^2)</f>
        <v>192.87892408483845</v>
      </c>
      <c r="E201" s="617">
        <f>('Coverage ratios'!$R$27*B201)/((1+'Coverage ratios'!$R$29)^3)</f>
        <v>183.83023389149466</v>
      </c>
      <c r="F201" s="617">
        <f>('Coverage ratios'!$R$37*B201)/((1+'Coverage ratios'!$R$39)^4)</f>
        <v>157.25186757427497</v>
      </c>
      <c r="G201" s="617">
        <f>('Coverage ratios'!$R$47*B201)/((1+'Coverage ratios'!$R$49)^5)</f>
        <v>134.16401627795824</v>
      </c>
      <c r="H201" s="617">
        <f>B201*'APV CALCULATION '!$Q$14</f>
        <v>4716.076434166509</v>
      </c>
      <c r="I201" s="617">
        <f>((SUM(G201:H201)/(1+'APV CALCULATION '!$I$31^5))+F201/(1+'APV CALCULATION '!$H$31^4)+(E201/(1+'APV CALCULATION '!$G$31^3)+(D201/(1+'APV CALCULATION '!$F$31)^2)+(C201/(1+'APV CALCULATION '!$E$31))))</f>
        <v>5641.0618874042675</v>
      </c>
      <c r="J201" s="617">
        <f>I201+'APV CALCULATION '!$C$45</f>
        <v>107752.79648500784</v>
      </c>
      <c r="L201" s="6"/>
      <c r="N201"/>
    </row>
    <row r="202" spans="2:14">
      <c r="B202" s="614">
        <f t="shared" si="7"/>
        <v>0.22800000000000012</v>
      </c>
      <c r="C202" s="617">
        <f>('Coverage ratios'!$R$7*B202)/(1+'Coverage ratios'!$R$9)</f>
        <v>280.76525410019104</v>
      </c>
      <c r="D202" s="617">
        <f>('Coverage ratios'!$R$17*B202)/((1+'Coverage ratios'!$R$19)^2)</f>
        <v>193.72861097508002</v>
      </c>
      <c r="E202" s="617">
        <f>('Coverage ratios'!$R$27*B202)/((1+'Coverage ratios'!$R$29)^3)</f>
        <v>184.64005871039993</v>
      </c>
      <c r="F202" s="617">
        <f>('Coverage ratios'!$R$37*B202)/((1+'Coverage ratios'!$R$39)^4)</f>
        <v>157.94460707900745</v>
      </c>
      <c r="G202" s="617">
        <f>('Coverage ratios'!$R$47*B202)/((1+'Coverage ratios'!$R$49)^5)</f>
        <v>134.75504718667173</v>
      </c>
      <c r="H202" s="617">
        <f>B202*'APV CALCULATION '!$Q$14</f>
        <v>4736.8521012773745</v>
      </c>
      <c r="I202" s="617">
        <f>((SUM(G202:H202)/(1+'APV CALCULATION '!$I$31^5))+F202/(1+'APV CALCULATION '!$H$31^4)+(E202/(1+'APV CALCULATION '!$G$31^3)+(D202/(1+'APV CALCULATION '!$F$31)^2)+(C202/(1+'APV CALCULATION '!$E$31))))</f>
        <v>5665.9123803003204</v>
      </c>
      <c r="J202" s="617">
        <f>I202+'APV CALCULATION '!$C$45</f>
        <v>107777.64697790389</v>
      </c>
      <c r="L202" s="6"/>
      <c r="N202"/>
    </row>
    <row r="203" spans="2:14">
      <c r="B203" s="614">
        <f t="shared" ref="B203:B266" si="8">B202+0.1%</f>
        <v>0.22900000000000012</v>
      </c>
      <c r="C203" s="617">
        <f>('Coverage ratios'!$R$7*B203)/(1+'Coverage ratios'!$R$9)</f>
        <v>281.99668065326205</v>
      </c>
      <c r="D203" s="617">
        <f>('Coverage ratios'!$R$17*B203)/((1+'Coverage ratios'!$R$19)^2)</f>
        <v>194.57829786532159</v>
      </c>
      <c r="E203" s="617">
        <f>('Coverage ratios'!$R$27*B203)/((1+'Coverage ratios'!$R$29)^3)</f>
        <v>185.4498835293052</v>
      </c>
      <c r="F203" s="617">
        <f>('Coverage ratios'!$R$37*B203)/((1+'Coverage ratios'!$R$39)^4)</f>
        <v>158.63734658373994</v>
      </c>
      <c r="G203" s="617">
        <f>('Coverage ratios'!$R$47*B203)/((1+'Coverage ratios'!$R$49)^5)</f>
        <v>135.3460780953852</v>
      </c>
      <c r="H203" s="617">
        <f>B203*'APV CALCULATION '!$Q$14</f>
        <v>4757.6277683882399</v>
      </c>
      <c r="I203" s="617">
        <f>((SUM(G203:H203)/(1+'APV CALCULATION '!$I$31^5))+F203/(1+'APV CALCULATION '!$H$31^4)+(E203/(1+'APV CALCULATION '!$G$31^3)+(D203/(1+'APV CALCULATION '!$F$31)^2)+(C203/(1+'APV CALCULATION '!$E$31))))</f>
        <v>5690.762873196375</v>
      </c>
      <c r="J203" s="617">
        <f>I203+'APV CALCULATION '!$C$45</f>
        <v>107802.49747079995</v>
      </c>
      <c r="L203" s="6"/>
      <c r="N203"/>
    </row>
    <row r="204" spans="2:14">
      <c r="B204" s="614">
        <f t="shared" si="8"/>
        <v>0.23000000000000012</v>
      </c>
      <c r="C204" s="617">
        <f>('Coverage ratios'!$R$7*B204)/(1+'Coverage ratios'!$R$9)</f>
        <v>283.22810720633299</v>
      </c>
      <c r="D204" s="617">
        <f>('Coverage ratios'!$R$17*B204)/((1+'Coverage ratios'!$R$19)^2)</f>
        <v>195.42798475556316</v>
      </c>
      <c r="E204" s="617">
        <f>('Coverage ratios'!$R$27*B204)/((1+'Coverage ratios'!$R$29)^3)</f>
        <v>186.25970834821047</v>
      </c>
      <c r="F204" s="617">
        <f>('Coverage ratios'!$R$37*B204)/((1+'Coverage ratios'!$R$39)^4)</f>
        <v>159.33008608847243</v>
      </c>
      <c r="G204" s="617">
        <f>('Coverage ratios'!$R$47*B204)/((1+'Coverage ratios'!$R$49)^5)</f>
        <v>135.93710900409866</v>
      </c>
      <c r="H204" s="617">
        <f>B204*'APV CALCULATION '!$Q$14</f>
        <v>4778.4034354991054</v>
      </c>
      <c r="I204" s="617">
        <f>((SUM(G204:H204)/(1+'APV CALCULATION '!$I$31^5))+F204/(1+'APV CALCULATION '!$H$31^4)+(E204/(1+'APV CALCULATION '!$G$31^3)+(D204/(1+'APV CALCULATION '!$F$31)^2)+(C204/(1+'APV CALCULATION '!$E$31))))</f>
        <v>5715.6133660924297</v>
      </c>
      <c r="J204" s="617">
        <f>I204+'APV CALCULATION '!$C$45</f>
        <v>107827.347963696</v>
      </c>
      <c r="L204" s="6"/>
      <c r="N204"/>
    </row>
    <row r="205" spans="2:14">
      <c r="B205" s="614">
        <f t="shared" si="8"/>
        <v>0.23100000000000012</v>
      </c>
      <c r="C205" s="617">
        <f>('Coverage ratios'!$R$7*B205)/(1+'Coverage ratios'!$R$9)</f>
        <v>284.459533759404</v>
      </c>
      <c r="D205" s="617">
        <f>('Coverage ratios'!$R$17*B205)/((1+'Coverage ratios'!$R$19)^2)</f>
        <v>196.27767164580473</v>
      </c>
      <c r="E205" s="617">
        <f>('Coverage ratios'!$R$27*B205)/((1+'Coverage ratios'!$R$29)^3)</f>
        <v>187.06953316711574</v>
      </c>
      <c r="F205" s="617">
        <f>('Coverage ratios'!$R$37*B205)/((1+'Coverage ratios'!$R$39)^4)</f>
        <v>160.02282559320491</v>
      </c>
      <c r="G205" s="617">
        <f>('Coverage ratios'!$R$47*B205)/((1+'Coverage ratios'!$R$49)^5)</f>
        <v>136.52813991281215</v>
      </c>
      <c r="H205" s="617">
        <f>B205*'APV CALCULATION '!$Q$14</f>
        <v>4799.1791026099718</v>
      </c>
      <c r="I205" s="617">
        <f>((SUM(G205:H205)/(1+'APV CALCULATION '!$I$31^5))+F205/(1+'APV CALCULATION '!$H$31^4)+(E205/(1+'APV CALCULATION '!$G$31^3)+(D205/(1+'APV CALCULATION '!$F$31)^2)+(C205/(1+'APV CALCULATION '!$E$31))))</f>
        <v>5740.4638589884844</v>
      </c>
      <c r="J205" s="617">
        <f>I205+'APV CALCULATION '!$C$45</f>
        <v>107852.19845659206</v>
      </c>
      <c r="L205" s="6"/>
      <c r="N205"/>
    </row>
    <row r="206" spans="2:14">
      <c r="B206" s="614">
        <f t="shared" si="8"/>
        <v>0.23200000000000012</v>
      </c>
      <c r="C206" s="617">
        <f>('Coverage ratios'!$R$7*B206)/(1+'Coverage ratios'!$R$9)</f>
        <v>285.69096031247506</v>
      </c>
      <c r="D206" s="617">
        <f>('Coverage ratios'!$R$17*B206)/((1+'Coverage ratios'!$R$19)^2)</f>
        <v>197.12735853604633</v>
      </c>
      <c r="E206" s="617">
        <f>('Coverage ratios'!$R$27*B206)/((1+'Coverage ratios'!$R$29)^3)</f>
        <v>187.87935798602098</v>
      </c>
      <c r="F206" s="617">
        <f>('Coverage ratios'!$R$37*B206)/((1+'Coverage ratios'!$R$39)^4)</f>
        <v>160.7155650979374</v>
      </c>
      <c r="G206" s="617">
        <f>('Coverage ratios'!$R$47*B206)/((1+'Coverage ratios'!$R$49)^5)</f>
        <v>137.11917082152561</v>
      </c>
      <c r="H206" s="617">
        <f>B206*'APV CALCULATION '!$Q$14</f>
        <v>4819.9547697208372</v>
      </c>
      <c r="I206" s="617">
        <f>((SUM(G206:H206)/(1+'APV CALCULATION '!$I$31^5))+F206/(1+'APV CALCULATION '!$H$31^4)+(E206/(1+'APV CALCULATION '!$G$31^3)+(D206/(1+'APV CALCULATION '!$F$31)^2)+(C206/(1+'APV CALCULATION '!$E$31))))</f>
        <v>5765.3143518845372</v>
      </c>
      <c r="J206" s="617">
        <f>I206+'APV CALCULATION '!$C$45</f>
        <v>107877.0489494881</v>
      </c>
      <c r="L206" s="6"/>
      <c r="N206"/>
    </row>
    <row r="207" spans="2:14">
      <c r="B207" s="614">
        <f t="shared" si="8"/>
        <v>0.23300000000000012</v>
      </c>
      <c r="C207" s="617">
        <f>('Coverage ratios'!$R$7*B207)/(1+'Coverage ratios'!$R$9)</f>
        <v>286.92238686554606</v>
      </c>
      <c r="D207" s="617">
        <f>('Coverage ratios'!$R$17*B207)/((1+'Coverage ratios'!$R$19)^2)</f>
        <v>197.97704542628793</v>
      </c>
      <c r="E207" s="617">
        <f>('Coverage ratios'!$R$27*B207)/((1+'Coverage ratios'!$R$29)^3)</f>
        <v>188.68918280492622</v>
      </c>
      <c r="F207" s="617">
        <f>('Coverage ratios'!$R$37*B207)/((1+'Coverage ratios'!$R$39)^4)</f>
        <v>161.40830460266992</v>
      </c>
      <c r="G207" s="617">
        <f>('Coverage ratios'!$R$47*B207)/((1+'Coverage ratios'!$R$49)^5)</f>
        <v>137.71020173023908</v>
      </c>
      <c r="H207" s="617">
        <f>B207*'APV CALCULATION '!$Q$14</f>
        <v>4840.7304368317027</v>
      </c>
      <c r="I207" s="617">
        <f>((SUM(G207:H207)/(1+'APV CALCULATION '!$I$31^5))+F207/(1+'APV CALCULATION '!$H$31^4)+(E207/(1+'APV CALCULATION '!$G$31^3)+(D207/(1+'APV CALCULATION '!$F$31)^2)+(C207/(1+'APV CALCULATION '!$E$31))))</f>
        <v>5790.1648447805919</v>
      </c>
      <c r="J207" s="617">
        <f>I207+'APV CALCULATION '!$C$45</f>
        <v>107901.89944238417</v>
      </c>
      <c r="L207" s="6"/>
      <c r="N207"/>
    </row>
    <row r="208" spans="2:14">
      <c r="B208" s="614">
        <f t="shared" si="8"/>
        <v>0.23400000000000012</v>
      </c>
      <c r="C208" s="617">
        <f>('Coverage ratios'!$R$7*B208)/(1+'Coverage ratios'!$R$9)</f>
        <v>288.15381341861706</v>
      </c>
      <c r="D208" s="617">
        <f>('Coverage ratios'!$R$17*B208)/((1+'Coverage ratios'!$R$19)^2)</f>
        <v>198.8267323165295</v>
      </c>
      <c r="E208" s="617">
        <f>('Coverage ratios'!$R$27*B208)/((1+'Coverage ratios'!$R$29)^3)</f>
        <v>189.49900762383149</v>
      </c>
      <c r="F208" s="617">
        <f>('Coverage ratios'!$R$37*B208)/((1+'Coverage ratios'!$R$39)^4)</f>
        <v>162.10104410740237</v>
      </c>
      <c r="G208" s="617">
        <f>('Coverage ratios'!$R$47*B208)/((1+'Coverage ratios'!$R$49)^5)</f>
        <v>138.30123263895257</v>
      </c>
      <c r="H208" s="617">
        <f>B208*'APV CALCULATION '!$Q$14</f>
        <v>4861.5061039425682</v>
      </c>
      <c r="I208" s="617">
        <f>((SUM(G208:H208)/(1+'APV CALCULATION '!$I$31^5))+F208/(1+'APV CALCULATION '!$H$31^4)+(E208/(1+'APV CALCULATION '!$G$31^3)+(D208/(1+'APV CALCULATION '!$F$31)^2)+(C208/(1+'APV CALCULATION '!$E$31))))</f>
        <v>5815.0153376766448</v>
      </c>
      <c r="J208" s="617">
        <f>I208+'APV CALCULATION '!$C$45</f>
        <v>107926.74993528021</v>
      </c>
      <c r="L208" s="6"/>
      <c r="N208"/>
    </row>
    <row r="209" spans="2:14">
      <c r="B209" s="614">
        <f t="shared" si="8"/>
        <v>0.23500000000000013</v>
      </c>
      <c r="C209" s="617">
        <f>('Coverage ratios'!$R$7*B209)/(1+'Coverage ratios'!$R$9)</f>
        <v>289.38523997168812</v>
      </c>
      <c r="D209" s="617">
        <f>('Coverage ratios'!$R$17*B209)/((1+'Coverage ratios'!$R$19)^2)</f>
        <v>199.67641920677107</v>
      </c>
      <c r="E209" s="617">
        <f>('Coverage ratios'!$R$27*B209)/((1+'Coverage ratios'!$R$29)^3)</f>
        <v>190.30883244273676</v>
      </c>
      <c r="F209" s="617">
        <f>('Coverage ratios'!$R$37*B209)/((1+'Coverage ratios'!$R$39)^4)</f>
        <v>162.79378361213486</v>
      </c>
      <c r="G209" s="617">
        <f>('Coverage ratios'!$R$47*B209)/((1+'Coverage ratios'!$R$49)^5)</f>
        <v>138.89226354766603</v>
      </c>
      <c r="H209" s="617">
        <f>B209*'APV CALCULATION '!$Q$14</f>
        <v>4882.2817710534346</v>
      </c>
      <c r="I209" s="617">
        <f>((SUM(G209:H209)/(1+'APV CALCULATION '!$I$31^5))+F209/(1+'APV CALCULATION '!$H$31^4)+(E209/(1+'APV CALCULATION '!$G$31^3)+(D209/(1+'APV CALCULATION '!$F$31)^2)+(C209/(1+'APV CALCULATION '!$E$31))))</f>
        <v>5839.8658305726995</v>
      </c>
      <c r="J209" s="617">
        <f>I209+'APV CALCULATION '!$C$45</f>
        <v>107951.60042817627</v>
      </c>
      <c r="L209" s="6"/>
      <c r="N209"/>
    </row>
    <row r="210" spans="2:14">
      <c r="B210" s="614">
        <f t="shared" si="8"/>
        <v>0.23600000000000013</v>
      </c>
      <c r="C210" s="617">
        <f>('Coverage ratios'!$R$7*B210)/(1+'Coverage ratios'!$R$9)</f>
        <v>290.61666652475913</v>
      </c>
      <c r="D210" s="617">
        <f>('Coverage ratios'!$R$17*B210)/((1+'Coverage ratios'!$R$19)^2)</f>
        <v>200.52610609701267</v>
      </c>
      <c r="E210" s="617">
        <f>('Coverage ratios'!$R$27*B210)/((1+'Coverage ratios'!$R$29)^3)</f>
        <v>191.11865726164203</v>
      </c>
      <c r="F210" s="617">
        <f>('Coverage ratios'!$R$37*B210)/((1+'Coverage ratios'!$R$39)^4)</f>
        <v>163.48652311686737</v>
      </c>
      <c r="G210" s="617">
        <f>('Coverage ratios'!$R$47*B210)/((1+'Coverage ratios'!$R$49)^5)</f>
        <v>139.4832944563795</v>
      </c>
      <c r="H210" s="617">
        <f>B210*'APV CALCULATION '!$Q$14</f>
        <v>4903.0574381643</v>
      </c>
      <c r="I210" s="617">
        <f>((SUM(G210:H210)/(1+'APV CALCULATION '!$I$31^5))+F210/(1+'APV CALCULATION '!$H$31^4)+(E210/(1+'APV CALCULATION '!$G$31^3)+(D210/(1+'APV CALCULATION '!$F$31)^2)+(C210/(1+'APV CALCULATION '!$E$31))))</f>
        <v>5864.7163234687532</v>
      </c>
      <c r="J210" s="617">
        <f>I210+'APV CALCULATION '!$C$45</f>
        <v>107976.45092107232</v>
      </c>
      <c r="L210" s="6"/>
      <c r="N210"/>
    </row>
    <row r="211" spans="2:14">
      <c r="B211" s="614">
        <f t="shared" si="8"/>
        <v>0.23700000000000013</v>
      </c>
      <c r="C211" s="617">
        <f>('Coverage ratios'!$R$7*B211)/(1+'Coverage ratios'!$R$9)</f>
        <v>291.84809307783013</v>
      </c>
      <c r="D211" s="617">
        <f>('Coverage ratios'!$R$17*B211)/((1+'Coverage ratios'!$R$19)^2)</f>
        <v>201.37579298725424</v>
      </c>
      <c r="E211" s="617">
        <f>('Coverage ratios'!$R$27*B211)/((1+'Coverage ratios'!$R$29)^3)</f>
        <v>191.9284820805473</v>
      </c>
      <c r="F211" s="617">
        <f>('Coverage ratios'!$R$37*B211)/((1+'Coverage ratios'!$R$39)^4)</f>
        <v>164.17926262159986</v>
      </c>
      <c r="G211" s="617">
        <f>('Coverage ratios'!$R$47*B211)/((1+'Coverage ratios'!$R$49)^5)</f>
        <v>140.07432536509299</v>
      </c>
      <c r="H211" s="617">
        <f>B211*'APV CALCULATION '!$Q$14</f>
        <v>4923.8331052751655</v>
      </c>
      <c r="I211" s="617">
        <f>((SUM(G211:H211)/(1+'APV CALCULATION '!$I$31^5))+F211/(1+'APV CALCULATION '!$H$31^4)+(E211/(1+'APV CALCULATION '!$G$31^3)+(D211/(1+'APV CALCULATION '!$F$31)^2)+(C211/(1+'APV CALCULATION '!$E$31))))</f>
        <v>5889.566816364807</v>
      </c>
      <c r="J211" s="617">
        <f>I211+'APV CALCULATION '!$C$45</f>
        <v>108001.30141396838</v>
      </c>
      <c r="L211" s="6"/>
      <c r="N211"/>
    </row>
    <row r="212" spans="2:14">
      <c r="B212" s="614">
        <f t="shared" si="8"/>
        <v>0.23800000000000013</v>
      </c>
      <c r="C212" s="617">
        <f>('Coverage ratios'!$R$7*B212)/(1+'Coverage ratios'!$R$9)</f>
        <v>293.07951963090119</v>
      </c>
      <c r="D212" s="617">
        <f>('Coverage ratios'!$R$17*B212)/((1+'Coverage ratios'!$R$19)^2)</f>
        <v>202.22547987749581</v>
      </c>
      <c r="E212" s="617">
        <f>('Coverage ratios'!$R$27*B212)/((1+'Coverage ratios'!$R$29)^3)</f>
        <v>192.73830689945257</v>
      </c>
      <c r="F212" s="617">
        <f>('Coverage ratios'!$R$37*B212)/((1+'Coverage ratios'!$R$39)^4)</f>
        <v>164.87200212633235</v>
      </c>
      <c r="G212" s="617">
        <f>('Coverage ratios'!$R$47*B212)/((1+'Coverage ratios'!$R$49)^5)</f>
        <v>140.66535627380645</v>
      </c>
      <c r="H212" s="617">
        <f>B212*'APV CALCULATION '!$Q$14</f>
        <v>4944.608772386031</v>
      </c>
      <c r="I212" s="617">
        <f>((SUM(G212:H212)/(1+'APV CALCULATION '!$I$31^5))+F212/(1+'APV CALCULATION '!$H$31^4)+(E212/(1+'APV CALCULATION '!$G$31^3)+(D212/(1+'APV CALCULATION '!$F$31)^2)+(C212/(1+'APV CALCULATION '!$E$31))))</f>
        <v>5914.4173092608617</v>
      </c>
      <c r="J212" s="617">
        <f>I212+'APV CALCULATION '!$C$45</f>
        <v>108026.15190686443</v>
      </c>
      <c r="L212" s="6"/>
      <c r="N212"/>
    </row>
    <row r="213" spans="2:14">
      <c r="B213" s="614">
        <f t="shared" si="8"/>
        <v>0.23900000000000013</v>
      </c>
      <c r="C213" s="617">
        <f>('Coverage ratios'!$R$7*B213)/(1+'Coverage ratios'!$R$9)</f>
        <v>294.31094618397213</v>
      </c>
      <c r="D213" s="617">
        <f>('Coverage ratios'!$R$17*B213)/((1+'Coverage ratios'!$R$19)^2)</f>
        <v>203.07516676773739</v>
      </c>
      <c r="E213" s="617">
        <f>('Coverage ratios'!$R$27*B213)/((1+'Coverage ratios'!$R$29)^3)</f>
        <v>193.54813171835784</v>
      </c>
      <c r="F213" s="617">
        <f>('Coverage ratios'!$R$37*B213)/((1+'Coverage ratios'!$R$39)^4)</f>
        <v>165.56474163106483</v>
      </c>
      <c r="G213" s="617">
        <f>('Coverage ratios'!$R$47*B213)/((1+'Coverage ratios'!$R$49)^5)</f>
        <v>141.25638718251992</v>
      </c>
      <c r="H213" s="617">
        <f>B213*'APV CALCULATION '!$Q$14</f>
        <v>4965.3844394968974</v>
      </c>
      <c r="I213" s="617">
        <f>((SUM(G213:H213)/(1+'APV CALCULATION '!$I$31^5))+F213/(1+'APV CALCULATION '!$H$31^4)+(E213/(1+'APV CALCULATION '!$G$31^3)+(D213/(1+'APV CALCULATION '!$F$31)^2)+(C213/(1+'APV CALCULATION '!$E$31))))</f>
        <v>5939.2678021569154</v>
      </c>
      <c r="J213" s="617">
        <f>I213+'APV CALCULATION '!$C$45</f>
        <v>108051.00239976049</v>
      </c>
      <c r="L213" s="6"/>
      <c r="N213"/>
    </row>
    <row r="214" spans="2:14">
      <c r="B214" s="614">
        <f t="shared" si="8"/>
        <v>0.24000000000000013</v>
      </c>
      <c r="C214" s="617">
        <f>('Coverage ratios'!$R$7*B214)/(1+'Coverage ratios'!$R$9)</f>
        <v>295.54237273704314</v>
      </c>
      <c r="D214" s="617">
        <f>('Coverage ratios'!$R$17*B214)/((1+'Coverage ratios'!$R$19)^2)</f>
        <v>203.92485365797899</v>
      </c>
      <c r="E214" s="617">
        <f>('Coverage ratios'!$R$27*B214)/((1+'Coverage ratios'!$R$29)^3)</f>
        <v>194.35795653726311</v>
      </c>
      <c r="F214" s="617">
        <f>('Coverage ratios'!$R$37*B214)/((1+'Coverage ratios'!$R$39)^4)</f>
        <v>166.25748113579732</v>
      </c>
      <c r="G214" s="617">
        <f>('Coverage ratios'!$R$47*B214)/((1+'Coverage ratios'!$R$49)^5)</f>
        <v>141.84741809123341</v>
      </c>
      <c r="H214" s="617">
        <f>B214*'APV CALCULATION '!$Q$14</f>
        <v>4986.1601066077628</v>
      </c>
      <c r="I214" s="617">
        <f>((SUM(G214:H214)/(1+'APV CALCULATION '!$I$31^5))+F214/(1+'APV CALCULATION '!$H$31^4)+(E214/(1+'APV CALCULATION '!$G$31^3)+(D214/(1+'APV CALCULATION '!$F$31)^2)+(C214/(1+'APV CALCULATION '!$E$31))))</f>
        <v>5964.1182950529692</v>
      </c>
      <c r="J214" s="617">
        <f>I214+'APV CALCULATION '!$C$45</f>
        <v>108075.85289265655</v>
      </c>
      <c r="L214" s="6"/>
      <c r="N214"/>
    </row>
    <row r="215" spans="2:14">
      <c r="B215" s="614">
        <f t="shared" si="8"/>
        <v>0.24100000000000013</v>
      </c>
      <c r="C215" s="617">
        <f>('Coverage ratios'!$R$7*B215)/(1+'Coverage ratios'!$R$9)</f>
        <v>296.77379929011414</v>
      </c>
      <c r="D215" s="617">
        <f>('Coverage ratios'!$R$17*B215)/((1+'Coverage ratios'!$R$19)^2)</f>
        <v>204.77454054822056</v>
      </c>
      <c r="E215" s="617">
        <f>('Coverage ratios'!$R$27*B215)/((1+'Coverage ratios'!$R$29)^3)</f>
        <v>195.16778135616835</v>
      </c>
      <c r="F215" s="617">
        <f>('Coverage ratios'!$R$37*B215)/((1+'Coverage ratios'!$R$39)^4)</f>
        <v>166.95022064052981</v>
      </c>
      <c r="G215" s="617">
        <f>('Coverage ratios'!$R$47*B215)/((1+'Coverage ratios'!$R$49)^5)</f>
        <v>142.43844899994687</v>
      </c>
      <c r="H215" s="617">
        <f>B215*'APV CALCULATION '!$Q$14</f>
        <v>5006.9357737186283</v>
      </c>
      <c r="I215" s="617">
        <f>((SUM(G215:H215)/(1+'APV CALCULATION '!$I$31^5))+F215/(1+'APV CALCULATION '!$H$31^4)+(E215/(1+'APV CALCULATION '!$G$31^3)+(D215/(1+'APV CALCULATION '!$F$31)^2)+(C215/(1+'APV CALCULATION '!$E$31))))</f>
        <v>5988.968787949023</v>
      </c>
      <c r="J215" s="617">
        <f>I215+'APV CALCULATION '!$C$45</f>
        <v>108100.7033855526</v>
      </c>
      <c r="L215" s="6"/>
      <c r="N215"/>
    </row>
    <row r="216" spans="2:14">
      <c r="B216" s="614">
        <f t="shared" si="8"/>
        <v>0.24200000000000013</v>
      </c>
      <c r="C216" s="617">
        <f>('Coverage ratios'!$R$7*B216)/(1+'Coverage ratios'!$R$9)</f>
        <v>298.0052258431852</v>
      </c>
      <c r="D216" s="617">
        <f>('Coverage ratios'!$R$17*B216)/((1+'Coverage ratios'!$R$19)^2)</f>
        <v>205.62422743846213</v>
      </c>
      <c r="E216" s="617">
        <f>('Coverage ratios'!$R$27*B216)/((1+'Coverage ratios'!$R$29)^3)</f>
        <v>195.97760617507359</v>
      </c>
      <c r="F216" s="617">
        <f>('Coverage ratios'!$R$37*B216)/((1+'Coverage ratios'!$R$39)^4)</f>
        <v>167.64296014526229</v>
      </c>
      <c r="G216" s="617">
        <f>('Coverage ratios'!$R$47*B216)/((1+'Coverage ratios'!$R$49)^5)</f>
        <v>143.02947990866036</v>
      </c>
      <c r="H216" s="617">
        <f>B216*'APV CALCULATION '!$Q$14</f>
        <v>5027.7114408294938</v>
      </c>
      <c r="I216" s="617">
        <f>((SUM(G216:H216)/(1+'APV CALCULATION '!$I$31^5))+F216/(1+'APV CALCULATION '!$H$31^4)+(E216/(1+'APV CALCULATION '!$G$31^3)+(D216/(1+'APV CALCULATION '!$F$31)^2)+(C216/(1+'APV CALCULATION '!$E$31))))</f>
        <v>6013.8192808450785</v>
      </c>
      <c r="J216" s="617">
        <f>I216+'APV CALCULATION '!$C$45</f>
        <v>108125.55387844866</v>
      </c>
      <c r="L216" s="6"/>
      <c r="N216"/>
    </row>
    <row r="217" spans="2:14">
      <c r="B217" s="614">
        <f t="shared" si="8"/>
        <v>0.24300000000000013</v>
      </c>
      <c r="C217" s="617">
        <f>('Coverage ratios'!$R$7*B217)/(1+'Coverage ratios'!$R$9)</f>
        <v>299.2366523962562</v>
      </c>
      <c r="D217" s="617">
        <f>('Coverage ratios'!$R$17*B217)/((1+'Coverage ratios'!$R$19)^2)</f>
        <v>206.4739143287037</v>
      </c>
      <c r="E217" s="617">
        <f>('Coverage ratios'!$R$27*B217)/((1+'Coverage ratios'!$R$29)^3)</f>
        <v>196.78743099397886</v>
      </c>
      <c r="F217" s="617">
        <f>('Coverage ratios'!$R$37*B217)/((1+'Coverage ratios'!$R$39)^4)</f>
        <v>168.33569964999478</v>
      </c>
      <c r="G217" s="617">
        <f>('Coverage ratios'!$R$47*B217)/((1+'Coverage ratios'!$R$49)^5)</f>
        <v>143.62051081737383</v>
      </c>
      <c r="H217" s="617">
        <f>B217*'APV CALCULATION '!$Q$14</f>
        <v>5048.4871079403601</v>
      </c>
      <c r="I217" s="617">
        <f>((SUM(G217:H217)/(1+'APV CALCULATION '!$I$31^5))+F217/(1+'APV CALCULATION '!$H$31^4)+(E217/(1+'APV CALCULATION '!$G$31^3)+(D217/(1+'APV CALCULATION '!$F$31)^2)+(C217/(1+'APV CALCULATION '!$E$31))))</f>
        <v>6038.6697737411323</v>
      </c>
      <c r="J217" s="617">
        <f>I217+'APV CALCULATION '!$C$45</f>
        <v>108150.4043713447</v>
      </c>
      <c r="L217" s="6"/>
      <c r="N217"/>
    </row>
    <row r="218" spans="2:14">
      <c r="B218" s="614">
        <f t="shared" si="8"/>
        <v>0.24400000000000013</v>
      </c>
      <c r="C218" s="617">
        <f>('Coverage ratios'!$R$7*B218)/(1+'Coverage ratios'!$R$9)</f>
        <v>300.46807894932721</v>
      </c>
      <c r="D218" s="617">
        <f>('Coverage ratios'!$R$17*B218)/((1+'Coverage ratios'!$R$19)^2)</f>
        <v>207.32360121894527</v>
      </c>
      <c r="E218" s="617">
        <f>('Coverage ratios'!$R$27*B218)/((1+'Coverage ratios'!$R$29)^3)</f>
        <v>197.59725581288413</v>
      </c>
      <c r="F218" s="617">
        <f>('Coverage ratios'!$R$37*B218)/((1+'Coverage ratios'!$R$39)^4)</f>
        <v>169.02843915472727</v>
      </c>
      <c r="G218" s="617">
        <f>('Coverage ratios'!$R$47*B218)/((1+'Coverage ratios'!$R$49)^5)</f>
        <v>144.21154172608729</v>
      </c>
      <c r="H218" s="617">
        <f>B218*'APV CALCULATION '!$Q$14</f>
        <v>5069.2627750512256</v>
      </c>
      <c r="I218" s="617">
        <f>((SUM(G218:H218)/(1+'APV CALCULATION '!$I$31^5))+F218/(1+'APV CALCULATION '!$H$31^4)+(E218/(1+'APV CALCULATION '!$G$31^3)+(D218/(1+'APV CALCULATION '!$F$31)^2)+(C218/(1+'APV CALCULATION '!$E$31))))</f>
        <v>6063.520266637187</v>
      </c>
      <c r="J218" s="617">
        <f>I218+'APV CALCULATION '!$C$45</f>
        <v>108175.25486424076</v>
      </c>
      <c r="L218" s="6"/>
      <c r="N218"/>
    </row>
    <row r="219" spans="2:14">
      <c r="B219" s="614">
        <f t="shared" si="8"/>
        <v>0.24500000000000013</v>
      </c>
      <c r="C219" s="617">
        <f>('Coverage ratios'!$R$7*B219)/(1+'Coverage ratios'!$R$9)</f>
        <v>301.69950550239827</v>
      </c>
      <c r="D219" s="617">
        <f>('Coverage ratios'!$R$17*B219)/((1+'Coverage ratios'!$R$19)^2)</f>
        <v>208.17328810918687</v>
      </c>
      <c r="E219" s="617">
        <f>('Coverage ratios'!$R$27*B219)/((1+'Coverage ratios'!$R$29)^3)</f>
        <v>198.4070806317894</v>
      </c>
      <c r="F219" s="617">
        <f>('Coverage ratios'!$R$37*B219)/((1+'Coverage ratios'!$R$39)^4)</f>
        <v>169.72117865945975</v>
      </c>
      <c r="G219" s="617">
        <f>('Coverage ratios'!$R$47*B219)/((1+'Coverage ratios'!$R$49)^5)</f>
        <v>144.80257263480078</v>
      </c>
      <c r="H219" s="617">
        <f>B219*'APV CALCULATION '!$Q$14</f>
        <v>5090.0384421620911</v>
      </c>
      <c r="I219" s="617">
        <f>((SUM(G219:H219)/(1+'APV CALCULATION '!$I$31^5))+F219/(1+'APV CALCULATION '!$H$31^4)+(E219/(1+'APV CALCULATION '!$G$31^3)+(D219/(1+'APV CALCULATION '!$F$31)^2)+(C219/(1+'APV CALCULATION '!$E$31))))</f>
        <v>6088.3707595332398</v>
      </c>
      <c r="J219" s="617">
        <f>I219+'APV CALCULATION '!$C$45</f>
        <v>108200.10535713681</v>
      </c>
      <c r="L219" s="6"/>
      <c r="N219"/>
    </row>
    <row r="220" spans="2:14">
      <c r="B220" s="614">
        <f t="shared" si="8"/>
        <v>0.24600000000000014</v>
      </c>
      <c r="C220" s="617">
        <f>('Coverage ratios'!$R$7*B220)/(1+'Coverage ratios'!$R$9)</f>
        <v>302.93093205546927</v>
      </c>
      <c r="D220" s="617">
        <f>('Coverage ratios'!$R$17*B220)/((1+'Coverage ratios'!$R$19)^2)</f>
        <v>209.02297499942844</v>
      </c>
      <c r="E220" s="617">
        <f>('Coverage ratios'!$R$27*B220)/((1+'Coverage ratios'!$R$29)^3)</f>
        <v>199.21690545069467</v>
      </c>
      <c r="F220" s="617">
        <f>('Coverage ratios'!$R$37*B220)/((1+'Coverage ratios'!$R$39)^4)</f>
        <v>170.41391816419227</v>
      </c>
      <c r="G220" s="617">
        <f>('Coverage ratios'!$R$47*B220)/((1+'Coverage ratios'!$R$49)^5)</f>
        <v>145.39360354351425</v>
      </c>
      <c r="H220" s="617">
        <f>B220*'APV CALCULATION '!$Q$14</f>
        <v>5110.8141092729566</v>
      </c>
      <c r="I220" s="617">
        <f>((SUM(G220:H220)/(1+'APV CALCULATION '!$I$31^5))+F220/(1+'APV CALCULATION '!$H$31^4)+(E220/(1+'APV CALCULATION '!$G$31^3)+(D220/(1+'APV CALCULATION '!$F$31)^2)+(C220/(1+'APV CALCULATION '!$E$31))))</f>
        <v>6113.2212524292945</v>
      </c>
      <c r="J220" s="617">
        <f>I220+'APV CALCULATION '!$C$45</f>
        <v>108224.95585003287</v>
      </c>
      <c r="L220" s="6"/>
      <c r="N220"/>
    </row>
    <row r="221" spans="2:14">
      <c r="B221" s="614">
        <f t="shared" si="8"/>
        <v>0.24700000000000014</v>
      </c>
      <c r="C221" s="617">
        <f>('Coverage ratios'!$R$7*B221)/(1+'Coverage ratios'!$R$9)</f>
        <v>304.16235860854027</v>
      </c>
      <c r="D221" s="617">
        <f>('Coverage ratios'!$R$17*B221)/((1+'Coverage ratios'!$R$19)^2)</f>
        <v>209.87266188967001</v>
      </c>
      <c r="E221" s="617">
        <f>('Coverage ratios'!$R$27*B221)/((1+'Coverage ratios'!$R$29)^3)</f>
        <v>200.02673026959994</v>
      </c>
      <c r="F221" s="617">
        <f>('Coverage ratios'!$R$37*B221)/((1+'Coverage ratios'!$R$39)^4)</f>
        <v>171.10665766892475</v>
      </c>
      <c r="G221" s="617">
        <f>('Coverage ratios'!$R$47*B221)/((1+'Coverage ratios'!$R$49)^5)</f>
        <v>145.98463445222771</v>
      </c>
      <c r="H221" s="617">
        <f>B221*'APV CALCULATION '!$Q$14</f>
        <v>5131.589776383822</v>
      </c>
      <c r="I221" s="617">
        <f>((SUM(G221:H221)/(1+'APV CALCULATION '!$I$31^5))+F221/(1+'APV CALCULATION '!$H$31^4)+(E221/(1+'APV CALCULATION '!$G$31^3)+(D221/(1+'APV CALCULATION '!$F$31)^2)+(C221/(1+'APV CALCULATION '!$E$31))))</f>
        <v>6138.0717453253474</v>
      </c>
      <c r="J221" s="617">
        <f>I221+'APV CALCULATION '!$C$45</f>
        <v>108249.80634292892</v>
      </c>
      <c r="L221" s="6"/>
      <c r="N221"/>
    </row>
    <row r="222" spans="2:14">
      <c r="B222" s="614">
        <f t="shared" si="8"/>
        <v>0.24800000000000014</v>
      </c>
      <c r="C222" s="617">
        <f>('Coverage ratios'!$R$7*B222)/(1+'Coverage ratios'!$R$9)</f>
        <v>305.39378516161128</v>
      </c>
      <c r="D222" s="617">
        <f>('Coverage ratios'!$R$17*B222)/((1+'Coverage ratios'!$R$19)^2)</f>
        <v>210.72234877991158</v>
      </c>
      <c r="E222" s="617">
        <f>('Coverage ratios'!$R$27*B222)/((1+'Coverage ratios'!$R$29)^3)</f>
        <v>200.83655508850521</v>
      </c>
      <c r="F222" s="617">
        <f>('Coverage ratios'!$R$37*B222)/((1+'Coverage ratios'!$R$39)^4)</f>
        <v>171.79939717365721</v>
      </c>
      <c r="G222" s="617">
        <f>('Coverage ratios'!$R$47*B222)/((1+'Coverage ratios'!$R$49)^5)</f>
        <v>146.5756653609412</v>
      </c>
      <c r="H222" s="617">
        <f>B222*'APV CALCULATION '!$Q$14</f>
        <v>5152.3654434946884</v>
      </c>
      <c r="I222" s="617">
        <f>((SUM(G222:H222)/(1+'APV CALCULATION '!$I$31^5))+F222/(1+'APV CALCULATION '!$H$31^4)+(E222/(1+'APV CALCULATION '!$G$31^3)+(D222/(1+'APV CALCULATION '!$F$31)^2)+(C222/(1+'APV CALCULATION '!$E$31))))</f>
        <v>6162.9222382214029</v>
      </c>
      <c r="J222" s="617">
        <f>I222+'APV CALCULATION '!$C$45</f>
        <v>108274.65683582498</v>
      </c>
      <c r="L222" s="6"/>
      <c r="N222"/>
    </row>
    <row r="223" spans="2:14">
      <c r="B223" s="614">
        <f t="shared" si="8"/>
        <v>0.24900000000000014</v>
      </c>
      <c r="C223" s="617">
        <f>('Coverage ratios'!$R$7*B223)/(1+'Coverage ratios'!$R$9)</f>
        <v>306.62521171468228</v>
      </c>
      <c r="D223" s="617">
        <f>('Coverage ratios'!$R$17*B223)/((1+'Coverage ratios'!$R$19)^2)</f>
        <v>211.57203567015318</v>
      </c>
      <c r="E223" s="617">
        <f>('Coverage ratios'!$R$27*B223)/((1+'Coverage ratios'!$R$29)^3)</f>
        <v>201.64637990741045</v>
      </c>
      <c r="F223" s="617">
        <f>('Coverage ratios'!$R$37*B223)/((1+'Coverage ratios'!$R$39)^4)</f>
        <v>172.49213667838973</v>
      </c>
      <c r="G223" s="617">
        <f>('Coverage ratios'!$R$47*B223)/((1+'Coverage ratios'!$R$49)^5)</f>
        <v>147.16669626965466</v>
      </c>
      <c r="H223" s="617">
        <f>B223*'APV CALCULATION '!$Q$14</f>
        <v>5173.1411106055539</v>
      </c>
      <c r="I223" s="617">
        <f>((SUM(G223:H223)/(1+'APV CALCULATION '!$I$31^5))+F223/(1+'APV CALCULATION '!$H$31^4)+(E223/(1+'APV CALCULATION '!$G$31^3)+(D223/(1+'APV CALCULATION '!$F$31)^2)+(C223/(1+'APV CALCULATION '!$E$31))))</f>
        <v>6187.7727311174558</v>
      </c>
      <c r="J223" s="617">
        <f>I223+'APV CALCULATION '!$C$45</f>
        <v>108299.50732872103</v>
      </c>
      <c r="L223" s="6"/>
      <c r="N223"/>
    </row>
    <row r="224" spans="2:14">
      <c r="B224" s="614">
        <f t="shared" si="8"/>
        <v>0.25000000000000011</v>
      </c>
      <c r="C224" s="617">
        <f>('Coverage ratios'!$R$7*B224)/(1+'Coverage ratios'!$R$9)</f>
        <v>307.85663826775323</v>
      </c>
      <c r="D224" s="617">
        <f>('Coverage ratios'!$R$17*B224)/((1+'Coverage ratios'!$R$19)^2)</f>
        <v>212.42172256039476</v>
      </c>
      <c r="E224" s="617">
        <f>('Coverage ratios'!$R$27*B224)/((1+'Coverage ratios'!$R$29)^3)</f>
        <v>202.45620472631569</v>
      </c>
      <c r="F224" s="617">
        <f>('Coverage ratios'!$R$37*B224)/((1+'Coverage ratios'!$R$39)^4)</f>
        <v>173.18487618312219</v>
      </c>
      <c r="G224" s="617">
        <f>('Coverage ratios'!$R$47*B224)/((1+'Coverage ratios'!$R$49)^5)</f>
        <v>147.75772717836813</v>
      </c>
      <c r="H224" s="617">
        <f>B224*'APV CALCULATION '!$Q$14</f>
        <v>5193.9167777164193</v>
      </c>
      <c r="I224" s="617">
        <f>((SUM(G224:H224)/(1+'APV CALCULATION '!$I$31^5))+F224/(1+'APV CALCULATION '!$H$31^4)+(E224/(1+'APV CALCULATION '!$G$31^3)+(D224/(1+'APV CALCULATION '!$F$31)^2)+(C224/(1+'APV CALCULATION '!$E$31))))</f>
        <v>6212.6232240135096</v>
      </c>
      <c r="J224" s="617">
        <f>I224+'APV CALCULATION '!$C$45</f>
        <v>108324.35782161709</v>
      </c>
      <c r="L224" s="6"/>
      <c r="N224"/>
    </row>
    <row r="225" spans="2:14">
      <c r="B225" s="614">
        <f t="shared" si="8"/>
        <v>0.25100000000000011</v>
      </c>
      <c r="C225" s="617">
        <f>('Coverage ratios'!$R$7*B225)/(1+'Coverage ratios'!$R$9)</f>
        <v>309.08806482082429</v>
      </c>
      <c r="D225" s="617">
        <f>('Coverage ratios'!$R$17*B225)/((1+'Coverage ratios'!$R$19)^2)</f>
        <v>213.27140945063633</v>
      </c>
      <c r="E225" s="617">
        <f>('Coverage ratios'!$R$27*B225)/((1+'Coverage ratios'!$R$29)^3)</f>
        <v>203.26602954522093</v>
      </c>
      <c r="F225" s="617">
        <f>('Coverage ratios'!$R$37*B225)/((1+'Coverage ratios'!$R$39)^4)</f>
        <v>173.87761568785467</v>
      </c>
      <c r="G225" s="617">
        <f>('Coverage ratios'!$R$47*B225)/((1+'Coverage ratios'!$R$49)^5)</f>
        <v>148.34875808708159</v>
      </c>
      <c r="H225" s="617">
        <f>B225*'APV CALCULATION '!$Q$14</f>
        <v>5214.6924448272848</v>
      </c>
      <c r="I225" s="617">
        <f>((SUM(G225:H225)/(1+'APV CALCULATION '!$I$31^5))+F225/(1+'APV CALCULATION '!$H$31^4)+(E225/(1+'APV CALCULATION '!$G$31^3)+(D225/(1+'APV CALCULATION '!$F$31)^2)+(C225/(1+'APV CALCULATION '!$E$31))))</f>
        <v>6237.4737169095633</v>
      </c>
      <c r="J225" s="617">
        <f>I225+'APV CALCULATION '!$C$45</f>
        <v>108349.20831451313</v>
      </c>
      <c r="L225" s="6"/>
      <c r="N225"/>
    </row>
    <row r="226" spans="2:14">
      <c r="B226" s="614">
        <f t="shared" si="8"/>
        <v>0.25200000000000011</v>
      </c>
      <c r="C226" s="617">
        <f>('Coverage ratios'!$R$7*B226)/(1+'Coverage ratios'!$R$9)</f>
        <v>310.31949137389529</v>
      </c>
      <c r="D226" s="617">
        <f>('Coverage ratios'!$R$17*B226)/((1+'Coverage ratios'!$R$19)^2)</f>
        <v>214.1210963408779</v>
      </c>
      <c r="E226" s="617">
        <f>('Coverage ratios'!$R$27*B226)/((1+'Coverage ratios'!$R$29)^3)</f>
        <v>204.0758543641262</v>
      </c>
      <c r="F226" s="617">
        <f>('Coverage ratios'!$R$37*B226)/((1+'Coverage ratios'!$R$39)^4)</f>
        <v>174.57035519258719</v>
      </c>
      <c r="G226" s="617">
        <f>('Coverage ratios'!$R$47*B226)/((1+'Coverage ratios'!$R$49)^5)</f>
        <v>148.93978899579506</v>
      </c>
      <c r="H226" s="617">
        <f>B226*'APV CALCULATION '!$Q$14</f>
        <v>5235.4681119381503</v>
      </c>
      <c r="I226" s="617">
        <f>((SUM(G226:H226)/(1+'APV CALCULATION '!$I$31^5))+F226/(1+'APV CALCULATION '!$H$31^4)+(E226/(1+'APV CALCULATION '!$G$31^3)+(D226/(1+'APV CALCULATION '!$F$31)^2)+(C226/(1+'APV CALCULATION '!$E$31))))</f>
        <v>6262.324209805618</v>
      </c>
      <c r="J226" s="617">
        <f>I226+'APV CALCULATION '!$C$45</f>
        <v>108374.05880740919</v>
      </c>
      <c r="L226" s="6"/>
      <c r="N226"/>
    </row>
    <row r="227" spans="2:14">
      <c r="B227" s="614">
        <f t="shared" si="8"/>
        <v>0.25300000000000011</v>
      </c>
      <c r="C227" s="617">
        <f>('Coverage ratios'!$R$7*B227)/(1+'Coverage ratios'!$R$9)</f>
        <v>311.55091792696629</v>
      </c>
      <c r="D227" s="617">
        <f>('Coverage ratios'!$R$17*B227)/((1+'Coverage ratios'!$R$19)^2)</f>
        <v>214.9707832311195</v>
      </c>
      <c r="E227" s="617">
        <f>('Coverage ratios'!$R$27*B227)/((1+'Coverage ratios'!$R$29)^3)</f>
        <v>204.88567918303147</v>
      </c>
      <c r="F227" s="617">
        <f>('Coverage ratios'!$R$37*B227)/((1+'Coverage ratios'!$R$39)^4)</f>
        <v>175.26309469731964</v>
      </c>
      <c r="G227" s="617">
        <f>('Coverage ratios'!$R$47*B227)/((1+'Coverage ratios'!$R$49)^5)</f>
        <v>149.53081990450855</v>
      </c>
      <c r="H227" s="617">
        <f>B227*'APV CALCULATION '!$Q$14</f>
        <v>5256.2437790490158</v>
      </c>
      <c r="I227" s="617">
        <f>((SUM(G227:H227)/(1+'APV CALCULATION '!$I$31^5))+F227/(1+'APV CALCULATION '!$H$31^4)+(E227/(1+'APV CALCULATION '!$G$31^3)+(D227/(1+'APV CALCULATION '!$F$31)^2)+(C227/(1+'APV CALCULATION '!$E$31))))</f>
        <v>6287.1747027016709</v>
      </c>
      <c r="J227" s="617">
        <f>I227+'APV CALCULATION '!$C$45</f>
        <v>108398.90930030524</v>
      </c>
      <c r="L227" s="6"/>
      <c r="N227"/>
    </row>
    <row r="228" spans="2:14">
      <c r="B228" s="614">
        <f t="shared" si="8"/>
        <v>0.25400000000000011</v>
      </c>
      <c r="C228" s="617">
        <f>('Coverage ratios'!$R$7*B228)/(1+'Coverage ratios'!$R$9)</f>
        <v>312.78234448003735</v>
      </c>
      <c r="D228" s="617">
        <f>('Coverage ratios'!$R$17*B228)/((1+'Coverage ratios'!$R$19)^2)</f>
        <v>215.82047012136107</v>
      </c>
      <c r="E228" s="617">
        <f>('Coverage ratios'!$R$27*B228)/((1+'Coverage ratios'!$R$29)^3)</f>
        <v>205.69550400193674</v>
      </c>
      <c r="F228" s="617">
        <f>('Coverage ratios'!$R$37*B228)/((1+'Coverage ratios'!$R$39)^4)</f>
        <v>175.95583420205213</v>
      </c>
      <c r="G228" s="617">
        <f>('Coverage ratios'!$R$47*B228)/((1+'Coverage ratios'!$R$49)^5)</f>
        <v>150.12185081322201</v>
      </c>
      <c r="H228" s="617">
        <f>B228*'APV CALCULATION '!$Q$14</f>
        <v>5277.0194461598812</v>
      </c>
      <c r="I228" s="617">
        <f>((SUM(G228:H228)/(1+'APV CALCULATION '!$I$31^5))+F228/(1+'APV CALCULATION '!$H$31^4)+(E228/(1+'APV CALCULATION '!$G$31^3)+(D228/(1+'APV CALCULATION '!$F$31)^2)+(C228/(1+'APV CALCULATION '!$E$31))))</f>
        <v>6312.0251955977255</v>
      </c>
      <c r="J228" s="617">
        <f>I228+'APV CALCULATION '!$C$45</f>
        <v>108423.7597932013</v>
      </c>
      <c r="L228" s="6"/>
      <c r="N228"/>
    </row>
    <row r="229" spans="2:14">
      <c r="B229" s="614">
        <f t="shared" si="8"/>
        <v>0.25500000000000012</v>
      </c>
      <c r="C229" s="617">
        <f>('Coverage ratios'!$R$7*B229)/(1+'Coverage ratios'!$R$9)</f>
        <v>314.01377103310836</v>
      </c>
      <c r="D229" s="617">
        <f>('Coverage ratios'!$R$17*B229)/((1+'Coverage ratios'!$R$19)^2)</f>
        <v>216.67015701160264</v>
      </c>
      <c r="E229" s="617">
        <f>('Coverage ratios'!$R$27*B229)/((1+'Coverage ratios'!$R$29)^3)</f>
        <v>206.50532882084201</v>
      </c>
      <c r="F229" s="617">
        <f>('Coverage ratios'!$R$37*B229)/((1+'Coverage ratios'!$R$39)^4)</f>
        <v>176.64857370678465</v>
      </c>
      <c r="G229" s="617">
        <f>('Coverage ratios'!$R$47*B229)/((1+'Coverage ratios'!$R$49)^5)</f>
        <v>150.71288172193547</v>
      </c>
      <c r="H229" s="617">
        <f>B229*'APV CALCULATION '!$Q$14</f>
        <v>5297.7951132707476</v>
      </c>
      <c r="I229" s="617">
        <f>((SUM(G229:H229)/(1+'APV CALCULATION '!$I$31^5))+F229/(1+'APV CALCULATION '!$H$31^4)+(E229/(1+'APV CALCULATION '!$G$31^3)+(D229/(1+'APV CALCULATION '!$F$31)^2)+(C229/(1+'APV CALCULATION '!$E$31))))</f>
        <v>6336.8756884937802</v>
      </c>
      <c r="J229" s="617">
        <f>I229+'APV CALCULATION '!$C$45</f>
        <v>108448.61028609735</v>
      </c>
      <c r="L229" s="6"/>
      <c r="N229"/>
    </row>
    <row r="230" spans="2:14">
      <c r="B230" s="614">
        <f t="shared" si="8"/>
        <v>0.25600000000000012</v>
      </c>
      <c r="C230" s="617">
        <f>('Coverage ratios'!$R$7*B230)/(1+'Coverage ratios'!$R$9)</f>
        <v>315.24519758617936</v>
      </c>
      <c r="D230" s="617">
        <f>('Coverage ratios'!$R$17*B230)/((1+'Coverage ratios'!$R$19)^2)</f>
        <v>217.51984390184421</v>
      </c>
      <c r="E230" s="617">
        <f>('Coverage ratios'!$R$27*B230)/((1+'Coverage ratios'!$R$29)^3)</f>
        <v>207.31515363974728</v>
      </c>
      <c r="F230" s="617">
        <f>('Coverage ratios'!$R$37*B230)/((1+'Coverage ratios'!$R$39)^4)</f>
        <v>177.34131321151713</v>
      </c>
      <c r="G230" s="617">
        <f>('Coverage ratios'!$R$47*B230)/((1+'Coverage ratios'!$R$49)^5)</f>
        <v>151.30391263064897</v>
      </c>
      <c r="H230" s="617">
        <f>B230*'APV CALCULATION '!$Q$14</f>
        <v>5318.5707803816131</v>
      </c>
      <c r="I230" s="617">
        <f>((SUM(G230:H230)/(1+'APV CALCULATION '!$I$31^5))+F230/(1+'APV CALCULATION '!$H$31^4)+(E230/(1+'APV CALCULATION '!$G$31^3)+(D230/(1+'APV CALCULATION '!$F$31)^2)+(C230/(1+'APV CALCULATION '!$E$31))))</f>
        <v>6361.7261813898349</v>
      </c>
      <c r="J230" s="617">
        <f>I230+'APV CALCULATION '!$C$45</f>
        <v>108473.46077899341</v>
      </c>
      <c r="L230" s="6"/>
      <c r="N230"/>
    </row>
    <row r="231" spans="2:14">
      <c r="B231" s="614">
        <f t="shared" si="8"/>
        <v>0.25700000000000012</v>
      </c>
      <c r="C231" s="617">
        <f>('Coverage ratios'!$R$7*B231)/(1+'Coverage ratios'!$R$9)</f>
        <v>316.47662413925036</v>
      </c>
      <c r="D231" s="617">
        <f>('Coverage ratios'!$R$17*B231)/((1+'Coverage ratios'!$R$19)^2)</f>
        <v>218.36953079208581</v>
      </c>
      <c r="E231" s="617">
        <f>('Coverage ratios'!$R$27*B231)/((1+'Coverage ratios'!$R$29)^3)</f>
        <v>208.12497845865255</v>
      </c>
      <c r="F231" s="617">
        <f>('Coverage ratios'!$R$37*B231)/((1+'Coverage ratios'!$R$39)^4)</f>
        <v>178.03405271624959</v>
      </c>
      <c r="G231" s="617">
        <f>('Coverage ratios'!$R$47*B231)/((1+'Coverage ratios'!$R$49)^5)</f>
        <v>151.89494353936243</v>
      </c>
      <c r="H231" s="617">
        <f>B231*'APV CALCULATION '!$Q$14</f>
        <v>5339.3464474924785</v>
      </c>
      <c r="I231" s="617">
        <f>((SUM(G231:H231)/(1+'APV CALCULATION '!$I$31^5))+F231/(1+'APV CALCULATION '!$H$31^4)+(E231/(1+'APV CALCULATION '!$G$31^3)+(D231/(1+'APV CALCULATION '!$F$31)^2)+(C231/(1+'APV CALCULATION '!$E$31))))</f>
        <v>6386.5766742858877</v>
      </c>
      <c r="J231" s="617">
        <f>I231+'APV CALCULATION '!$C$45</f>
        <v>108498.31127188946</v>
      </c>
      <c r="L231" s="6"/>
      <c r="N231"/>
    </row>
    <row r="232" spans="2:14">
      <c r="B232" s="614">
        <f t="shared" si="8"/>
        <v>0.25800000000000012</v>
      </c>
      <c r="C232" s="617">
        <f>('Coverage ratios'!$R$7*B232)/(1+'Coverage ratios'!$R$9)</f>
        <v>317.70805069232136</v>
      </c>
      <c r="D232" s="617">
        <f>('Coverage ratios'!$R$17*B232)/((1+'Coverage ratios'!$R$19)^2)</f>
        <v>219.21921768232738</v>
      </c>
      <c r="E232" s="617">
        <f>('Coverage ratios'!$R$27*B232)/((1+'Coverage ratios'!$R$29)^3)</f>
        <v>208.93480327755782</v>
      </c>
      <c r="F232" s="617">
        <f>('Coverage ratios'!$R$37*B232)/((1+'Coverage ratios'!$R$39)^4)</f>
        <v>178.72679222098211</v>
      </c>
      <c r="G232" s="617">
        <f>('Coverage ratios'!$R$47*B232)/((1+'Coverage ratios'!$R$49)^5)</f>
        <v>152.48597444807589</v>
      </c>
      <c r="H232" s="617">
        <f>B232*'APV CALCULATION '!$Q$14</f>
        <v>5360.122114603344</v>
      </c>
      <c r="I232" s="617">
        <f>((SUM(G232:H232)/(1+'APV CALCULATION '!$I$31^5))+F232/(1+'APV CALCULATION '!$H$31^4)+(E232/(1+'APV CALCULATION '!$G$31^3)+(D232/(1+'APV CALCULATION '!$F$31)^2)+(C232/(1+'APV CALCULATION '!$E$31))))</f>
        <v>6411.4271671819406</v>
      </c>
      <c r="J232" s="617">
        <f>I232+'APV CALCULATION '!$C$45</f>
        <v>108523.16176478552</v>
      </c>
      <c r="L232" s="6"/>
      <c r="N232"/>
    </row>
    <row r="233" spans="2:14">
      <c r="B233" s="614">
        <f t="shared" si="8"/>
        <v>0.25900000000000012</v>
      </c>
      <c r="C233" s="617">
        <f>('Coverage ratios'!$R$7*B233)/(1+'Coverage ratios'!$R$9)</f>
        <v>318.93947724539237</v>
      </c>
      <c r="D233" s="617">
        <f>('Coverage ratios'!$R$17*B233)/((1+'Coverage ratios'!$R$19)^2)</f>
        <v>220.06890457256895</v>
      </c>
      <c r="E233" s="617">
        <f>('Coverage ratios'!$R$27*B233)/((1+'Coverage ratios'!$R$29)^3)</f>
        <v>209.74462809646306</v>
      </c>
      <c r="F233" s="617">
        <f>('Coverage ratios'!$R$37*B233)/((1+'Coverage ratios'!$R$39)^4)</f>
        <v>179.41953172571459</v>
      </c>
      <c r="G233" s="617">
        <f>('Coverage ratios'!$R$47*B233)/((1+'Coverage ratios'!$R$49)^5)</f>
        <v>153.07700535678936</v>
      </c>
      <c r="H233" s="617">
        <f>B233*'APV CALCULATION '!$Q$14</f>
        <v>5380.8977817142104</v>
      </c>
      <c r="I233" s="617">
        <f>((SUM(G233:H233)/(1+'APV CALCULATION '!$I$31^5))+F233/(1+'APV CALCULATION '!$H$31^4)+(E233/(1+'APV CALCULATION '!$G$31^3)+(D233/(1+'APV CALCULATION '!$F$31)^2)+(C233/(1+'APV CALCULATION '!$E$31))))</f>
        <v>6436.2776600779971</v>
      </c>
      <c r="J233" s="617">
        <f>I233+'APV CALCULATION '!$C$45</f>
        <v>108548.01225768156</v>
      </c>
      <c r="L233" s="6"/>
      <c r="N233"/>
    </row>
    <row r="234" spans="2:14">
      <c r="B234" s="614">
        <f t="shared" si="8"/>
        <v>0.26000000000000012</v>
      </c>
      <c r="C234" s="617">
        <f>('Coverage ratios'!$R$7*B234)/(1+'Coverage ratios'!$R$9)</f>
        <v>320.17090379846337</v>
      </c>
      <c r="D234" s="617">
        <f>('Coverage ratios'!$R$17*B234)/((1+'Coverage ratios'!$R$19)^2)</f>
        <v>220.91859146281053</v>
      </c>
      <c r="E234" s="617">
        <f>('Coverage ratios'!$R$27*B234)/((1+'Coverage ratios'!$R$29)^3)</f>
        <v>210.5544529153683</v>
      </c>
      <c r="F234" s="617">
        <f>('Coverage ratios'!$R$37*B234)/((1+'Coverage ratios'!$R$39)^4)</f>
        <v>180.11227123044708</v>
      </c>
      <c r="G234" s="617">
        <f>('Coverage ratios'!$R$47*B234)/((1+'Coverage ratios'!$R$49)^5)</f>
        <v>153.66803626550282</v>
      </c>
      <c r="H234" s="617">
        <f>B234*'APV CALCULATION '!$Q$14</f>
        <v>5401.6734488250759</v>
      </c>
      <c r="I234" s="617">
        <f>((SUM(G234:H234)/(1+'APV CALCULATION '!$I$31^5))+F234/(1+'APV CALCULATION '!$H$31^4)+(E234/(1+'APV CALCULATION '!$G$31^3)+(D234/(1+'APV CALCULATION '!$F$31)^2)+(C234/(1+'APV CALCULATION '!$E$31))))</f>
        <v>6461.12815297405</v>
      </c>
      <c r="J234" s="617">
        <f>I234+'APV CALCULATION '!$C$45</f>
        <v>108572.86275057762</v>
      </c>
      <c r="L234" s="6"/>
      <c r="N234"/>
    </row>
    <row r="235" spans="2:14">
      <c r="B235" s="614">
        <f t="shared" si="8"/>
        <v>0.26100000000000012</v>
      </c>
      <c r="C235" s="617">
        <f>('Coverage ratios'!$R$7*B235)/(1+'Coverage ratios'!$R$9)</f>
        <v>321.40233035153443</v>
      </c>
      <c r="D235" s="617">
        <f>('Coverage ratios'!$R$17*B235)/((1+'Coverage ratios'!$R$19)^2)</f>
        <v>221.7682783530521</v>
      </c>
      <c r="E235" s="617">
        <f>('Coverage ratios'!$R$27*B235)/((1+'Coverage ratios'!$R$29)^3)</f>
        <v>211.36427773427357</v>
      </c>
      <c r="F235" s="617">
        <f>('Coverage ratios'!$R$37*B235)/((1+'Coverage ratios'!$R$39)^4)</f>
        <v>180.80501073517959</v>
      </c>
      <c r="G235" s="617">
        <f>('Coverage ratios'!$R$47*B235)/((1+'Coverage ratios'!$R$49)^5)</f>
        <v>154.25906717421631</v>
      </c>
      <c r="H235" s="617">
        <f>B235*'APV CALCULATION '!$Q$14</f>
        <v>5422.4491159359413</v>
      </c>
      <c r="I235" s="617">
        <f>((SUM(G235:H235)/(1+'APV CALCULATION '!$I$31^5))+F235/(1+'APV CALCULATION '!$H$31^4)+(E235/(1+'APV CALCULATION '!$G$31^3)+(D235/(1+'APV CALCULATION '!$F$31)^2)+(C235/(1+'APV CALCULATION '!$E$31))))</f>
        <v>6485.9786458701037</v>
      </c>
      <c r="J235" s="617">
        <f>I235+'APV CALCULATION '!$C$45</f>
        <v>108597.71324347367</v>
      </c>
      <c r="L235" s="6"/>
      <c r="N235"/>
    </row>
    <row r="236" spans="2:14">
      <c r="B236" s="614">
        <f t="shared" si="8"/>
        <v>0.26200000000000012</v>
      </c>
      <c r="C236" s="617">
        <f>('Coverage ratios'!$R$7*B236)/(1+'Coverage ratios'!$R$9)</f>
        <v>322.63375690460543</v>
      </c>
      <c r="D236" s="617">
        <f>('Coverage ratios'!$R$17*B236)/((1+'Coverage ratios'!$R$19)^2)</f>
        <v>222.6179652432937</v>
      </c>
      <c r="E236" s="617">
        <f>('Coverage ratios'!$R$27*B236)/((1+'Coverage ratios'!$R$29)^3)</f>
        <v>212.17410255317884</v>
      </c>
      <c r="F236" s="617">
        <f>('Coverage ratios'!$R$37*B236)/((1+'Coverage ratios'!$R$39)^4)</f>
        <v>181.49775023991205</v>
      </c>
      <c r="G236" s="617">
        <f>('Coverage ratios'!$R$47*B236)/((1+'Coverage ratios'!$R$49)^5)</f>
        <v>154.85009808292978</v>
      </c>
      <c r="H236" s="617">
        <f>B236*'APV CALCULATION '!$Q$14</f>
        <v>5443.2247830468068</v>
      </c>
      <c r="I236" s="617">
        <f>((SUM(G236:H236)/(1+'APV CALCULATION '!$I$31^5))+F236/(1+'APV CALCULATION '!$H$31^4)+(E236/(1+'APV CALCULATION '!$G$31^3)+(D236/(1+'APV CALCULATION '!$F$31)^2)+(C236/(1+'APV CALCULATION '!$E$31))))</f>
        <v>6510.8291387661575</v>
      </c>
      <c r="J236" s="617">
        <f>I236+'APV CALCULATION '!$C$45</f>
        <v>108622.56373636973</v>
      </c>
      <c r="L236" s="6"/>
      <c r="N236"/>
    </row>
    <row r="237" spans="2:14">
      <c r="B237" s="614">
        <f t="shared" si="8"/>
        <v>0.26300000000000012</v>
      </c>
      <c r="C237" s="617">
        <f>('Coverage ratios'!$R$7*B237)/(1+'Coverage ratios'!$R$9)</f>
        <v>323.86518345767644</v>
      </c>
      <c r="D237" s="617">
        <f>('Coverage ratios'!$R$17*B237)/((1+'Coverage ratios'!$R$19)^2)</f>
        <v>223.46765213353527</v>
      </c>
      <c r="E237" s="617">
        <f>('Coverage ratios'!$R$27*B237)/((1+'Coverage ratios'!$R$29)^3)</f>
        <v>212.98392737208411</v>
      </c>
      <c r="F237" s="617">
        <f>('Coverage ratios'!$R$37*B237)/((1+'Coverage ratios'!$R$39)^4)</f>
        <v>182.19048974464454</v>
      </c>
      <c r="G237" s="617">
        <f>('Coverage ratios'!$R$47*B237)/((1+'Coverage ratios'!$R$49)^5)</f>
        <v>155.44112899164324</v>
      </c>
      <c r="H237" s="617">
        <f>B237*'APV CALCULATION '!$Q$14</f>
        <v>5464.0004501576732</v>
      </c>
      <c r="I237" s="617">
        <f>((SUM(G237:H237)/(1+'APV CALCULATION '!$I$31^5))+F237/(1+'APV CALCULATION '!$H$31^4)+(E237/(1+'APV CALCULATION '!$G$31^3)+(D237/(1+'APV CALCULATION '!$F$31)^2)+(C237/(1+'APV CALCULATION '!$E$31))))</f>
        <v>6535.6796316622131</v>
      </c>
      <c r="J237" s="617">
        <f>I237+'APV CALCULATION '!$C$45</f>
        <v>108647.41422926579</v>
      </c>
      <c r="L237" s="6"/>
      <c r="N237"/>
    </row>
    <row r="238" spans="2:14">
      <c r="B238" s="614">
        <f t="shared" si="8"/>
        <v>0.26400000000000012</v>
      </c>
      <c r="C238" s="617">
        <f>('Coverage ratios'!$R$7*B238)/(1+'Coverage ratios'!$R$9)</f>
        <v>325.0966100107475</v>
      </c>
      <c r="D238" s="617">
        <f>('Coverage ratios'!$R$17*B238)/((1+'Coverage ratios'!$R$19)^2)</f>
        <v>224.31733902377684</v>
      </c>
      <c r="E238" s="617">
        <f>('Coverage ratios'!$R$27*B238)/((1+'Coverage ratios'!$R$29)^3)</f>
        <v>213.79375219098938</v>
      </c>
      <c r="F238" s="617">
        <f>('Coverage ratios'!$R$37*B238)/((1+'Coverage ratios'!$R$39)^4)</f>
        <v>182.88322924937705</v>
      </c>
      <c r="G238" s="617">
        <f>('Coverage ratios'!$R$47*B238)/((1+'Coverage ratios'!$R$49)^5)</f>
        <v>156.03215990035673</v>
      </c>
      <c r="H238" s="617">
        <f>B238*'APV CALCULATION '!$Q$14</f>
        <v>5484.7761172685387</v>
      </c>
      <c r="I238" s="617">
        <f>((SUM(G238:H238)/(1+'APV CALCULATION '!$I$31^5))+F238/(1+'APV CALCULATION '!$H$31^4)+(E238/(1+'APV CALCULATION '!$G$31^3)+(D238/(1+'APV CALCULATION '!$F$31)^2)+(C238/(1+'APV CALCULATION '!$E$31))))</f>
        <v>6560.5301245582659</v>
      </c>
      <c r="J238" s="617">
        <f>I238+'APV CALCULATION '!$C$45</f>
        <v>108672.26472216184</v>
      </c>
      <c r="L238" s="6"/>
      <c r="N238"/>
    </row>
    <row r="239" spans="2:14">
      <c r="B239" s="614">
        <f t="shared" si="8"/>
        <v>0.26500000000000012</v>
      </c>
      <c r="C239" s="617">
        <f>('Coverage ratios'!$R$7*B239)/(1+'Coverage ratios'!$R$9)</f>
        <v>326.32803656381844</v>
      </c>
      <c r="D239" s="617">
        <f>('Coverage ratios'!$R$17*B239)/((1+'Coverage ratios'!$R$19)^2)</f>
        <v>225.16702591401841</v>
      </c>
      <c r="E239" s="617">
        <f>('Coverage ratios'!$R$27*B239)/((1+'Coverage ratios'!$R$29)^3)</f>
        <v>214.60357700989465</v>
      </c>
      <c r="F239" s="617">
        <f>('Coverage ratios'!$R$37*B239)/((1+'Coverage ratios'!$R$39)^4)</f>
        <v>183.57596875410954</v>
      </c>
      <c r="G239" s="617">
        <f>('Coverage ratios'!$R$47*B239)/((1+'Coverage ratios'!$R$49)^5)</f>
        <v>156.62319080907019</v>
      </c>
      <c r="H239" s="617">
        <f>B239*'APV CALCULATION '!$Q$14</f>
        <v>5505.5517843794041</v>
      </c>
      <c r="I239" s="617">
        <f>((SUM(G239:H239)/(1+'APV CALCULATION '!$I$31^5))+F239/(1+'APV CALCULATION '!$H$31^4)+(E239/(1+'APV CALCULATION '!$G$31^3)+(D239/(1+'APV CALCULATION '!$F$31)^2)+(C239/(1+'APV CALCULATION '!$E$31))))</f>
        <v>6585.3806174543197</v>
      </c>
      <c r="J239" s="617">
        <f>I239+'APV CALCULATION '!$C$45</f>
        <v>108697.11521505789</v>
      </c>
      <c r="L239" s="6"/>
      <c r="N239"/>
    </row>
    <row r="240" spans="2:14">
      <c r="B240" s="614">
        <f t="shared" si="8"/>
        <v>0.26600000000000013</v>
      </c>
      <c r="C240" s="617">
        <f>('Coverage ratios'!$R$7*B240)/(1+'Coverage ratios'!$R$9)</f>
        <v>327.55946311688945</v>
      </c>
      <c r="D240" s="617">
        <f>('Coverage ratios'!$R$17*B240)/((1+'Coverage ratios'!$R$19)^2)</f>
        <v>226.01671280426001</v>
      </c>
      <c r="E240" s="617">
        <f>('Coverage ratios'!$R$27*B240)/((1+'Coverage ratios'!$R$29)^3)</f>
        <v>215.41340182879992</v>
      </c>
      <c r="F240" s="617">
        <f>('Coverage ratios'!$R$37*B240)/((1+'Coverage ratios'!$R$39)^4)</f>
        <v>184.268708258842</v>
      </c>
      <c r="G240" s="617">
        <f>('Coverage ratios'!$R$47*B240)/((1+'Coverage ratios'!$R$49)^5)</f>
        <v>157.21422171778366</v>
      </c>
      <c r="H240" s="617">
        <f>B240*'APV CALCULATION '!$Q$14</f>
        <v>5526.3274514902696</v>
      </c>
      <c r="I240" s="617">
        <f>((SUM(G240:H240)/(1+'APV CALCULATION '!$I$31^5))+F240/(1+'APV CALCULATION '!$H$31^4)+(E240/(1+'APV CALCULATION '!$G$31^3)+(D240/(1+'APV CALCULATION '!$F$31)^2)+(C240/(1+'APV CALCULATION '!$E$31))))</f>
        <v>6610.2311103503725</v>
      </c>
      <c r="J240" s="617">
        <f>I240+'APV CALCULATION '!$C$45</f>
        <v>108721.96570795395</v>
      </c>
      <c r="L240" s="6"/>
      <c r="N240"/>
    </row>
    <row r="241" spans="2:14">
      <c r="B241" s="614">
        <f t="shared" si="8"/>
        <v>0.26700000000000013</v>
      </c>
      <c r="C241" s="617">
        <f>('Coverage ratios'!$R$7*B241)/(1+'Coverage ratios'!$R$9)</f>
        <v>328.79088966996051</v>
      </c>
      <c r="D241" s="617">
        <f>('Coverage ratios'!$R$17*B241)/((1+'Coverage ratios'!$R$19)^2)</f>
        <v>226.86639969450158</v>
      </c>
      <c r="E241" s="617">
        <f>('Coverage ratios'!$R$27*B241)/((1+'Coverage ratios'!$R$29)^3)</f>
        <v>216.22322664770519</v>
      </c>
      <c r="F241" s="617">
        <f>('Coverage ratios'!$R$37*B241)/((1+'Coverage ratios'!$R$39)^4)</f>
        <v>184.96144776357451</v>
      </c>
      <c r="G241" s="617">
        <f>('Coverage ratios'!$R$47*B241)/((1+'Coverage ratios'!$R$49)^5)</f>
        <v>157.80525262649715</v>
      </c>
      <c r="H241" s="617">
        <f>B241*'APV CALCULATION '!$Q$14</f>
        <v>5547.103118601136</v>
      </c>
      <c r="I241" s="617">
        <f>((SUM(G241:H241)/(1+'APV CALCULATION '!$I$31^5))+F241/(1+'APV CALCULATION '!$H$31^4)+(E241/(1+'APV CALCULATION '!$G$31^3)+(D241/(1+'APV CALCULATION '!$F$31)^2)+(C241/(1+'APV CALCULATION '!$E$31))))</f>
        <v>6635.0816032464299</v>
      </c>
      <c r="J241" s="617">
        <f>I241+'APV CALCULATION '!$C$45</f>
        <v>108746.81620085001</v>
      </c>
      <c r="L241" s="6"/>
      <c r="N241"/>
    </row>
    <row r="242" spans="2:14">
      <c r="B242" s="614">
        <f t="shared" si="8"/>
        <v>0.26800000000000013</v>
      </c>
      <c r="C242" s="617">
        <f>('Coverage ratios'!$R$7*B242)/(1+'Coverage ratios'!$R$9)</f>
        <v>330.02231622303151</v>
      </c>
      <c r="D242" s="617">
        <f>('Coverage ratios'!$R$17*B242)/((1+'Coverage ratios'!$R$19)^2)</f>
        <v>227.71608658474315</v>
      </c>
      <c r="E242" s="617">
        <f>('Coverage ratios'!$R$27*B242)/((1+'Coverage ratios'!$R$29)^3)</f>
        <v>217.03305146661043</v>
      </c>
      <c r="F242" s="617">
        <f>('Coverage ratios'!$R$37*B242)/((1+'Coverage ratios'!$R$39)^4)</f>
        <v>185.654187268307</v>
      </c>
      <c r="G242" s="617">
        <f>('Coverage ratios'!$R$47*B242)/((1+'Coverage ratios'!$R$49)^5)</f>
        <v>158.39628353521061</v>
      </c>
      <c r="H242" s="617">
        <f>B242*'APV CALCULATION '!$Q$14</f>
        <v>5567.8787857120014</v>
      </c>
      <c r="I242" s="617">
        <f>((SUM(G242:H242)/(1+'APV CALCULATION '!$I$31^5))+F242/(1+'APV CALCULATION '!$H$31^4)+(E242/(1+'APV CALCULATION '!$G$31^3)+(D242/(1+'APV CALCULATION '!$F$31)^2)+(C242/(1+'APV CALCULATION '!$E$31))))</f>
        <v>6659.9320961424828</v>
      </c>
      <c r="J242" s="617">
        <f>I242+'APV CALCULATION '!$C$45</f>
        <v>108771.66669374605</v>
      </c>
      <c r="L242" s="6"/>
      <c r="N242"/>
    </row>
    <row r="243" spans="2:14">
      <c r="B243" s="614">
        <f t="shared" si="8"/>
        <v>0.26900000000000013</v>
      </c>
      <c r="C243" s="617">
        <f>('Coverage ratios'!$R$7*B243)/(1+'Coverage ratios'!$R$9)</f>
        <v>331.25374277610251</v>
      </c>
      <c r="D243" s="617">
        <f>('Coverage ratios'!$R$17*B243)/((1+'Coverage ratios'!$R$19)^2)</f>
        <v>228.56577347498475</v>
      </c>
      <c r="E243" s="617">
        <f>('Coverage ratios'!$R$27*B243)/((1+'Coverage ratios'!$R$29)^3)</f>
        <v>217.84287628551567</v>
      </c>
      <c r="F243" s="617">
        <f>('Coverage ratios'!$R$37*B243)/((1+'Coverage ratios'!$R$39)^4)</f>
        <v>186.34692677303948</v>
      </c>
      <c r="G243" s="617">
        <f>('Coverage ratios'!$R$47*B243)/((1+'Coverage ratios'!$R$49)^5)</f>
        <v>158.98731444392408</v>
      </c>
      <c r="H243" s="617">
        <f>B243*'APV CALCULATION '!$Q$14</f>
        <v>5588.6544528228669</v>
      </c>
      <c r="I243" s="617">
        <f>((SUM(G243:H243)/(1+'APV CALCULATION '!$I$31^5))+F243/(1+'APV CALCULATION '!$H$31^4)+(E243/(1+'APV CALCULATION '!$G$31^3)+(D243/(1+'APV CALCULATION '!$F$31)^2)+(C243/(1+'APV CALCULATION '!$E$31))))</f>
        <v>6684.7825890385366</v>
      </c>
      <c r="J243" s="617">
        <f>I243+'APV CALCULATION '!$C$45</f>
        <v>108796.51718664212</v>
      </c>
      <c r="L243" s="6"/>
      <c r="N243"/>
    </row>
    <row r="244" spans="2:14">
      <c r="B244" s="614">
        <f t="shared" si="8"/>
        <v>0.27000000000000013</v>
      </c>
      <c r="C244" s="617">
        <f>('Coverage ratios'!$R$7*B244)/(1+'Coverage ratios'!$R$9)</f>
        <v>332.48516932917352</v>
      </c>
      <c r="D244" s="617">
        <f>('Coverage ratios'!$R$17*B244)/((1+'Coverage ratios'!$R$19)^2)</f>
        <v>229.41546036522632</v>
      </c>
      <c r="E244" s="617">
        <f>('Coverage ratios'!$R$27*B244)/((1+'Coverage ratios'!$R$29)^3)</f>
        <v>218.65270110442094</v>
      </c>
      <c r="F244" s="617">
        <f>('Coverage ratios'!$R$37*B244)/((1+'Coverage ratios'!$R$39)^4)</f>
        <v>187.03966627777197</v>
      </c>
      <c r="G244" s="617">
        <f>('Coverage ratios'!$R$47*B244)/((1+'Coverage ratios'!$R$49)^5)</f>
        <v>159.57834535263757</v>
      </c>
      <c r="H244" s="617">
        <f>B244*'APV CALCULATION '!$Q$14</f>
        <v>5609.4301199337324</v>
      </c>
      <c r="I244" s="617">
        <f>((SUM(G244:H244)/(1+'APV CALCULATION '!$I$31^5))+F244/(1+'APV CALCULATION '!$H$31^4)+(E244/(1+'APV CALCULATION '!$G$31^3)+(D244/(1+'APV CALCULATION '!$F$31)^2)+(C244/(1+'APV CALCULATION '!$E$31))))</f>
        <v>6709.6330819345894</v>
      </c>
      <c r="J244" s="617">
        <f>I244+'APV CALCULATION '!$C$45</f>
        <v>108821.36767953816</v>
      </c>
      <c r="L244" s="6"/>
      <c r="N244"/>
    </row>
    <row r="245" spans="2:14">
      <c r="B245" s="614">
        <f t="shared" si="8"/>
        <v>0.27100000000000013</v>
      </c>
      <c r="C245" s="617">
        <f>('Coverage ratios'!$R$7*B245)/(1+'Coverage ratios'!$R$9)</f>
        <v>333.71659588224458</v>
      </c>
      <c r="D245" s="617">
        <f>('Coverage ratios'!$R$17*B245)/((1+'Coverage ratios'!$R$19)^2)</f>
        <v>230.26514725546792</v>
      </c>
      <c r="E245" s="617">
        <f>('Coverage ratios'!$R$27*B245)/((1+'Coverage ratios'!$R$29)^3)</f>
        <v>219.46252592332621</v>
      </c>
      <c r="F245" s="617">
        <f>('Coverage ratios'!$R$37*B245)/((1+'Coverage ratios'!$R$39)^4)</f>
        <v>187.73240578250446</v>
      </c>
      <c r="G245" s="617">
        <f>('Coverage ratios'!$R$47*B245)/((1+'Coverage ratios'!$R$49)^5)</f>
        <v>160.16937626135103</v>
      </c>
      <c r="H245" s="617">
        <f>B245*'APV CALCULATION '!$Q$14</f>
        <v>5630.2057870445979</v>
      </c>
      <c r="I245" s="617">
        <f>((SUM(G245:H245)/(1+'APV CALCULATION '!$I$31^5))+F245/(1+'APV CALCULATION '!$H$31^4)+(E245/(1+'APV CALCULATION '!$G$31^3)+(D245/(1+'APV CALCULATION '!$F$31)^2)+(C245/(1+'APV CALCULATION '!$E$31))))</f>
        <v>6734.483574830645</v>
      </c>
      <c r="J245" s="617">
        <f>I245+'APV CALCULATION '!$C$45</f>
        <v>108846.21817243422</v>
      </c>
      <c r="L245" s="6"/>
      <c r="N245"/>
    </row>
    <row r="246" spans="2:14">
      <c r="B246" s="614">
        <f t="shared" si="8"/>
        <v>0.27200000000000013</v>
      </c>
      <c r="C246" s="617">
        <f>('Coverage ratios'!$R$7*B246)/(1+'Coverage ratios'!$R$9)</f>
        <v>334.94802243531558</v>
      </c>
      <c r="D246" s="617">
        <f>('Coverage ratios'!$R$17*B246)/((1+'Coverage ratios'!$R$19)^2)</f>
        <v>231.11483414570949</v>
      </c>
      <c r="E246" s="617">
        <f>('Coverage ratios'!$R$27*B246)/((1+'Coverage ratios'!$R$29)^3)</f>
        <v>220.27235074223148</v>
      </c>
      <c r="F246" s="617">
        <f>('Coverage ratios'!$R$37*B246)/((1+'Coverage ratios'!$R$39)^4)</f>
        <v>188.42514528723694</v>
      </c>
      <c r="G246" s="617">
        <f>('Coverage ratios'!$R$47*B246)/((1+'Coverage ratios'!$R$49)^5)</f>
        <v>160.7604071700645</v>
      </c>
      <c r="H246" s="617">
        <f>B246*'APV CALCULATION '!$Q$14</f>
        <v>5650.9814541554642</v>
      </c>
      <c r="I246" s="617">
        <f>((SUM(G246:H246)/(1+'APV CALCULATION '!$I$31^5))+F246/(1+'APV CALCULATION '!$H$31^4)+(E246/(1+'APV CALCULATION '!$G$31^3)+(D246/(1+'APV CALCULATION '!$F$31)^2)+(C246/(1+'APV CALCULATION '!$E$31))))</f>
        <v>6759.3340677266988</v>
      </c>
      <c r="J246" s="617">
        <f>I246+'APV CALCULATION '!$C$45</f>
        <v>108871.06866533027</v>
      </c>
      <c r="L246" s="6"/>
      <c r="N246"/>
    </row>
    <row r="247" spans="2:14">
      <c r="B247" s="614">
        <f t="shared" si="8"/>
        <v>0.27300000000000013</v>
      </c>
      <c r="C247" s="617">
        <f>('Coverage ratios'!$R$7*B247)/(1+'Coverage ratios'!$R$9)</f>
        <v>336.17944898838658</v>
      </c>
      <c r="D247" s="617">
        <f>('Coverage ratios'!$R$17*B247)/((1+'Coverage ratios'!$R$19)^2)</f>
        <v>231.96452103595107</v>
      </c>
      <c r="E247" s="617">
        <f>('Coverage ratios'!$R$27*B247)/((1+'Coverage ratios'!$R$29)^3)</f>
        <v>221.08217556113675</v>
      </c>
      <c r="F247" s="617">
        <f>('Coverage ratios'!$R$37*B247)/((1+'Coverage ratios'!$R$39)^4)</f>
        <v>189.11788479196943</v>
      </c>
      <c r="G247" s="617">
        <f>('Coverage ratios'!$R$47*B247)/((1+'Coverage ratios'!$R$49)^5)</f>
        <v>161.35143807877799</v>
      </c>
      <c r="H247" s="617">
        <f>B247*'APV CALCULATION '!$Q$14</f>
        <v>5671.7571212663297</v>
      </c>
      <c r="I247" s="617">
        <f>((SUM(G247:H247)/(1+'APV CALCULATION '!$I$31^5))+F247/(1+'APV CALCULATION '!$H$31^4)+(E247/(1+'APV CALCULATION '!$G$31^3)+(D247/(1+'APV CALCULATION '!$F$31)^2)+(C247/(1+'APV CALCULATION '!$E$31))))</f>
        <v>6784.1845606227525</v>
      </c>
      <c r="J247" s="617">
        <f>I247+'APV CALCULATION '!$C$45</f>
        <v>108895.91915822633</v>
      </c>
      <c r="L247" s="6"/>
      <c r="N247"/>
    </row>
    <row r="248" spans="2:14">
      <c r="B248" s="614">
        <f t="shared" si="8"/>
        <v>0.27400000000000013</v>
      </c>
      <c r="C248" s="617">
        <f>('Coverage ratios'!$R$7*B248)/(1+'Coverage ratios'!$R$9)</f>
        <v>337.41087554145759</v>
      </c>
      <c r="D248" s="617">
        <f>('Coverage ratios'!$R$17*B248)/((1+'Coverage ratios'!$R$19)^2)</f>
        <v>232.81420792619264</v>
      </c>
      <c r="E248" s="617">
        <f>('Coverage ratios'!$R$27*B248)/((1+'Coverage ratios'!$R$29)^3)</f>
        <v>221.89200038004202</v>
      </c>
      <c r="F248" s="617">
        <f>('Coverage ratios'!$R$37*B248)/((1+'Coverage ratios'!$R$39)^4)</f>
        <v>189.81062429670195</v>
      </c>
      <c r="G248" s="617">
        <f>('Coverage ratios'!$R$47*B248)/((1+'Coverage ratios'!$R$49)^5)</f>
        <v>161.94246898749145</v>
      </c>
      <c r="H248" s="617">
        <f>B248*'APV CALCULATION '!$Q$14</f>
        <v>5692.5327883771952</v>
      </c>
      <c r="I248" s="617">
        <f>((SUM(G248:H248)/(1+'APV CALCULATION '!$I$31^5))+F248/(1+'APV CALCULATION '!$H$31^4)+(E248/(1+'APV CALCULATION '!$G$31^3)+(D248/(1+'APV CALCULATION '!$F$31)^2)+(C248/(1+'APV CALCULATION '!$E$31))))</f>
        <v>6809.0350535188063</v>
      </c>
      <c r="J248" s="617">
        <f>I248+'APV CALCULATION '!$C$45</f>
        <v>108920.76965112238</v>
      </c>
      <c r="L248" s="6"/>
      <c r="N248"/>
    </row>
    <row r="249" spans="2:14">
      <c r="B249" s="614">
        <f t="shared" si="8"/>
        <v>0.27500000000000013</v>
      </c>
      <c r="C249" s="617">
        <f>('Coverage ratios'!$R$7*B249)/(1+'Coverage ratios'!$R$9)</f>
        <v>338.64230209452859</v>
      </c>
      <c r="D249" s="617">
        <f>('Coverage ratios'!$R$17*B249)/((1+'Coverage ratios'!$R$19)^2)</f>
        <v>233.66389481643424</v>
      </c>
      <c r="E249" s="617">
        <f>('Coverage ratios'!$R$27*B249)/((1+'Coverage ratios'!$R$29)^3)</f>
        <v>222.70182519894729</v>
      </c>
      <c r="F249" s="617">
        <f>('Coverage ratios'!$R$37*B249)/((1+'Coverage ratios'!$R$39)^4)</f>
        <v>190.5033638014344</v>
      </c>
      <c r="G249" s="617">
        <f>('Coverage ratios'!$R$47*B249)/((1+'Coverage ratios'!$R$49)^5)</f>
        <v>162.53349989620494</v>
      </c>
      <c r="H249" s="617">
        <f>B249*'APV CALCULATION '!$Q$14</f>
        <v>5713.3084554880606</v>
      </c>
      <c r="I249" s="617">
        <f>((SUM(G249:H249)/(1+'APV CALCULATION '!$I$31^5))+F249/(1+'APV CALCULATION '!$H$31^4)+(E249/(1+'APV CALCULATION '!$G$31^3)+(D249/(1+'APV CALCULATION '!$F$31)^2)+(C249/(1+'APV CALCULATION '!$E$31))))</f>
        <v>6833.885546414861</v>
      </c>
      <c r="J249" s="617">
        <f>I249+'APV CALCULATION '!$C$45</f>
        <v>108945.62014401844</v>
      </c>
      <c r="L249" s="6"/>
      <c r="N249"/>
    </row>
    <row r="250" spans="2:14">
      <c r="B250" s="614">
        <f t="shared" si="8"/>
        <v>0.27600000000000013</v>
      </c>
      <c r="C250" s="617">
        <f>('Coverage ratios'!$R$7*B250)/(1+'Coverage ratios'!$R$9)</f>
        <v>339.87372864759959</v>
      </c>
      <c r="D250" s="617">
        <f>('Coverage ratios'!$R$17*B250)/((1+'Coverage ratios'!$R$19)^2)</f>
        <v>234.51358170667581</v>
      </c>
      <c r="E250" s="617">
        <f>('Coverage ratios'!$R$27*B250)/((1+'Coverage ratios'!$R$29)^3)</f>
        <v>223.51165001785253</v>
      </c>
      <c r="F250" s="617">
        <f>('Coverage ratios'!$R$37*B250)/((1+'Coverage ratios'!$R$39)^4)</f>
        <v>191.19610330616689</v>
      </c>
      <c r="G250" s="617">
        <f>('Coverage ratios'!$R$47*B250)/((1+'Coverage ratios'!$R$49)^5)</f>
        <v>163.12453080491841</v>
      </c>
      <c r="H250" s="617">
        <f>B250*'APV CALCULATION '!$Q$14</f>
        <v>5734.084122598927</v>
      </c>
      <c r="I250" s="617">
        <f>((SUM(G250:H250)/(1+'APV CALCULATION '!$I$31^5))+F250/(1+'APV CALCULATION '!$H$31^4)+(E250/(1+'APV CALCULATION '!$G$31^3)+(D250/(1+'APV CALCULATION '!$F$31)^2)+(C250/(1+'APV CALCULATION '!$E$31))))</f>
        <v>6858.7360393109147</v>
      </c>
      <c r="J250" s="617">
        <f>I250+'APV CALCULATION '!$C$45</f>
        <v>108970.47063691448</v>
      </c>
      <c r="L250" s="6"/>
      <c r="N250"/>
    </row>
    <row r="251" spans="2:14">
      <c r="B251" s="614">
        <f t="shared" si="8"/>
        <v>0.27700000000000014</v>
      </c>
      <c r="C251" s="617">
        <f>('Coverage ratios'!$R$7*B251)/(1+'Coverage ratios'!$R$9)</f>
        <v>341.10515520067065</v>
      </c>
      <c r="D251" s="617">
        <f>('Coverage ratios'!$R$17*B251)/((1+'Coverage ratios'!$R$19)^2)</f>
        <v>235.36326859691738</v>
      </c>
      <c r="E251" s="617">
        <f>('Coverage ratios'!$R$27*B251)/((1+'Coverage ratios'!$R$29)^3)</f>
        <v>224.3214748367578</v>
      </c>
      <c r="F251" s="617">
        <f>('Coverage ratios'!$R$37*B251)/((1+'Coverage ratios'!$R$39)^4)</f>
        <v>191.8888428108994</v>
      </c>
      <c r="G251" s="617">
        <f>('Coverage ratios'!$R$47*B251)/((1+'Coverage ratios'!$R$49)^5)</f>
        <v>163.71556171363187</v>
      </c>
      <c r="H251" s="617">
        <f>B251*'APV CALCULATION '!$Q$14</f>
        <v>5754.8597897097925</v>
      </c>
      <c r="I251" s="617">
        <f>((SUM(G251:H251)/(1+'APV CALCULATION '!$I$31^5))+F251/(1+'APV CALCULATION '!$H$31^4)+(E251/(1+'APV CALCULATION '!$G$31^3)+(D251/(1+'APV CALCULATION '!$F$31)^2)+(C251/(1+'APV CALCULATION '!$E$31))))</f>
        <v>6883.5865322069685</v>
      </c>
      <c r="J251" s="617">
        <f>I251+'APV CALCULATION '!$C$45</f>
        <v>108995.32112981055</v>
      </c>
      <c r="L251" s="6"/>
      <c r="N251"/>
    </row>
    <row r="252" spans="2:14">
      <c r="B252" s="614">
        <f t="shared" si="8"/>
        <v>0.27800000000000014</v>
      </c>
      <c r="C252" s="617">
        <f>('Coverage ratios'!$R$7*B252)/(1+'Coverage ratios'!$R$9)</f>
        <v>342.33658175374165</v>
      </c>
      <c r="D252" s="617">
        <f>('Coverage ratios'!$R$17*B252)/((1+'Coverage ratios'!$R$19)^2)</f>
        <v>236.21295548715895</v>
      </c>
      <c r="E252" s="617">
        <f>('Coverage ratios'!$R$27*B252)/((1+'Coverage ratios'!$R$29)^3)</f>
        <v>225.13129965566304</v>
      </c>
      <c r="F252" s="617">
        <f>('Coverage ratios'!$R$37*B252)/((1+'Coverage ratios'!$R$39)^4)</f>
        <v>192.58158231563189</v>
      </c>
      <c r="G252" s="617">
        <f>('Coverage ratios'!$R$47*B252)/((1+'Coverage ratios'!$R$49)^5)</f>
        <v>164.30659262234536</v>
      </c>
      <c r="H252" s="617">
        <f>B252*'APV CALCULATION '!$Q$14</f>
        <v>5775.635456820658</v>
      </c>
      <c r="I252" s="617">
        <f>((SUM(G252:H252)/(1+'APV CALCULATION '!$I$31^5))+F252/(1+'APV CALCULATION '!$H$31^4)+(E252/(1+'APV CALCULATION '!$G$31^3)+(D252/(1+'APV CALCULATION '!$F$31)^2)+(C252/(1+'APV CALCULATION '!$E$31))))</f>
        <v>6908.4370251030232</v>
      </c>
      <c r="J252" s="617">
        <f>I252+'APV CALCULATION '!$C$45</f>
        <v>109020.17162270659</v>
      </c>
      <c r="L252" s="6"/>
      <c r="N252"/>
    </row>
    <row r="253" spans="2:14">
      <c r="B253" s="614">
        <f t="shared" si="8"/>
        <v>0.27900000000000014</v>
      </c>
      <c r="C253" s="617">
        <f>('Coverage ratios'!$R$7*B253)/(1+'Coverage ratios'!$R$9)</f>
        <v>343.56800830681266</v>
      </c>
      <c r="D253" s="617">
        <f>('Coverage ratios'!$R$17*B253)/((1+'Coverage ratios'!$R$19)^2)</f>
        <v>237.06264237740055</v>
      </c>
      <c r="E253" s="617">
        <f>('Coverage ratios'!$R$27*B253)/((1+'Coverage ratios'!$R$29)^3)</f>
        <v>225.94112447456831</v>
      </c>
      <c r="F253" s="617">
        <f>('Coverage ratios'!$R$37*B253)/((1+'Coverage ratios'!$R$39)^4)</f>
        <v>193.27432182036435</v>
      </c>
      <c r="G253" s="617">
        <f>('Coverage ratios'!$R$47*B253)/((1+'Coverage ratios'!$R$49)^5)</f>
        <v>164.89762353105883</v>
      </c>
      <c r="H253" s="617">
        <f>B253*'APV CALCULATION '!$Q$14</f>
        <v>5796.4111239315234</v>
      </c>
      <c r="I253" s="617">
        <f>((SUM(G253:H253)/(1+'APV CALCULATION '!$I$31^5))+F253/(1+'APV CALCULATION '!$H$31^4)+(E253/(1+'APV CALCULATION '!$G$31^3)+(D253/(1+'APV CALCULATION '!$F$31)^2)+(C253/(1+'APV CALCULATION '!$E$31))))</f>
        <v>6933.2875179990779</v>
      </c>
      <c r="J253" s="617">
        <f>I253+'APV CALCULATION '!$C$45</f>
        <v>109045.02211560265</v>
      </c>
      <c r="L253" s="6"/>
      <c r="N253"/>
    </row>
    <row r="254" spans="2:14">
      <c r="B254" s="614">
        <f t="shared" si="8"/>
        <v>0.28000000000000014</v>
      </c>
      <c r="C254" s="617">
        <f>('Coverage ratios'!$R$7*B254)/(1+'Coverage ratios'!$R$9)</f>
        <v>344.79943485988366</v>
      </c>
      <c r="D254" s="617">
        <f>('Coverage ratios'!$R$17*B254)/((1+'Coverage ratios'!$R$19)^2)</f>
        <v>237.91232926764212</v>
      </c>
      <c r="E254" s="617">
        <f>('Coverage ratios'!$R$27*B254)/((1+'Coverage ratios'!$R$29)^3)</f>
        <v>226.75094929347358</v>
      </c>
      <c r="F254" s="617">
        <f>('Coverage ratios'!$R$37*B254)/((1+'Coverage ratios'!$R$39)^4)</f>
        <v>193.96706132509686</v>
      </c>
      <c r="G254" s="617">
        <f>('Coverage ratios'!$R$47*B254)/((1+'Coverage ratios'!$R$49)^5)</f>
        <v>165.48865443977229</v>
      </c>
      <c r="H254" s="617">
        <f>B254*'APV CALCULATION '!$Q$14</f>
        <v>5817.1867910423898</v>
      </c>
      <c r="I254" s="617">
        <f>((SUM(G254:H254)/(1+'APV CALCULATION '!$I$31^5))+F254/(1+'APV CALCULATION '!$H$31^4)+(E254/(1+'APV CALCULATION '!$G$31^3)+(D254/(1+'APV CALCULATION '!$F$31)^2)+(C254/(1+'APV CALCULATION '!$E$31))))</f>
        <v>6958.1380108951316</v>
      </c>
      <c r="J254" s="617">
        <f>I254+'APV CALCULATION '!$C$45</f>
        <v>109069.8726084987</v>
      </c>
      <c r="L254" s="6"/>
      <c r="N254"/>
    </row>
    <row r="255" spans="2:14">
      <c r="B255" s="614">
        <f t="shared" si="8"/>
        <v>0.28100000000000014</v>
      </c>
      <c r="C255" s="617">
        <f>('Coverage ratios'!$R$7*B255)/(1+'Coverage ratios'!$R$9)</f>
        <v>346.03086141295472</v>
      </c>
      <c r="D255" s="617">
        <f>('Coverage ratios'!$R$17*B255)/((1+'Coverage ratios'!$R$19)^2)</f>
        <v>238.76201615788369</v>
      </c>
      <c r="E255" s="617">
        <f>('Coverage ratios'!$R$27*B255)/((1+'Coverage ratios'!$R$29)^3)</f>
        <v>227.56077411237885</v>
      </c>
      <c r="F255" s="617">
        <f>('Coverage ratios'!$R$37*B255)/((1+'Coverage ratios'!$R$39)^4)</f>
        <v>194.65980082982935</v>
      </c>
      <c r="G255" s="617">
        <f>('Coverage ratios'!$R$47*B255)/((1+'Coverage ratios'!$R$49)^5)</f>
        <v>166.07968534848578</v>
      </c>
      <c r="H255" s="617">
        <f>B255*'APV CALCULATION '!$Q$14</f>
        <v>5837.9624581532553</v>
      </c>
      <c r="I255" s="617">
        <f>((SUM(G255:H255)/(1+'APV CALCULATION '!$I$31^5))+F255/(1+'APV CALCULATION '!$H$31^4)+(E255/(1+'APV CALCULATION '!$G$31^3)+(D255/(1+'APV CALCULATION '!$F$31)^2)+(C255/(1+'APV CALCULATION '!$E$31))))</f>
        <v>6982.9885037911854</v>
      </c>
      <c r="J255" s="617">
        <f>I255+'APV CALCULATION '!$C$45</f>
        <v>109094.72310139476</v>
      </c>
      <c r="L255" s="6"/>
      <c r="N255"/>
    </row>
    <row r="256" spans="2:14">
      <c r="B256" s="614">
        <f t="shared" si="8"/>
        <v>0.28200000000000014</v>
      </c>
      <c r="C256" s="617">
        <f>('Coverage ratios'!$R$7*B256)/(1+'Coverage ratios'!$R$9)</f>
        <v>347.26228796602572</v>
      </c>
      <c r="D256" s="617">
        <f>('Coverage ratios'!$R$17*B256)/((1+'Coverage ratios'!$R$19)^2)</f>
        <v>239.61170304812529</v>
      </c>
      <c r="E256" s="617">
        <f>('Coverage ratios'!$R$27*B256)/((1+'Coverage ratios'!$R$29)^3)</f>
        <v>228.37059893128412</v>
      </c>
      <c r="F256" s="617">
        <f>('Coverage ratios'!$R$37*B256)/((1+'Coverage ratios'!$R$39)^4)</f>
        <v>195.35254033456184</v>
      </c>
      <c r="G256" s="617">
        <f>('Coverage ratios'!$R$47*B256)/((1+'Coverage ratios'!$R$49)^5)</f>
        <v>166.67071625719925</v>
      </c>
      <c r="H256" s="617">
        <f>B256*'APV CALCULATION '!$Q$14</f>
        <v>5858.7381252641208</v>
      </c>
      <c r="I256" s="617">
        <f>((SUM(G256:H256)/(1+'APV CALCULATION '!$I$31^5))+F256/(1+'APV CALCULATION '!$H$31^4)+(E256/(1+'APV CALCULATION '!$G$31^3)+(D256/(1+'APV CALCULATION '!$F$31)^2)+(C256/(1+'APV CALCULATION '!$E$31))))</f>
        <v>7007.8389966872401</v>
      </c>
      <c r="J256" s="617">
        <f>I256+'APV CALCULATION '!$C$45</f>
        <v>109119.57359429081</v>
      </c>
      <c r="L256" s="6"/>
      <c r="N256"/>
    </row>
    <row r="257" spans="2:14">
      <c r="B257" s="614">
        <f t="shared" si="8"/>
        <v>0.28300000000000014</v>
      </c>
      <c r="C257" s="617">
        <f>('Coverage ratios'!$R$7*B257)/(1+'Coverage ratios'!$R$9)</f>
        <v>348.49371451909667</v>
      </c>
      <c r="D257" s="617">
        <f>('Coverage ratios'!$R$17*B257)/((1+'Coverage ratios'!$R$19)^2)</f>
        <v>240.46138993836686</v>
      </c>
      <c r="E257" s="617">
        <f>('Coverage ratios'!$R$27*B257)/((1+'Coverage ratios'!$R$29)^3)</f>
        <v>229.18042375018939</v>
      </c>
      <c r="F257" s="617">
        <f>('Coverage ratios'!$R$37*B257)/((1+'Coverage ratios'!$R$39)^4)</f>
        <v>196.04527983929435</v>
      </c>
      <c r="G257" s="617">
        <f>('Coverage ratios'!$R$47*B257)/((1+'Coverage ratios'!$R$49)^5)</f>
        <v>167.26174716591271</v>
      </c>
      <c r="H257" s="617">
        <f>B257*'APV CALCULATION '!$Q$14</f>
        <v>5879.5137923749862</v>
      </c>
      <c r="I257" s="617">
        <f>((SUM(G257:H257)/(1+'APV CALCULATION '!$I$31^5))+F257/(1+'APV CALCULATION '!$H$31^4)+(E257/(1+'APV CALCULATION '!$G$31^3)+(D257/(1+'APV CALCULATION '!$F$31)^2)+(C257/(1+'APV CALCULATION '!$E$31))))</f>
        <v>7032.6894895832929</v>
      </c>
      <c r="J257" s="617">
        <f>I257+'APV CALCULATION '!$C$45</f>
        <v>109144.42408718687</v>
      </c>
      <c r="L257" s="6"/>
      <c r="N257"/>
    </row>
    <row r="258" spans="2:14">
      <c r="B258" s="614">
        <f t="shared" si="8"/>
        <v>0.28400000000000014</v>
      </c>
      <c r="C258" s="617">
        <f>('Coverage ratios'!$R$7*B258)/(1+'Coverage ratios'!$R$9)</f>
        <v>349.72514107216773</v>
      </c>
      <c r="D258" s="617">
        <f>('Coverage ratios'!$R$17*B258)/((1+'Coverage ratios'!$R$19)^2)</f>
        <v>241.31107682860846</v>
      </c>
      <c r="E258" s="617">
        <f>('Coverage ratios'!$R$27*B258)/((1+'Coverage ratios'!$R$29)^3)</f>
        <v>229.99024856909466</v>
      </c>
      <c r="F258" s="617">
        <f>('Coverage ratios'!$R$37*B258)/((1+'Coverage ratios'!$R$39)^4)</f>
        <v>196.73801934402681</v>
      </c>
      <c r="G258" s="617">
        <f>('Coverage ratios'!$R$47*B258)/((1+'Coverage ratios'!$R$49)^5)</f>
        <v>167.8527780746262</v>
      </c>
      <c r="H258" s="617">
        <f>B258*'APV CALCULATION '!$Q$14</f>
        <v>5900.2894594858526</v>
      </c>
      <c r="I258" s="617">
        <f>((SUM(G258:H258)/(1+'APV CALCULATION '!$I$31^5))+F258/(1+'APV CALCULATION '!$H$31^4)+(E258/(1+'APV CALCULATION '!$G$31^3)+(D258/(1+'APV CALCULATION '!$F$31)^2)+(C258/(1+'APV CALCULATION '!$E$31))))</f>
        <v>7057.5399824793476</v>
      </c>
      <c r="J258" s="617">
        <f>I258+'APV CALCULATION '!$C$45</f>
        <v>109169.27458008291</v>
      </c>
      <c r="L258" s="6"/>
      <c r="N258"/>
    </row>
    <row r="259" spans="2:14">
      <c r="B259" s="614">
        <f t="shared" si="8"/>
        <v>0.28500000000000014</v>
      </c>
      <c r="C259" s="617">
        <f>('Coverage ratios'!$R$7*B259)/(1+'Coverage ratios'!$R$9)</f>
        <v>350.95656762523873</v>
      </c>
      <c r="D259" s="617">
        <f>('Coverage ratios'!$R$17*B259)/((1+'Coverage ratios'!$R$19)^2)</f>
        <v>242.16076371885001</v>
      </c>
      <c r="E259" s="617">
        <f>('Coverage ratios'!$R$27*B259)/((1+'Coverage ratios'!$R$29)^3)</f>
        <v>230.8000733879999</v>
      </c>
      <c r="F259" s="617">
        <f>('Coverage ratios'!$R$37*B259)/((1+'Coverage ratios'!$R$39)^4)</f>
        <v>197.4307588487593</v>
      </c>
      <c r="G259" s="617">
        <f>('Coverage ratios'!$R$47*B259)/((1+'Coverage ratios'!$R$49)^5)</f>
        <v>168.44380898333966</v>
      </c>
      <c r="H259" s="617">
        <f>B259*'APV CALCULATION '!$Q$14</f>
        <v>5921.0651265967181</v>
      </c>
      <c r="I259" s="617">
        <f>((SUM(G259:H259)/(1+'APV CALCULATION '!$I$31^5))+F259/(1+'APV CALCULATION '!$H$31^4)+(E259/(1+'APV CALCULATION '!$G$31^3)+(D259/(1+'APV CALCULATION '!$F$31)^2)+(C259/(1+'APV CALCULATION '!$E$31))))</f>
        <v>7082.3904753754005</v>
      </c>
      <c r="J259" s="617">
        <f>I259+'APV CALCULATION '!$C$45</f>
        <v>109194.12507297898</v>
      </c>
      <c r="L259" s="6"/>
      <c r="N259"/>
    </row>
    <row r="260" spans="2:14">
      <c r="B260" s="614">
        <f t="shared" si="8"/>
        <v>0.28600000000000014</v>
      </c>
      <c r="C260" s="617">
        <f>('Coverage ratios'!$R$7*B260)/(1+'Coverage ratios'!$R$9)</f>
        <v>352.18799417830974</v>
      </c>
      <c r="D260" s="617">
        <f>('Coverage ratios'!$R$17*B260)/((1+'Coverage ratios'!$R$19)^2)</f>
        <v>243.01045060909161</v>
      </c>
      <c r="E260" s="617">
        <f>('Coverage ratios'!$R$27*B260)/((1+'Coverage ratios'!$R$29)^3)</f>
        <v>231.60989820690514</v>
      </c>
      <c r="F260" s="617">
        <f>('Coverage ratios'!$R$37*B260)/((1+'Coverage ratios'!$R$39)^4)</f>
        <v>198.12349835349181</v>
      </c>
      <c r="G260" s="617">
        <f>('Coverage ratios'!$R$47*B260)/((1+'Coverage ratios'!$R$49)^5)</f>
        <v>169.03483989205313</v>
      </c>
      <c r="H260" s="617">
        <f>B260*'APV CALCULATION '!$Q$14</f>
        <v>5941.8407937075835</v>
      </c>
      <c r="I260" s="617">
        <f>((SUM(G260:H260)/(1+'APV CALCULATION '!$I$31^5))+F260/(1+'APV CALCULATION '!$H$31^4)+(E260/(1+'APV CALCULATION '!$G$31^3)+(D260/(1+'APV CALCULATION '!$F$31)^2)+(C260/(1+'APV CALCULATION '!$E$31))))</f>
        <v>7107.2409682714551</v>
      </c>
      <c r="J260" s="617">
        <f>I260+'APV CALCULATION '!$C$45</f>
        <v>109218.97556587502</v>
      </c>
      <c r="L260" s="6"/>
      <c r="N260"/>
    </row>
    <row r="261" spans="2:14">
      <c r="B261" s="614">
        <f t="shared" si="8"/>
        <v>0.28700000000000014</v>
      </c>
      <c r="C261" s="617">
        <f>('Coverage ratios'!$R$7*B261)/(1+'Coverage ratios'!$R$9)</f>
        <v>353.4194207313808</v>
      </c>
      <c r="D261" s="617">
        <f>('Coverage ratios'!$R$17*B261)/((1+'Coverage ratios'!$R$19)^2)</f>
        <v>243.86013749933315</v>
      </c>
      <c r="E261" s="617">
        <f>('Coverage ratios'!$R$27*B261)/((1+'Coverage ratios'!$R$29)^3)</f>
        <v>232.41972302581044</v>
      </c>
      <c r="F261" s="617">
        <f>('Coverage ratios'!$R$37*B261)/((1+'Coverage ratios'!$R$39)^4)</f>
        <v>198.8162378582243</v>
      </c>
      <c r="G261" s="617">
        <f>('Coverage ratios'!$R$47*B261)/((1+'Coverage ratios'!$R$49)^5)</f>
        <v>169.62587080076662</v>
      </c>
      <c r="H261" s="617">
        <f>B261*'APV CALCULATION '!$Q$14</f>
        <v>5962.616460818449</v>
      </c>
      <c r="I261" s="617">
        <f>((SUM(G261:H261)/(1+'APV CALCULATION '!$I$31^5))+F261/(1+'APV CALCULATION '!$H$31^4)+(E261/(1+'APV CALCULATION '!$G$31^3)+(D261/(1+'APV CALCULATION '!$F$31)^2)+(C261/(1+'APV CALCULATION '!$E$31))))</f>
        <v>7132.0914611675089</v>
      </c>
      <c r="J261" s="617">
        <f>I261+'APV CALCULATION '!$C$45</f>
        <v>109243.82605877108</v>
      </c>
      <c r="L261" s="6"/>
      <c r="N261"/>
    </row>
    <row r="262" spans="2:14">
      <c r="B262" s="614">
        <f t="shared" si="8"/>
        <v>0.28800000000000014</v>
      </c>
      <c r="C262" s="617">
        <f>('Coverage ratios'!$R$7*B262)/(1+'Coverage ratios'!$R$9)</f>
        <v>354.6508472844518</v>
      </c>
      <c r="D262" s="617">
        <f>('Coverage ratios'!$R$17*B262)/((1+'Coverage ratios'!$R$19)^2)</f>
        <v>244.70982438957478</v>
      </c>
      <c r="E262" s="617">
        <f>('Coverage ratios'!$R$27*B262)/((1+'Coverage ratios'!$R$29)^3)</f>
        <v>233.22954784471571</v>
      </c>
      <c r="F262" s="617">
        <f>('Coverage ratios'!$R$37*B262)/((1+'Coverage ratios'!$R$39)^4)</f>
        <v>199.50897736295676</v>
      </c>
      <c r="G262" s="617">
        <f>('Coverage ratios'!$R$47*B262)/((1+'Coverage ratios'!$R$49)^5)</f>
        <v>170.21690170948008</v>
      </c>
      <c r="H262" s="617">
        <f>B262*'APV CALCULATION '!$Q$14</f>
        <v>5983.3921279293154</v>
      </c>
      <c r="I262" s="617">
        <f>((SUM(G262:H262)/(1+'APV CALCULATION '!$I$31^5))+F262/(1+'APV CALCULATION '!$H$31^4)+(E262/(1+'APV CALCULATION '!$G$31^3)+(D262/(1+'APV CALCULATION '!$F$31)^2)+(C262/(1+'APV CALCULATION '!$E$31))))</f>
        <v>7156.9419540635636</v>
      </c>
      <c r="J262" s="617">
        <f>I262+'APV CALCULATION '!$C$45</f>
        <v>109268.67655166713</v>
      </c>
      <c r="L262" s="6"/>
      <c r="N262"/>
    </row>
    <row r="263" spans="2:14">
      <c r="B263" s="614">
        <f t="shared" si="8"/>
        <v>0.28900000000000015</v>
      </c>
      <c r="C263" s="617">
        <f>('Coverage ratios'!$R$7*B263)/(1+'Coverage ratios'!$R$9)</f>
        <v>355.8822738375228</v>
      </c>
      <c r="D263" s="617">
        <f>('Coverage ratios'!$R$17*B263)/((1+'Coverage ratios'!$R$19)^2)</f>
        <v>245.55951127981632</v>
      </c>
      <c r="E263" s="617">
        <f>('Coverage ratios'!$R$27*B263)/((1+'Coverage ratios'!$R$29)^3)</f>
        <v>234.03937266362092</v>
      </c>
      <c r="F263" s="617">
        <f>('Coverage ratios'!$R$37*B263)/((1+'Coverage ratios'!$R$39)^4)</f>
        <v>200.20171686768927</v>
      </c>
      <c r="G263" s="617">
        <f>('Coverage ratios'!$R$47*B263)/((1+'Coverage ratios'!$R$49)^5)</f>
        <v>170.80793261819355</v>
      </c>
      <c r="H263" s="617">
        <f>B263*'APV CALCULATION '!$Q$14</f>
        <v>6004.1677950401809</v>
      </c>
      <c r="I263" s="617">
        <f>((SUM(G263:H263)/(1+'APV CALCULATION '!$I$31^5))+F263/(1+'APV CALCULATION '!$H$31^4)+(E263/(1+'APV CALCULATION '!$G$31^3)+(D263/(1+'APV CALCULATION '!$F$31)^2)+(C263/(1+'APV CALCULATION '!$E$31))))</f>
        <v>7181.7924469596164</v>
      </c>
      <c r="J263" s="617">
        <f>I263+'APV CALCULATION '!$C$45</f>
        <v>109293.52704456319</v>
      </c>
      <c r="L263" s="6"/>
      <c r="N263"/>
    </row>
    <row r="264" spans="2:14">
      <c r="B264" s="614">
        <f t="shared" si="8"/>
        <v>0.29000000000000015</v>
      </c>
      <c r="C264" s="617">
        <f>('Coverage ratios'!$R$7*B264)/(1+'Coverage ratios'!$R$9)</f>
        <v>357.11370039059381</v>
      </c>
      <c r="D264" s="617">
        <f>('Coverage ratios'!$R$17*B264)/((1+'Coverage ratios'!$R$19)^2)</f>
        <v>246.40919817005792</v>
      </c>
      <c r="E264" s="617">
        <f>('Coverage ratios'!$R$27*B264)/((1+'Coverage ratios'!$R$29)^3)</f>
        <v>234.84919748252619</v>
      </c>
      <c r="F264" s="617">
        <f>('Coverage ratios'!$R$37*B264)/((1+'Coverage ratios'!$R$39)^4)</f>
        <v>200.89445637242176</v>
      </c>
      <c r="G264" s="617">
        <f>('Coverage ratios'!$R$47*B264)/((1+'Coverage ratios'!$R$49)^5)</f>
        <v>171.39896352690704</v>
      </c>
      <c r="H264" s="617">
        <f>B264*'APV CALCULATION '!$Q$14</f>
        <v>6024.9434621510463</v>
      </c>
      <c r="I264" s="617">
        <f>((SUM(G264:H264)/(1+'APV CALCULATION '!$I$31^5))+F264/(1+'APV CALCULATION '!$H$31^4)+(E264/(1+'APV CALCULATION '!$G$31^3)+(D264/(1+'APV CALCULATION '!$F$31)^2)+(C264/(1+'APV CALCULATION '!$E$31))))</f>
        <v>7206.642939855672</v>
      </c>
      <c r="J264" s="617">
        <f>I264+'APV CALCULATION '!$C$45</f>
        <v>109318.37753745925</v>
      </c>
      <c r="L264" s="6"/>
      <c r="N264"/>
    </row>
    <row r="265" spans="2:14">
      <c r="B265" s="614">
        <f t="shared" si="8"/>
        <v>0.29100000000000015</v>
      </c>
      <c r="C265" s="617">
        <f>('Coverage ratios'!$R$7*B265)/(1+'Coverage ratios'!$R$9)</f>
        <v>358.34512694366481</v>
      </c>
      <c r="D265" s="617">
        <f>('Coverage ratios'!$R$17*B265)/((1+'Coverage ratios'!$R$19)^2)</f>
        <v>247.25888506029946</v>
      </c>
      <c r="E265" s="617">
        <f>('Coverage ratios'!$R$27*B265)/((1+'Coverage ratios'!$R$29)^3)</f>
        <v>235.65902230143146</v>
      </c>
      <c r="F265" s="617">
        <f>('Coverage ratios'!$R$37*B265)/((1+'Coverage ratios'!$R$39)^4)</f>
        <v>201.58719587715424</v>
      </c>
      <c r="G265" s="617">
        <f>('Coverage ratios'!$R$47*B265)/((1+'Coverage ratios'!$R$49)^5)</f>
        <v>171.9899944356205</v>
      </c>
      <c r="H265" s="617">
        <f>B265*'APV CALCULATION '!$Q$14</f>
        <v>6045.7191292619118</v>
      </c>
      <c r="I265" s="617">
        <f>((SUM(G265:H265)/(1+'APV CALCULATION '!$I$31^5))+F265/(1+'APV CALCULATION '!$H$31^4)+(E265/(1+'APV CALCULATION '!$G$31^3)+(D265/(1+'APV CALCULATION '!$F$31)^2)+(C265/(1+'APV CALCULATION '!$E$31))))</f>
        <v>7231.4934327517258</v>
      </c>
      <c r="J265" s="617">
        <f>I265+'APV CALCULATION '!$C$45</f>
        <v>109343.2280303553</v>
      </c>
      <c r="L265" s="6"/>
      <c r="N265"/>
    </row>
    <row r="266" spans="2:14">
      <c r="B266" s="614">
        <f t="shared" si="8"/>
        <v>0.29200000000000015</v>
      </c>
      <c r="C266" s="617">
        <f>('Coverage ratios'!$R$7*B266)/(1+'Coverage ratios'!$R$9)</f>
        <v>359.57655349673581</v>
      </c>
      <c r="D266" s="617">
        <f>('Coverage ratios'!$R$17*B266)/((1+'Coverage ratios'!$R$19)^2)</f>
        <v>248.10857195054109</v>
      </c>
      <c r="E266" s="617">
        <f>('Coverage ratios'!$R$27*B266)/((1+'Coverage ratios'!$R$29)^3)</f>
        <v>236.46884712033673</v>
      </c>
      <c r="F266" s="617">
        <f>('Coverage ratios'!$R$37*B266)/((1+'Coverage ratios'!$R$39)^4)</f>
        <v>202.27993538188673</v>
      </c>
      <c r="G266" s="617">
        <f>('Coverage ratios'!$R$47*B266)/((1+'Coverage ratios'!$R$49)^5)</f>
        <v>172.58102534433397</v>
      </c>
      <c r="H266" s="617">
        <f>B266*'APV CALCULATION '!$Q$14</f>
        <v>6066.4947963727773</v>
      </c>
      <c r="I266" s="617">
        <f>((SUM(G266:H266)/(1+'APV CALCULATION '!$I$31^5))+F266/(1+'APV CALCULATION '!$H$31^4)+(E266/(1+'APV CALCULATION '!$G$31^3)+(D266/(1+'APV CALCULATION '!$F$31)^2)+(C266/(1+'APV CALCULATION '!$E$31))))</f>
        <v>7256.3439256477795</v>
      </c>
      <c r="J266" s="617">
        <f>I266+'APV CALCULATION '!$C$45</f>
        <v>109368.07852325134</v>
      </c>
      <c r="L266" s="6"/>
      <c r="N266"/>
    </row>
    <row r="267" spans="2:14">
      <c r="B267" s="614">
        <f t="shared" ref="B267:B274" si="9">B266+0.1%</f>
        <v>0.29300000000000015</v>
      </c>
      <c r="C267" s="617">
        <f>('Coverage ratios'!$R$7*B267)/(1+'Coverage ratios'!$R$9)</f>
        <v>360.80798004980682</v>
      </c>
      <c r="D267" s="617">
        <f>('Coverage ratios'!$R$17*B267)/((1+'Coverage ratios'!$R$19)^2)</f>
        <v>248.95825884078263</v>
      </c>
      <c r="E267" s="617">
        <f>('Coverage ratios'!$R$27*B267)/((1+'Coverage ratios'!$R$29)^3)</f>
        <v>237.278671939242</v>
      </c>
      <c r="F267" s="617">
        <f>('Coverage ratios'!$R$37*B267)/((1+'Coverage ratios'!$R$39)^4)</f>
        <v>202.97267488661922</v>
      </c>
      <c r="G267" s="617">
        <f>('Coverage ratios'!$R$47*B267)/((1+'Coverage ratios'!$R$49)^5)</f>
        <v>173.17205625304743</v>
      </c>
      <c r="H267" s="617">
        <f>B267*'APV CALCULATION '!$Q$14</f>
        <v>6087.2704634836437</v>
      </c>
      <c r="I267" s="617">
        <f>((SUM(G267:H267)/(1+'APV CALCULATION '!$I$31^5))+F267/(1+'APV CALCULATION '!$H$31^4)+(E267/(1+'APV CALCULATION '!$G$31^3)+(D267/(1+'APV CALCULATION '!$F$31)^2)+(C267/(1+'APV CALCULATION '!$E$31))))</f>
        <v>7281.1944185438342</v>
      </c>
      <c r="J267" s="617">
        <f>I267+'APV CALCULATION '!$C$45</f>
        <v>109392.92901614741</v>
      </c>
      <c r="L267" s="6"/>
      <c r="N267"/>
    </row>
    <row r="268" spans="2:14">
      <c r="B268" s="614">
        <f t="shared" si="9"/>
        <v>0.29400000000000015</v>
      </c>
      <c r="C268" s="617">
        <f>('Coverage ratios'!$R$7*B268)/(1+'Coverage ratios'!$R$9)</f>
        <v>362.03940660287788</v>
      </c>
      <c r="D268" s="617">
        <f>('Coverage ratios'!$R$17*B268)/((1+'Coverage ratios'!$R$19)^2)</f>
        <v>249.80794573102423</v>
      </c>
      <c r="E268" s="617">
        <f>('Coverage ratios'!$R$27*B268)/((1+'Coverage ratios'!$R$29)^3)</f>
        <v>238.08849675814727</v>
      </c>
      <c r="F268" s="617">
        <f>('Coverage ratios'!$R$37*B268)/((1+'Coverage ratios'!$R$39)^4)</f>
        <v>203.6654143913517</v>
      </c>
      <c r="G268" s="617">
        <f>('Coverage ratios'!$R$47*B268)/((1+'Coverage ratios'!$R$49)^5)</f>
        <v>173.76308716176089</v>
      </c>
      <c r="H268" s="617">
        <f>B268*'APV CALCULATION '!$Q$14</f>
        <v>6108.0461305945091</v>
      </c>
      <c r="I268" s="617">
        <f>((SUM(G268:H268)/(1+'APV CALCULATION '!$I$31^5))+F268/(1+'APV CALCULATION '!$H$31^4)+(E268/(1+'APV CALCULATION '!$G$31^3)+(D268/(1+'APV CALCULATION '!$F$31)^2)+(C268/(1+'APV CALCULATION '!$E$31))))</f>
        <v>7306.0449114398889</v>
      </c>
      <c r="J268" s="617">
        <f>I268+'APV CALCULATION '!$C$45</f>
        <v>109417.77950904347</v>
      </c>
      <c r="L268" s="6"/>
      <c r="N268"/>
    </row>
    <row r="269" spans="2:14">
      <c r="B269" s="614">
        <f t="shared" si="9"/>
        <v>0.29500000000000015</v>
      </c>
      <c r="C269" s="617">
        <f>('Coverage ratios'!$R$7*B269)/(1+'Coverage ratios'!$R$9)</f>
        <v>363.27083315594888</v>
      </c>
      <c r="D269" s="617">
        <f>('Coverage ratios'!$R$17*B269)/((1+'Coverage ratios'!$R$19)^2)</f>
        <v>250.65763262126578</v>
      </c>
      <c r="E269" s="617">
        <f>('Coverage ratios'!$R$27*B269)/((1+'Coverage ratios'!$R$29)^3)</f>
        <v>238.89832157705251</v>
      </c>
      <c r="F269" s="617">
        <f>('Coverage ratios'!$R$37*B269)/((1+'Coverage ratios'!$R$39)^4)</f>
        <v>204.35815389608419</v>
      </c>
      <c r="G269" s="617">
        <f>('Coverage ratios'!$R$47*B269)/((1+'Coverage ratios'!$R$49)^5)</f>
        <v>174.35411807047439</v>
      </c>
      <c r="H269" s="617">
        <f>B269*'APV CALCULATION '!$Q$14</f>
        <v>6128.8217977053746</v>
      </c>
      <c r="I269" s="617">
        <f>((SUM(G269:H269)/(1+'APV CALCULATION '!$I$31^5))+F269/(1+'APV CALCULATION '!$H$31^4)+(E269/(1+'APV CALCULATION '!$G$31^3)+(D269/(1+'APV CALCULATION '!$F$31)^2)+(C269/(1+'APV CALCULATION '!$E$31))))</f>
        <v>7330.8954043359417</v>
      </c>
      <c r="J269" s="617">
        <f>I269+'APV CALCULATION '!$C$45</f>
        <v>109442.63000193951</v>
      </c>
      <c r="L269" s="6"/>
      <c r="N269"/>
    </row>
    <row r="270" spans="2:14">
      <c r="B270" s="614">
        <f t="shared" si="9"/>
        <v>0.29600000000000015</v>
      </c>
      <c r="C270" s="617">
        <f>('Coverage ratios'!$R$7*B270)/(1+'Coverage ratios'!$R$9)</f>
        <v>364.50225970901988</v>
      </c>
      <c r="D270" s="617">
        <f>('Coverage ratios'!$R$17*B270)/((1+'Coverage ratios'!$R$19)^2)</f>
        <v>251.50731951150738</v>
      </c>
      <c r="E270" s="617">
        <f>('Coverage ratios'!$R$27*B270)/((1+'Coverage ratios'!$R$29)^3)</f>
        <v>239.70814639595778</v>
      </c>
      <c r="F270" s="617">
        <f>('Coverage ratios'!$R$37*B270)/((1+'Coverage ratios'!$R$39)^4)</f>
        <v>205.0508934008167</v>
      </c>
      <c r="G270" s="617">
        <f>('Coverage ratios'!$R$47*B270)/((1+'Coverage ratios'!$R$49)^5)</f>
        <v>174.94514897918785</v>
      </c>
      <c r="H270" s="617">
        <f>B270*'APV CALCULATION '!$Q$14</f>
        <v>6149.5974648162401</v>
      </c>
      <c r="I270" s="617">
        <f>((SUM(G270:H270)/(1+'APV CALCULATION '!$I$31^5))+F270/(1+'APV CALCULATION '!$H$31^4)+(E270/(1+'APV CALCULATION '!$G$31^3)+(D270/(1+'APV CALCULATION '!$F$31)^2)+(C270/(1+'APV CALCULATION '!$E$31))))</f>
        <v>7355.7458972319955</v>
      </c>
      <c r="J270" s="617">
        <f>I270+'APV CALCULATION '!$C$45</f>
        <v>109467.48049483557</v>
      </c>
      <c r="L270" s="6"/>
      <c r="N270"/>
    </row>
    <row r="271" spans="2:14">
      <c r="B271" s="614">
        <f t="shared" si="9"/>
        <v>0.29700000000000015</v>
      </c>
      <c r="C271" s="617">
        <f>('Coverage ratios'!$R$7*B271)/(1+'Coverage ratios'!$R$9)</f>
        <v>365.73368626209094</v>
      </c>
      <c r="D271" s="617">
        <f>('Coverage ratios'!$R$17*B271)/((1+'Coverage ratios'!$R$19)^2)</f>
        <v>252.357006401749</v>
      </c>
      <c r="E271" s="617">
        <f>('Coverage ratios'!$R$27*B271)/((1+'Coverage ratios'!$R$29)^3)</f>
        <v>240.51797121486305</v>
      </c>
      <c r="F271" s="617">
        <f>('Coverage ratios'!$R$37*B271)/((1+'Coverage ratios'!$R$39)^4)</f>
        <v>205.74363290554916</v>
      </c>
      <c r="G271" s="617">
        <f>('Coverage ratios'!$R$47*B271)/((1+'Coverage ratios'!$R$49)^5)</f>
        <v>175.53617988790131</v>
      </c>
      <c r="H271" s="617">
        <f>B271*'APV CALCULATION '!$Q$14</f>
        <v>6170.3731319271064</v>
      </c>
      <c r="I271" s="617">
        <f>((SUM(G271:H271)/(1+'APV CALCULATION '!$I$31^5))+F271/(1+'APV CALCULATION '!$H$31^4)+(E271/(1+'APV CALCULATION '!$G$31^3)+(D271/(1+'APV CALCULATION '!$F$31)^2)+(C271/(1+'APV CALCULATION '!$E$31))))</f>
        <v>7380.5963901280502</v>
      </c>
      <c r="J271" s="617">
        <f>I271+'APV CALCULATION '!$C$45</f>
        <v>109492.33098773162</v>
      </c>
      <c r="L271" s="6"/>
      <c r="N271"/>
    </row>
    <row r="272" spans="2:14">
      <c r="B272" s="614">
        <f t="shared" si="9"/>
        <v>0.29800000000000015</v>
      </c>
      <c r="C272" s="617">
        <f>('Coverage ratios'!$R$7*B272)/(1+'Coverage ratios'!$R$9)</f>
        <v>366.96511281516194</v>
      </c>
      <c r="D272" s="617">
        <f>('Coverage ratios'!$R$17*B272)/((1+'Coverage ratios'!$R$19)^2)</f>
        <v>253.20669329199055</v>
      </c>
      <c r="E272" s="617">
        <f>('Coverage ratios'!$R$27*B272)/((1+'Coverage ratios'!$R$29)^3)</f>
        <v>241.32779603376832</v>
      </c>
      <c r="F272" s="617">
        <f>('Coverage ratios'!$R$37*B272)/((1+'Coverage ratios'!$R$39)^4)</f>
        <v>206.43637241028165</v>
      </c>
      <c r="G272" s="617">
        <f>('Coverage ratios'!$R$47*B272)/((1+'Coverage ratios'!$R$49)^5)</f>
        <v>176.1272107966148</v>
      </c>
      <c r="H272" s="617">
        <f>B272*'APV CALCULATION '!$Q$14</f>
        <v>6191.1487990379719</v>
      </c>
      <c r="I272" s="617">
        <f>((SUM(G272:H272)/(1+'APV CALCULATION '!$I$31^5))+F272/(1+'APV CALCULATION '!$H$31^4)+(E272/(1+'APV CALCULATION '!$G$31^3)+(D272/(1+'APV CALCULATION '!$F$31)^2)+(C272/(1+'APV CALCULATION '!$E$31))))</f>
        <v>7405.446883024104</v>
      </c>
      <c r="J272" s="617">
        <f>I272+'APV CALCULATION '!$C$45</f>
        <v>109517.18148062768</v>
      </c>
      <c r="L272" s="6"/>
      <c r="N272"/>
    </row>
    <row r="273" spans="2:14">
      <c r="B273" s="614">
        <f t="shared" si="9"/>
        <v>0.29900000000000015</v>
      </c>
      <c r="C273" s="617">
        <f>('Coverage ratios'!$R$7*B273)/(1+'Coverage ratios'!$R$9)</f>
        <v>368.19653936823295</v>
      </c>
      <c r="D273" s="617">
        <f>('Coverage ratios'!$R$17*B273)/((1+'Coverage ratios'!$R$19)^2)</f>
        <v>254.05638018223215</v>
      </c>
      <c r="E273" s="617">
        <f>('Coverage ratios'!$R$27*B273)/((1+'Coverage ratios'!$R$29)^3)</f>
        <v>242.13762085267359</v>
      </c>
      <c r="F273" s="617">
        <f>('Coverage ratios'!$R$37*B273)/((1+'Coverage ratios'!$R$39)^4)</f>
        <v>207.12911191501416</v>
      </c>
      <c r="G273" s="617">
        <f>('Coverage ratios'!$R$47*B273)/((1+'Coverage ratios'!$R$49)^5)</f>
        <v>176.71824170532827</v>
      </c>
      <c r="H273" s="617">
        <f>B273*'APV CALCULATION '!$Q$14</f>
        <v>6211.9244661488374</v>
      </c>
      <c r="I273" s="617">
        <f>((SUM(G273:H273)/(1+'APV CALCULATION '!$I$31^5))+F273/(1+'APV CALCULATION '!$H$31^4)+(E273/(1+'APV CALCULATION '!$G$31^3)+(D273/(1+'APV CALCULATION '!$F$31)^2)+(C273/(1+'APV CALCULATION '!$E$31))))</f>
        <v>7430.2973759201577</v>
      </c>
      <c r="J273" s="617">
        <f>I273+'APV CALCULATION '!$C$45</f>
        <v>109542.03197352373</v>
      </c>
      <c r="L273" s="6"/>
      <c r="N273"/>
    </row>
    <row r="274" spans="2:14" ht="17" thickBot="1">
      <c r="B274" s="615">
        <f t="shared" si="9"/>
        <v>0.30000000000000016</v>
      </c>
      <c r="C274" s="618">
        <f>('Coverage ratios'!$R$7*B274)/(1+'Coverage ratios'!$R$9)</f>
        <v>369.42796592130389</v>
      </c>
      <c r="D274" s="618">
        <f>('Coverage ratios'!$R$17*B274)/((1+'Coverage ratios'!$R$19)^2)</f>
        <v>254.90606707247369</v>
      </c>
      <c r="E274" s="618">
        <f>('Coverage ratios'!$R$27*B274)/((1+'Coverage ratios'!$R$29)^3)</f>
        <v>242.94744567157886</v>
      </c>
      <c r="F274" s="618">
        <f>('Coverage ratios'!$R$37*B274)/((1+'Coverage ratios'!$R$39)^4)</f>
        <v>207.82185141974665</v>
      </c>
      <c r="G274" s="618">
        <f>('Coverage ratios'!$R$47*B274)/((1+'Coverage ratios'!$R$49)^5)</f>
        <v>177.30927261404173</v>
      </c>
      <c r="H274" s="618">
        <f>B274*'APV CALCULATION '!$Q$14</f>
        <v>6232.7001332597029</v>
      </c>
      <c r="I274" s="618">
        <f>((SUM(G274:H274)/(1+'APV CALCULATION '!$I$31^5))+F274/(1+'APV CALCULATION '!$H$31^4)+(E274/(1+'APV CALCULATION '!$G$31^3)+(D274/(1+'APV CALCULATION '!$F$31)^2)+(C274/(1+'APV CALCULATION '!$E$31))))</f>
        <v>7455.1478688162115</v>
      </c>
      <c r="J274" s="618">
        <f>I274+'APV CALCULATION '!$C$45</f>
        <v>109566.88246641979</v>
      </c>
      <c r="L274" s="6"/>
      <c r="N274"/>
    </row>
    <row r="275" spans="2:14">
      <c r="L275" s="6"/>
      <c r="N275"/>
    </row>
    <row r="276" spans="2:14">
      <c r="L276" s="6"/>
      <c r="N276"/>
    </row>
    <row r="277" spans="2:14">
      <c r="L277" s="6"/>
      <c r="N277"/>
    </row>
    <row r="278" spans="2:14">
      <c r="L278" s="6"/>
      <c r="N278"/>
    </row>
    <row r="279" spans="2:14">
      <c r="L279" s="6"/>
      <c r="N279"/>
    </row>
    <row r="280" spans="2:14">
      <c r="L280" s="6"/>
      <c r="N280"/>
    </row>
    <row r="281" spans="2:14">
      <c r="L281" s="6"/>
      <c r="N281"/>
    </row>
    <row r="282" spans="2:14">
      <c r="L282" s="6"/>
      <c r="N282"/>
    </row>
    <row r="283" spans="2:14">
      <c r="L283" s="6"/>
      <c r="N283"/>
    </row>
    <row r="284" spans="2:14">
      <c r="L284" s="6"/>
      <c r="N284"/>
    </row>
    <row r="285" spans="2:14">
      <c r="L285" s="6"/>
      <c r="N285"/>
    </row>
    <row r="286" spans="2:14">
      <c r="L286" s="6"/>
      <c r="N286"/>
    </row>
    <row r="287" spans="2:14">
      <c r="L287" s="6"/>
      <c r="N287"/>
    </row>
    <row r="288" spans="2:14">
      <c r="L288" s="6"/>
      <c r="N288"/>
    </row>
    <row r="289" spans="12:14">
      <c r="L289" s="6"/>
      <c r="N289"/>
    </row>
    <row r="290" spans="12:14">
      <c r="L290" s="6"/>
      <c r="N290"/>
    </row>
    <row r="291" spans="12:14">
      <c r="L291" s="6"/>
      <c r="N291"/>
    </row>
    <row r="292" spans="12:14">
      <c r="L292" s="6"/>
      <c r="N292"/>
    </row>
    <row r="293" spans="12:14">
      <c r="L293" s="6"/>
      <c r="N293"/>
    </row>
    <row r="294" spans="12:14">
      <c r="L294" s="6"/>
      <c r="N294"/>
    </row>
    <row r="295" spans="12:14">
      <c r="L295" s="6"/>
      <c r="N295"/>
    </row>
    <row r="296" spans="12:14">
      <c r="L296" s="6"/>
      <c r="N296"/>
    </row>
    <row r="297" spans="12:14">
      <c r="L297" s="6"/>
      <c r="N297"/>
    </row>
    <row r="298" spans="12:14">
      <c r="L298" s="6"/>
      <c r="N298"/>
    </row>
    <row r="299" spans="12:14">
      <c r="L299" s="6"/>
      <c r="N299"/>
    </row>
    <row r="300" spans="12:14">
      <c r="L300" s="6"/>
      <c r="N300"/>
    </row>
    <row r="301" spans="12:14">
      <c r="L301" s="6"/>
      <c r="N301"/>
    </row>
    <row r="302" spans="12:14">
      <c r="L302" s="6"/>
      <c r="N302"/>
    </row>
    <row r="303" spans="12:14">
      <c r="L303" s="6"/>
      <c r="N303"/>
    </row>
    <row r="304" spans="12:14">
      <c r="L304" s="6"/>
      <c r="N304"/>
    </row>
    <row r="305" spans="12:14">
      <c r="L305" s="6"/>
      <c r="N305"/>
    </row>
    <row r="306" spans="12:14">
      <c r="L306" s="6"/>
      <c r="N306"/>
    </row>
  </sheetData>
  <mergeCells count="4">
    <mergeCell ref="Y3:Z3"/>
    <mergeCell ref="U3:X3"/>
    <mergeCell ref="B42:B48"/>
    <mergeCell ref="B40:C41"/>
  </mergeCells>
  <pageMargins left="0.7" right="0.7" top="0.75" bottom="0.75" header="0.3" footer="0.3"/>
  <ignoredErrors>
    <ignoredError sqref="N81" evalError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DD63-16B5-DA43-9565-8BB0DB48DD03}">
  <dimension ref="A1:AJ25"/>
  <sheetViews>
    <sheetView zoomScale="111" workbookViewId="0">
      <selection activeCell="J9" sqref="J9"/>
    </sheetView>
  </sheetViews>
  <sheetFormatPr baseColWidth="10" defaultRowHeight="16"/>
  <cols>
    <col min="1" max="2" width="10.83203125" style="495"/>
    <col min="3" max="3" width="11.83203125" style="495" customWidth="1"/>
    <col min="4" max="4" width="21.5" style="495" bestFit="1" customWidth="1"/>
    <col min="5" max="9" width="10.83203125" style="495"/>
    <col min="10" max="10" width="14.83203125" style="495" customWidth="1"/>
    <col min="11" max="16384" width="10.83203125" style="495"/>
  </cols>
  <sheetData>
    <row r="1" spans="1:24" ht="17" thickBot="1">
      <c r="A1" s="1027" t="s">
        <v>343</v>
      </c>
      <c r="B1" s="1051"/>
      <c r="C1" s="1051"/>
      <c r="D1" s="1028"/>
      <c r="G1" s="518" t="s">
        <v>385</v>
      </c>
      <c r="H1" s="519"/>
      <c r="I1" s="519"/>
      <c r="J1" s="519"/>
      <c r="K1" s="519"/>
      <c r="L1" s="519"/>
      <c r="M1" s="519"/>
      <c r="N1" s="519"/>
      <c r="O1" s="519"/>
      <c r="P1" s="520"/>
    </row>
    <row r="2" spans="1:24" ht="34" customHeight="1" thickBot="1">
      <c r="A2" s="1193" t="s">
        <v>298</v>
      </c>
      <c r="B2" s="1194"/>
      <c r="C2" s="1194"/>
      <c r="D2" s="748">
        <f>'Leverage and Restructuration'!C4</f>
        <v>301.5</v>
      </c>
      <c r="G2" s="497" t="s">
        <v>299</v>
      </c>
      <c r="H2" s="498" t="s">
        <v>300</v>
      </c>
      <c r="I2" s="498" t="s">
        <v>301</v>
      </c>
      <c r="J2" s="498" t="s">
        <v>302</v>
      </c>
      <c r="K2" s="498" t="s">
        <v>303</v>
      </c>
      <c r="L2" s="498" t="s">
        <v>304</v>
      </c>
      <c r="M2" s="498" t="s">
        <v>305</v>
      </c>
      <c r="N2" s="498" t="s">
        <v>306</v>
      </c>
      <c r="O2" s="498" t="s">
        <v>307</v>
      </c>
      <c r="P2" s="498" t="s">
        <v>308</v>
      </c>
    </row>
    <row r="3" spans="1:24" ht="25" customHeight="1">
      <c r="A3" s="1193" t="s">
        <v>309</v>
      </c>
      <c r="B3" s="1194"/>
      <c r="C3" s="1194"/>
      <c r="D3" s="749">
        <f>'Leverage and Restructuration'!C5</f>
        <v>281</v>
      </c>
      <c r="G3" s="499" t="s">
        <v>310</v>
      </c>
      <c r="H3" s="500" t="s">
        <v>311</v>
      </c>
      <c r="I3" s="501" t="s">
        <v>34</v>
      </c>
      <c r="J3" s="501" t="s">
        <v>312</v>
      </c>
      <c r="K3" s="501" t="s">
        <v>313</v>
      </c>
      <c r="L3" s="501">
        <v>43427</v>
      </c>
      <c r="M3" s="501" t="s">
        <v>314</v>
      </c>
      <c r="N3" s="501" t="s">
        <v>315</v>
      </c>
      <c r="O3" s="501" t="s">
        <v>315</v>
      </c>
      <c r="P3" s="501" t="s">
        <v>131</v>
      </c>
    </row>
    <row r="4" spans="1:24" ht="23" customHeight="1">
      <c r="A4" s="1193" t="s">
        <v>316</v>
      </c>
      <c r="B4" s="1194"/>
      <c r="C4" s="1194"/>
      <c r="D4" s="749">
        <f>D2*D3</f>
        <v>84721.5</v>
      </c>
      <c r="G4" s="502" t="s">
        <v>317</v>
      </c>
      <c r="H4" s="503" t="s">
        <v>311</v>
      </c>
      <c r="I4" s="504">
        <v>1250</v>
      </c>
      <c r="J4" s="504" t="s">
        <v>318</v>
      </c>
      <c r="K4" s="504" t="s">
        <v>313</v>
      </c>
      <c r="L4" s="504">
        <v>44158</v>
      </c>
      <c r="M4" s="504" t="s">
        <v>314</v>
      </c>
      <c r="N4" s="504" t="s">
        <v>315</v>
      </c>
      <c r="O4" s="504" t="s">
        <v>315</v>
      </c>
      <c r="P4" s="504" t="s">
        <v>131</v>
      </c>
      <c r="Q4" s="496"/>
      <c r="R4" s="496"/>
      <c r="S4" s="496"/>
      <c r="T4" s="496"/>
      <c r="U4" s="496"/>
      <c r="V4" s="496"/>
      <c r="W4" s="496"/>
      <c r="X4" s="496"/>
    </row>
    <row r="5" spans="1:24" ht="32" customHeight="1">
      <c r="A5" s="1193" t="s">
        <v>435</v>
      </c>
      <c r="B5" s="1194"/>
      <c r="C5" s="1194"/>
      <c r="D5" s="750">
        <f>('Leverage and Restructuration'!B31+'Leverage and Restructuration'!C2)/2</f>
        <v>23233.117091523876</v>
      </c>
      <c r="G5" s="502" t="s">
        <v>319</v>
      </c>
      <c r="H5" s="503" t="s">
        <v>311</v>
      </c>
      <c r="I5" s="504">
        <v>500</v>
      </c>
      <c r="J5" s="504" t="s">
        <v>320</v>
      </c>
      <c r="K5" s="504" t="s">
        <v>313</v>
      </c>
      <c r="L5" s="504">
        <v>44941</v>
      </c>
      <c r="M5" s="504" t="s">
        <v>314</v>
      </c>
      <c r="N5" s="504" t="s">
        <v>315</v>
      </c>
      <c r="O5" s="504" t="s">
        <v>315</v>
      </c>
      <c r="P5" s="504" t="s">
        <v>131</v>
      </c>
      <c r="Q5" s="496"/>
      <c r="R5" s="496"/>
      <c r="S5" s="496"/>
      <c r="T5" s="496"/>
      <c r="U5" s="496"/>
      <c r="V5" s="496"/>
      <c r="W5" s="496"/>
      <c r="X5" s="496"/>
    </row>
    <row r="6" spans="1:24" ht="26" customHeight="1">
      <c r="A6" s="1193" t="s">
        <v>321</v>
      </c>
      <c r="B6" s="1194"/>
      <c r="C6" s="1194"/>
      <c r="D6" s="751">
        <f>D4/(D4+D5)</f>
        <v>0.78478811080560962</v>
      </c>
      <c r="G6" s="502" t="s">
        <v>322</v>
      </c>
      <c r="H6" s="503" t="s">
        <v>311</v>
      </c>
      <c r="I6" s="504">
        <v>900</v>
      </c>
      <c r="J6" s="504" t="s">
        <v>323</v>
      </c>
      <c r="K6" s="504" t="s">
        <v>313</v>
      </c>
      <c r="L6" s="504">
        <v>44454</v>
      </c>
      <c r="M6" s="504" t="s">
        <v>314</v>
      </c>
      <c r="N6" s="504" t="s">
        <v>315</v>
      </c>
      <c r="O6" s="504" t="s">
        <v>315</v>
      </c>
      <c r="P6" s="504" t="s">
        <v>131</v>
      </c>
      <c r="X6" s="505"/>
    </row>
    <row r="7" spans="1:24" ht="29" customHeight="1">
      <c r="A7" s="1193" t="s">
        <v>432</v>
      </c>
      <c r="B7" s="1194"/>
      <c r="C7" s="1194"/>
      <c r="D7" s="751">
        <f>D5/(D4+D5)</f>
        <v>0.21521188919439035</v>
      </c>
      <c r="E7" s="757"/>
      <c r="F7" s="757"/>
      <c r="G7" s="502" t="s">
        <v>324</v>
      </c>
      <c r="H7" s="503" t="s">
        <v>311</v>
      </c>
      <c r="I7" s="504">
        <v>900</v>
      </c>
      <c r="J7" s="504" t="s">
        <v>325</v>
      </c>
      <c r="K7" s="504" t="s">
        <v>313</v>
      </c>
      <c r="L7" s="504">
        <v>43784</v>
      </c>
      <c r="M7" s="504" t="s">
        <v>314</v>
      </c>
      <c r="N7" s="504" t="s">
        <v>315</v>
      </c>
      <c r="O7" s="504" t="s">
        <v>315</v>
      </c>
      <c r="P7" s="504" t="s">
        <v>131</v>
      </c>
      <c r="X7" s="496"/>
    </row>
    <row r="8" spans="1:24" ht="25" customHeight="1" thickBot="1">
      <c r="A8" s="1193" t="s">
        <v>326</v>
      </c>
      <c r="B8" s="1194"/>
      <c r="C8" s="1194"/>
      <c r="D8" s="751">
        <f>D13+D12*D11</f>
        <v>7.7565255707290615E-2</v>
      </c>
      <c r="G8" s="506" t="s">
        <v>327</v>
      </c>
      <c r="H8" s="507" t="s">
        <v>311</v>
      </c>
      <c r="I8" s="508">
        <v>1054</v>
      </c>
      <c r="J8" s="509">
        <f>(0.045+0.0615)/2</f>
        <v>5.3249999999999999E-2</v>
      </c>
      <c r="K8" s="508" t="s">
        <v>313</v>
      </c>
      <c r="L8" s="508">
        <v>2036</v>
      </c>
      <c r="M8" s="508" t="s">
        <v>314</v>
      </c>
      <c r="N8" s="508" t="s">
        <v>315</v>
      </c>
      <c r="O8" s="508" t="s">
        <v>315</v>
      </c>
      <c r="P8" s="508" t="s">
        <v>131</v>
      </c>
      <c r="X8" s="496"/>
    </row>
    <row r="9" spans="1:24" ht="17" thickBot="1">
      <c r="A9" s="1193" t="s">
        <v>328</v>
      </c>
      <c r="B9" s="1194"/>
      <c r="C9" s="1194"/>
      <c r="D9" s="751">
        <f>(I4*J4+I5*J5+I6*J6+I7*J7+I8*J8)/I9</f>
        <v>3.7201455256298872E-2</v>
      </c>
      <c r="G9" s="1195" t="s">
        <v>329</v>
      </c>
      <c r="H9" s="1196"/>
      <c r="I9" s="514">
        <f>SUM(I3:I8)</f>
        <v>4604</v>
      </c>
      <c r="J9" s="510">
        <f>(I4*J4+I5*J5+I6*J6+I7*J7+I8*J8)/I9</f>
        <v>3.7201455256298872E-2</v>
      </c>
      <c r="X9" s="496"/>
    </row>
    <row r="10" spans="1:24">
      <c r="A10" s="1193" t="s">
        <v>330</v>
      </c>
      <c r="B10" s="1194"/>
      <c r="C10" s="1194"/>
      <c r="D10" s="751">
        <f>Rates!I21</f>
        <v>0.21</v>
      </c>
      <c r="X10" s="496"/>
    </row>
    <row r="11" spans="1:24" ht="17" thickBot="1">
      <c r="A11" s="1193" t="s">
        <v>294</v>
      </c>
      <c r="B11" s="1194"/>
      <c r="C11" s="1194"/>
      <c r="D11" s="752">
        <f>Rates!T25</f>
        <v>0.71766568297043387</v>
      </c>
      <c r="X11" s="496"/>
    </row>
    <row r="12" spans="1:24" ht="17" thickBot="1">
      <c r="A12" s="1193" t="s">
        <v>331</v>
      </c>
      <c r="B12" s="1194"/>
      <c r="C12" s="1194"/>
      <c r="D12" s="751">
        <f>Rates!T27-D13</f>
        <v>8.0199902759456404E-2</v>
      </c>
      <c r="E12" s="1200" t="s">
        <v>188</v>
      </c>
      <c r="F12" s="1201"/>
      <c r="G12" s="1201"/>
      <c r="H12" s="1201"/>
      <c r="I12" s="1201"/>
      <c r="J12" s="1202"/>
      <c r="X12" s="496"/>
    </row>
    <row r="13" spans="1:24" ht="17" thickBot="1">
      <c r="A13" s="1193" t="s">
        <v>332</v>
      </c>
      <c r="B13" s="1194"/>
      <c r="C13" s="1194"/>
      <c r="D13" s="751">
        <f>AVERAGE(Rates!N4,Rates!T4,Rates!Z4,Rates!AF4)</f>
        <v>2.0008537719262955E-2</v>
      </c>
      <c r="E13" s="1200" t="s">
        <v>404</v>
      </c>
      <c r="F13" s="1201"/>
      <c r="G13" s="1201"/>
      <c r="H13" s="1201"/>
      <c r="I13" s="1201"/>
      <c r="J13" s="1202"/>
      <c r="X13" s="496"/>
    </row>
    <row r="14" spans="1:24" ht="17" thickBot="1">
      <c r="A14" s="1193" t="s">
        <v>431</v>
      </c>
      <c r="B14" s="1194"/>
      <c r="C14" s="1194"/>
      <c r="D14" s="751">
        <f>D6*D8+D7*D9*(1-D10)</f>
        <v>6.7197184909204677E-2</v>
      </c>
      <c r="E14" s="1197" t="s">
        <v>430</v>
      </c>
      <c r="F14" s="1083"/>
      <c r="G14" s="1083"/>
      <c r="H14" s="1083"/>
      <c r="I14" s="1083"/>
      <c r="J14" s="1084"/>
      <c r="N14" s="511"/>
      <c r="O14" s="511"/>
      <c r="Q14" s="511"/>
      <c r="R14" s="511"/>
      <c r="S14" s="511"/>
      <c r="T14" s="511"/>
      <c r="U14" s="511"/>
      <c r="V14" s="511"/>
      <c r="W14" s="511"/>
      <c r="X14" s="496"/>
    </row>
    <row r="15" spans="1:24" ht="17" thickBot="1">
      <c r="A15" s="1193" t="s">
        <v>340</v>
      </c>
      <c r="B15" s="1194"/>
      <c r="C15" s="1194"/>
      <c r="D15" s="753">
        <f>'Restructuration cap'!AH39</f>
        <v>3.7917418511711327E-2</v>
      </c>
      <c r="E15" s="1197" t="s">
        <v>421</v>
      </c>
      <c r="F15" s="1083"/>
      <c r="G15" s="1083"/>
      <c r="H15" s="1083"/>
      <c r="I15" s="1083"/>
      <c r="J15" s="1084"/>
      <c r="N15" s="496"/>
      <c r="O15" s="496"/>
      <c r="P15" s="496"/>
      <c r="Q15" s="496"/>
      <c r="R15" s="512"/>
      <c r="S15" s="496"/>
      <c r="T15" s="496"/>
      <c r="U15" s="496"/>
      <c r="V15" s="496"/>
      <c r="W15" s="496"/>
      <c r="X15" s="496"/>
    </row>
    <row r="16" spans="1:24">
      <c r="A16" s="1193" t="s">
        <v>333</v>
      </c>
      <c r="B16" s="1194"/>
      <c r="C16" s="1194"/>
      <c r="D16" s="754">
        <f>('Restructuration cap'!AA79*(1+D15)/(D14-D15))</f>
        <v>140401.18885097548</v>
      </c>
      <c r="X16" s="496"/>
    </row>
    <row r="17" spans="1:36">
      <c r="A17" s="1193" t="s">
        <v>334</v>
      </c>
      <c r="B17" s="1194"/>
      <c r="C17" s="1194"/>
      <c r="D17" s="754">
        <f>NPV(D14,'Restructuration cap'!W79:AA79)</f>
        <v>15430.582772103575</v>
      </c>
      <c r="Q17" s="513"/>
      <c r="X17" s="496"/>
    </row>
    <row r="18" spans="1:36" ht="17" thickBot="1">
      <c r="A18" s="1193" t="s">
        <v>335</v>
      </c>
      <c r="B18" s="1194"/>
      <c r="C18" s="1194"/>
      <c r="D18" s="754">
        <f>D16/((1+D14)^5)</f>
        <v>101425.56375495439</v>
      </c>
      <c r="E18" s="637"/>
      <c r="F18" s="637"/>
      <c r="G18" s="637"/>
      <c r="X18" s="496"/>
    </row>
    <row r="19" spans="1:36" ht="17" thickBot="1">
      <c r="A19" s="1198" t="s">
        <v>344</v>
      </c>
      <c r="B19" s="1199"/>
      <c r="C19" s="1199"/>
      <c r="D19" s="755">
        <f>D17+D18</f>
        <v>116856.14652705796</v>
      </c>
      <c r="E19" s="1197" t="s">
        <v>436</v>
      </c>
      <c r="F19" s="1083"/>
      <c r="G19" s="1083"/>
      <c r="H19" s="1083"/>
      <c r="I19" s="1083"/>
      <c r="J19" s="1084"/>
      <c r="X19" s="496"/>
    </row>
    <row r="20" spans="1:36">
      <c r="X20" s="496"/>
    </row>
    <row r="21" spans="1:36">
      <c r="X21" s="496"/>
    </row>
    <row r="22" spans="1:36" ht="17" thickBot="1">
      <c r="X22" s="496"/>
    </row>
    <row r="23" spans="1:36">
      <c r="A23" s="1186" t="s">
        <v>433</v>
      </c>
      <c r="B23" s="1187"/>
      <c r="C23" s="1189" t="s">
        <v>434</v>
      </c>
      <c r="D23" s="1189"/>
      <c r="E23" s="1189"/>
      <c r="F23" s="1189"/>
      <c r="G23" s="1189"/>
      <c r="H23" s="1189"/>
      <c r="I23" s="1189"/>
      <c r="J23" s="1189"/>
      <c r="K23" s="1189"/>
      <c r="L23" s="1189"/>
      <c r="M23" s="1189"/>
      <c r="N23" s="1189"/>
      <c r="O23" s="1189"/>
      <c r="P23" s="1189"/>
      <c r="Q23" s="1189"/>
      <c r="R23" s="1189"/>
      <c r="S23" s="1189"/>
      <c r="T23" s="1189"/>
      <c r="U23" s="1189"/>
      <c r="V23" s="1189"/>
      <c r="W23" s="1189"/>
      <c r="X23" s="1189"/>
      <c r="Y23" s="1189"/>
      <c r="Z23" s="1189"/>
      <c r="AA23" s="1189"/>
      <c r="AB23" s="1189"/>
      <c r="AC23" s="1189"/>
      <c r="AD23" s="1189"/>
      <c r="AE23" s="1189"/>
      <c r="AF23" s="1189"/>
      <c r="AG23" s="1189"/>
      <c r="AH23" s="1189"/>
      <c r="AI23" s="1189"/>
      <c r="AJ23" s="1190"/>
    </row>
    <row r="24" spans="1:36" ht="17" thickBot="1">
      <c r="A24" s="1152"/>
      <c r="B24" s="1188"/>
      <c r="C24" s="1191"/>
      <c r="D24" s="1191"/>
      <c r="E24" s="1191"/>
      <c r="F24" s="1191"/>
      <c r="G24" s="1191"/>
      <c r="H24" s="1191"/>
      <c r="I24" s="1191"/>
      <c r="J24" s="1191"/>
      <c r="K24" s="1191"/>
      <c r="L24" s="1191"/>
      <c r="M24" s="1191"/>
      <c r="N24" s="1191"/>
      <c r="O24" s="1191"/>
      <c r="P24" s="1191"/>
      <c r="Q24" s="1191"/>
      <c r="R24" s="1191"/>
      <c r="S24" s="1191"/>
      <c r="T24" s="1191"/>
      <c r="U24" s="1191"/>
      <c r="V24" s="1191"/>
      <c r="W24" s="1191"/>
      <c r="X24" s="1191"/>
      <c r="Y24" s="1191"/>
      <c r="Z24" s="1191"/>
      <c r="AA24" s="1191"/>
      <c r="AB24" s="1191"/>
      <c r="AC24" s="1191"/>
      <c r="AD24" s="1191"/>
      <c r="AE24" s="1191"/>
      <c r="AF24" s="1191"/>
      <c r="AG24" s="1191"/>
      <c r="AH24" s="1191"/>
      <c r="AI24" s="1191"/>
      <c r="AJ24" s="1192"/>
    </row>
    <row r="25" spans="1:36">
      <c r="X25" s="496"/>
    </row>
  </sheetData>
  <mergeCells count="27">
    <mergeCell ref="A16:C16"/>
    <mergeCell ref="A17:C17"/>
    <mergeCell ref="E13:J13"/>
    <mergeCell ref="E12:J12"/>
    <mergeCell ref="E15:J15"/>
    <mergeCell ref="E14:J14"/>
    <mergeCell ref="A1:D1"/>
    <mergeCell ref="A2:C2"/>
    <mergeCell ref="A3:C3"/>
    <mergeCell ref="A4:C4"/>
    <mergeCell ref="A5:C5"/>
    <mergeCell ref="A23:B24"/>
    <mergeCell ref="C23:AJ24"/>
    <mergeCell ref="A10:C10"/>
    <mergeCell ref="A11:C11"/>
    <mergeCell ref="A6:C6"/>
    <mergeCell ref="A7:C7"/>
    <mergeCell ref="A8:C8"/>
    <mergeCell ref="A9:C9"/>
    <mergeCell ref="G9:H9"/>
    <mergeCell ref="E19:J19"/>
    <mergeCell ref="A18:C18"/>
    <mergeCell ref="A19:C19"/>
    <mergeCell ref="A12:C12"/>
    <mergeCell ref="A13:C13"/>
    <mergeCell ref="A14:C14"/>
    <mergeCell ref="A15:C15"/>
  </mergeCells>
  <pageMargins left="0.7" right="0.7" top="0.75" bottom="0.75" header="0.3" footer="0.3"/>
  <ignoredErrors>
    <ignoredError sqref="J3: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D33E-C05A-B145-AE5F-F2E86D2C0D74}">
  <dimension ref="A1:AO88"/>
  <sheetViews>
    <sheetView zoomScale="75" zoomScaleNormal="125" workbookViewId="0">
      <selection activeCell="AC3" sqref="AC3:AD3"/>
    </sheetView>
  </sheetViews>
  <sheetFormatPr baseColWidth="10" defaultRowHeight="16"/>
  <cols>
    <col min="1" max="2" width="10.83203125" style="60"/>
    <col min="4" max="22" width="12" bestFit="1" customWidth="1"/>
    <col min="23" max="23" width="12.1640625" bestFit="1" customWidth="1"/>
    <col min="32" max="32" width="36.1640625" customWidth="1"/>
    <col min="33" max="33" width="41.1640625" customWidth="1"/>
    <col min="35" max="35" width="18.1640625" customWidth="1"/>
  </cols>
  <sheetData>
    <row r="1" spans="1:36" ht="17" thickBot="1">
      <c r="A1" s="986" t="s">
        <v>273</v>
      </c>
      <c r="B1" s="987"/>
      <c r="C1" s="988"/>
      <c r="D1" s="359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1"/>
      <c r="W1" s="94"/>
      <c r="X1" s="94"/>
      <c r="Y1" s="94"/>
      <c r="Z1" s="94"/>
      <c r="AA1" s="94"/>
    </row>
    <row r="2" spans="1:36" ht="31" customHeight="1" thickBot="1">
      <c r="A2" s="989" t="s">
        <v>395</v>
      </c>
      <c r="B2" s="990"/>
      <c r="C2" s="991"/>
      <c r="D2" s="379">
        <v>2000</v>
      </c>
      <c r="E2" s="380">
        <v>2001</v>
      </c>
      <c r="F2" s="380">
        <v>2002</v>
      </c>
      <c r="G2" s="380">
        <v>2003</v>
      </c>
      <c r="H2" s="380">
        <v>2004</v>
      </c>
      <c r="I2" s="380">
        <v>2005</v>
      </c>
      <c r="J2" s="380">
        <v>2006</v>
      </c>
      <c r="K2" s="380">
        <v>2007</v>
      </c>
      <c r="L2" s="380">
        <v>2008</v>
      </c>
      <c r="M2" s="380">
        <v>2009</v>
      </c>
      <c r="N2" s="380">
        <v>2010</v>
      </c>
      <c r="O2" s="380">
        <v>2011</v>
      </c>
      <c r="P2" s="380">
        <v>2012</v>
      </c>
      <c r="Q2" s="380">
        <v>2013</v>
      </c>
      <c r="R2" s="380">
        <v>2014</v>
      </c>
      <c r="S2" s="380">
        <v>2015</v>
      </c>
      <c r="T2" s="380">
        <v>2016</v>
      </c>
      <c r="U2" s="380">
        <v>2017</v>
      </c>
      <c r="V2" s="381">
        <v>2018</v>
      </c>
      <c r="W2" s="382">
        <f>2019</f>
        <v>2019</v>
      </c>
      <c r="X2" s="383">
        <f>2020</f>
        <v>2020</v>
      </c>
      <c r="Y2" s="383">
        <f>2021</f>
        <v>2021</v>
      </c>
      <c r="Z2" s="383">
        <v>2022</v>
      </c>
      <c r="AA2" s="384">
        <v>2023</v>
      </c>
      <c r="AC2" s="1027" t="s">
        <v>173</v>
      </c>
      <c r="AD2" s="1028"/>
      <c r="AE2" s="160">
        <v>2019</v>
      </c>
      <c r="AF2" s="160">
        <v>2020</v>
      </c>
      <c r="AG2" s="160">
        <v>2021</v>
      </c>
      <c r="AH2" s="160">
        <v>2022</v>
      </c>
      <c r="AI2" s="161">
        <v>2023</v>
      </c>
      <c r="AJ2" s="90"/>
    </row>
    <row r="3" spans="1:36" ht="17" thickBot="1">
      <c r="A3" s="992" t="s">
        <v>173</v>
      </c>
      <c r="B3" s="993"/>
      <c r="C3" s="994"/>
      <c r="D3" s="948" t="s">
        <v>213</v>
      </c>
      <c r="E3" s="949"/>
      <c r="F3" s="949"/>
      <c r="G3" s="949"/>
      <c r="H3" s="949"/>
      <c r="I3" s="949"/>
      <c r="J3" s="949"/>
      <c r="K3" s="949"/>
      <c r="L3" s="949"/>
      <c r="M3" s="949"/>
      <c r="N3" s="949"/>
      <c r="O3" s="949"/>
      <c r="P3" s="949"/>
      <c r="Q3" s="949"/>
      <c r="R3" s="949"/>
      <c r="S3" s="949"/>
      <c r="T3" s="949"/>
      <c r="U3" s="949"/>
      <c r="V3" s="950"/>
      <c r="W3" s="948" t="s">
        <v>214</v>
      </c>
      <c r="X3" s="949"/>
      <c r="Y3" s="949"/>
      <c r="Z3" s="949"/>
      <c r="AA3" s="950"/>
      <c r="AC3" s="1029" t="s">
        <v>174</v>
      </c>
      <c r="AD3" s="1030"/>
      <c r="AE3" s="470">
        <f>W6-_xlfn.FORECAST.ETS.CONFINT(W2,$D$6:V6,$D$2:V2,0.95,1,1)</f>
        <v>49514.425296209964</v>
      </c>
      <c r="AF3" s="470">
        <f>X6-_xlfn.FORECAST.ETS.CONFINT(X2,$D$6:W6,$D$2:W2,0.95,1,1)</f>
        <v>50909.839650062488</v>
      </c>
      <c r="AG3" s="470">
        <f>Y6-_xlfn.FORECAST.ETS.CONFINT(Y2,$D$6:X6,$D$2:X2,0.95,1,1)</f>
        <v>52471.228221695506</v>
      </c>
      <c r="AH3" s="470">
        <f>Z6-_xlfn.FORECAST.ETS.CONFINT(Z2,$D$6:Y6,$D$2:Y2,0.95,1,1)</f>
        <v>54469.483200579227</v>
      </c>
      <c r="AI3" s="471">
        <f>AA6-_xlfn.FORECAST.ETS.CONFINT(AA2,$D$6:Z6,$D$2:Z2,0.95,1,1)</f>
        <v>56112.645468223549</v>
      </c>
    </row>
    <row r="4" spans="1:36" ht="17" thickBot="1">
      <c r="A4" s="998" t="s">
        <v>4</v>
      </c>
      <c r="B4" s="999"/>
      <c r="C4" s="1000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63"/>
      <c r="V4" s="93"/>
      <c r="W4" s="456"/>
      <c r="X4" s="457"/>
      <c r="Y4" s="457"/>
      <c r="Z4" s="457"/>
      <c r="AA4" s="458"/>
      <c r="AC4" s="1031" t="s">
        <v>175</v>
      </c>
      <c r="AD4" s="1032"/>
      <c r="AE4" s="470">
        <f>W6+_xlfn.FORECAST.ETS.CONFINT(W2,$D$6:V6,$D$2:V2,0.95,1,1)</f>
        <v>60672.536107298809</v>
      </c>
      <c r="AF4" s="470">
        <f>X6+_xlfn.FORECAST.ETS.CONFINT(X2,$D$6:W6,$D$2:W2,0.95,1,1)</f>
        <v>61986.997141917462</v>
      </c>
      <c r="AG4" s="471">
        <f>Y6+_xlfn.FORECAST.ETS.CONFINT(Y2,$D$6:X6,$D$2:X2,0.95,1,1)</f>
        <v>63170.212493078448</v>
      </c>
      <c r="AH4" s="472">
        <f>Z6+_xlfn.FORECAST.ETS.CONFINT(Z2,$D$6:Y6,$D$2:Y2,0.95,1,1)</f>
        <v>64240.378875397175</v>
      </c>
      <c r="AI4" s="147">
        <f>AA6+_xlfn.FORECAST.ETS.CONFINT(AA2,$D$6:Z6,$D$2:Z2,0.95,1,1)</f>
        <v>65667.241146201632</v>
      </c>
    </row>
    <row r="5" spans="1:36">
      <c r="A5" s="995" t="s">
        <v>91</v>
      </c>
      <c r="B5" s="996"/>
      <c r="C5" s="997"/>
      <c r="D5" s="1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62"/>
      <c r="V5" s="89"/>
      <c r="W5" s="452"/>
      <c r="X5" s="451"/>
      <c r="Y5" s="451"/>
      <c r="Z5" s="451"/>
      <c r="AA5" s="453"/>
      <c r="AD5" s="142"/>
      <c r="AE5" s="142"/>
      <c r="AF5" s="142"/>
      <c r="AG5" s="142"/>
      <c r="AH5" s="142"/>
      <c r="AI5" s="142"/>
    </row>
    <row r="6" spans="1:36">
      <c r="A6" s="936" t="s">
        <v>5</v>
      </c>
      <c r="B6" s="937"/>
      <c r="C6" s="931"/>
      <c r="D6" s="196">
        <v>24541</v>
      </c>
      <c r="E6" s="96">
        <v>23990</v>
      </c>
      <c r="F6" s="96">
        <v>26578</v>
      </c>
      <c r="G6" s="96">
        <v>31824</v>
      </c>
      <c r="H6" s="96">
        <v>35526</v>
      </c>
      <c r="I6" s="96">
        <v>37213</v>
      </c>
      <c r="J6" s="96">
        <v>39620</v>
      </c>
      <c r="K6" s="96">
        <v>41862</v>
      </c>
      <c r="L6" s="96">
        <v>41372</v>
      </c>
      <c r="M6" s="96">
        <v>43867</v>
      </c>
      <c r="N6" s="96">
        <v>45671</v>
      </c>
      <c r="O6" s="96">
        <v>46499</v>
      </c>
      <c r="P6" s="96">
        <v>47182</v>
      </c>
      <c r="Q6" s="96">
        <v>45358</v>
      </c>
      <c r="R6" s="96">
        <v>39946</v>
      </c>
      <c r="S6" s="96">
        <v>40536</v>
      </c>
      <c r="T6" s="96">
        <v>47290</v>
      </c>
      <c r="U6" s="96">
        <v>49960</v>
      </c>
      <c r="V6" s="99">
        <v>53762</v>
      </c>
      <c r="W6" s="459">
        <f>_xlfn.FORECAST.ETS(W2,$D$6:V6,$D$2:V2,1,1)</f>
        <v>55093.480701754386</v>
      </c>
      <c r="X6" s="460">
        <f>_xlfn.FORECAST.ETS(X2,$D$6:W6,$D$2:W2,1,1)</f>
        <v>56448.418395989975</v>
      </c>
      <c r="Y6" s="460">
        <f>_xlfn.FORECAST.ETS(Y2,$D$6:X6,$D$2:X2,1,1)</f>
        <v>57820.720357386977</v>
      </c>
      <c r="Z6" s="460">
        <f>_xlfn.FORECAST.ETS(Z2,$D$6:Y6,$D$2:Y2,1,1)</f>
        <v>59354.931037988201</v>
      </c>
      <c r="AA6" s="461">
        <f>_xlfn.FORECAST.ETS(AA2,$D$6:Z6,$D$2:Z2,1,1)</f>
        <v>60889.94330721259</v>
      </c>
      <c r="AD6" s="142"/>
      <c r="AE6" s="142"/>
      <c r="AF6" s="142"/>
      <c r="AG6" s="142"/>
      <c r="AH6" s="142"/>
      <c r="AI6" s="142"/>
    </row>
    <row r="7" spans="1:36">
      <c r="A7" s="923" t="s">
        <v>137</v>
      </c>
      <c r="B7" s="924"/>
      <c r="C7" s="925"/>
      <c r="D7" s="197"/>
      <c r="E7" s="120">
        <f t="shared" ref="E7:V7" si="0">(E6-D6)/D6</f>
        <v>-2.2452222810806406E-2</v>
      </c>
      <c r="F7" s="120">
        <f t="shared" si="0"/>
        <v>0.10787828261775739</v>
      </c>
      <c r="G7" s="120">
        <f t="shared" si="0"/>
        <v>0.19738129279855521</v>
      </c>
      <c r="H7" s="120">
        <f t="shared" si="0"/>
        <v>0.11632730015082957</v>
      </c>
      <c r="I7" s="120">
        <f t="shared" si="0"/>
        <v>4.7486348026797277E-2</v>
      </c>
      <c r="J7" s="120">
        <f t="shared" si="0"/>
        <v>6.4681697256335158E-2</v>
      </c>
      <c r="K7" s="120">
        <f t="shared" si="0"/>
        <v>5.658758202927814E-2</v>
      </c>
      <c r="L7" s="120">
        <f t="shared" si="0"/>
        <v>-1.1705126367588744E-2</v>
      </c>
      <c r="M7" s="120">
        <f t="shared" si="0"/>
        <v>6.0306487479454704E-2</v>
      </c>
      <c r="N7" s="120">
        <f t="shared" si="0"/>
        <v>4.1124307566051926E-2</v>
      </c>
      <c r="O7" s="120">
        <f t="shared" si="0"/>
        <v>1.8129666527993693E-2</v>
      </c>
      <c r="P7" s="120">
        <f t="shared" si="0"/>
        <v>1.4688487924471494E-2</v>
      </c>
      <c r="Q7" s="120">
        <f t="shared" si="0"/>
        <v>-3.8658810563350431E-2</v>
      </c>
      <c r="R7" s="120">
        <f t="shared" si="0"/>
        <v>-0.11931743022179109</v>
      </c>
      <c r="S7" s="120">
        <f t="shared" si="0"/>
        <v>1.4769939418214589E-2</v>
      </c>
      <c r="T7" s="120">
        <f t="shared" si="0"/>
        <v>0.16661732780738109</v>
      </c>
      <c r="U7" s="120">
        <f t="shared" si="0"/>
        <v>5.6460139564389937E-2</v>
      </c>
      <c r="V7" s="120">
        <f t="shared" si="0"/>
        <v>7.6100880704563653E-2</v>
      </c>
      <c r="W7" s="150">
        <f t="shared" ref="W7:AA7" si="1">(W6-V6)/V6</f>
        <v>2.4766204786919873E-2</v>
      </c>
      <c r="X7" s="120">
        <f t="shared" si="1"/>
        <v>2.459343060153471E-2</v>
      </c>
      <c r="Y7" s="120">
        <f t="shared" si="1"/>
        <v>2.4310724735814554E-2</v>
      </c>
      <c r="Z7" s="120">
        <f t="shared" si="1"/>
        <v>2.6533925401107838E-2</v>
      </c>
      <c r="AA7" s="121">
        <f t="shared" si="1"/>
        <v>2.5861579524739983E-2</v>
      </c>
      <c r="AD7" s="143"/>
      <c r="AE7" s="143"/>
      <c r="AF7" s="143"/>
      <c r="AG7" s="144"/>
      <c r="AH7" s="142"/>
      <c r="AI7" s="142"/>
    </row>
    <row r="8" spans="1:36">
      <c r="A8" s="929" t="s">
        <v>6</v>
      </c>
      <c r="B8" s="930"/>
      <c r="C8" s="931"/>
      <c r="D8" s="196" t="s">
        <v>34</v>
      </c>
      <c r="E8" s="96" t="s">
        <v>34</v>
      </c>
      <c r="F8" s="96" t="s">
        <v>34</v>
      </c>
      <c r="G8" s="96" t="s">
        <v>34</v>
      </c>
      <c r="H8" s="96" t="s">
        <v>34</v>
      </c>
      <c r="I8" s="96" t="s">
        <v>34</v>
      </c>
      <c r="J8" s="96" t="s">
        <v>34</v>
      </c>
      <c r="K8" s="96" t="s">
        <v>34</v>
      </c>
      <c r="L8" s="96" t="s">
        <v>34</v>
      </c>
      <c r="M8" s="96" t="s">
        <v>34</v>
      </c>
      <c r="N8" s="96" t="s">
        <v>34</v>
      </c>
      <c r="O8" s="96" t="s">
        <v>34</v>
      </c>
      <c r="P8" s="96" t="s">
        <v>34</v>
      </c>
      <c r="Q8" s="96" t="s">
        <v>34</v>
      </c>
      <c r="R8" s="96" t="s">
        <v>34</v>
      </c>
      <c r="S8" s="96" t="s">
        <v>34</v>
      </c>
      <c r="T8" s="96" t="s">
        <v>34</v>
      </c>
      <c r="U8" s="96" t="s">
        <v>34</v>
      </c>
      <c r="V8" s="99" t="s">
        <v>34</v>
      </c>
      <c r="W8" s="459" t="s">
        <v>34</v>
      </c>
      <c r="X8" s="460" t="s">
        <v>34</v>
      </c>
      <c r="Y8" s="460" t="s">
        <v>34</v>
      </c>
      <c r="Z8" s="460" t="s">
        <v>34</v>
      </c>
      <c r="AA8" s="461" t="s">
        <v>34</v>
      </c>
      <c r="AD8" s="143"/>
      <c r="AE8" s="143"/>
      <c r="AF8" s="143"/>
      <c r="AG8" s="142"/>
      <c r="AH8" s="142"/>
      <c r="AI8" s="142"/>
    </row>
    <row r="9" spans="1:36">
      <c r="A9" s="923" t="s">
        <v>137</v>
      </c>
      <c r="B9" s="924"/>
      <c r="C9" s="925"/>
      <c r="D9" s="196" t="s">
        <v>34</v>
      </c>
      <c r="E9" s="96" t="s">
        <v>34</v>
      </c>
      <c r="F9" s="96" t="s">
        <v>34</v>
      </c>
      <c r="G9" s="96" t="s">
        <v>34</v>
      </c>
      <c r="H9" s="96" t="s">
        <v>34</v>
      </c>
      <c r="I9" s="96" t="s">
        <v>34</v>
      </c>
      <c r="J9" s="96" t="s">
        <v>34</v>
      </c>
      <c r="K9" s="96" t="s">
        <v>34</v>
      </c>
      <c r="L9" s="96" t="s">
        <v>34</v>
      </c>
      <c r="M9" s="96" t="s">
        <v>34</v>
      </c>
      <c r="N9" s="96" t="s">
        <v>34</v>
      </c>
      <c r="O9" s="96" t="s">
        <v>34</v>
      </c>
      <c r="P9" s="96" t="s">
        <v>34</v>
      </c>
      <c r="Q9" s="96" t="s">
        <v>34</v>
      </c>
      <c r="R9" s="96" t="s">
        <v>34</v>
      </c>
      <c r="S9" s="96" t="s">
        <v>34</v>
      </c>
      <c r="T9" s="96" t="s">
        <v>34</v>
      </c>
      <c r="U9" s="96" t="s">
        <v>34</v>
      </c>
      <c r="V9" s="99" t="s">
        <v>34</v>
      </c>
      <c r="W9" s="459" t="s">
        <v>34</v>
      </c>
      <c r="X9" s="460" t="s">
        <v>34</v>
      </c>
      <c r="Y9" s="460" t="s">
        <v>34</v>
      </c>
      <c r="Z9" s="460" t="s">
        <v>34</v>
      </c>
      <c r="AA9" s="461" t="s">
        <v>34</v>
      </c>
      <c r="AD9" s="143"/>
      <c r="AE9" s="142"/>
      <c r="AF9" s="142"/>
      <c r="AG9" s="142"/>
      <c r="AH9" s="142"/>
      <c r="AI9" s="142"/>
    </row>
    <row r="10" spans="1:36" ht="17" thickBot="1">
      <c r="A10" s="1004"/>
      <c r="B10" s="1005"/>
      <c r="C10" s="1006"/>
      <c r="D10" s="1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62"/>
      <c r="V10" s="89"/>
      <c r="W10" s="452"/>
      <c r="X10" s="451"/>
      <c r="Y10" s="451"/>
      <c r="Z10" s="451"/>
      <c r="AA10" s="453"/>
      <c r="AD10" s="142"/>
      <c r="AE10" s="142"/>
      <c r="AF10" s="142"/>
      <c r="AG10" s="142"/>
      <c r="AH10" s="142"/>
      <c r="AI10" s="142"/>
    </row>
    <row r="11" spans="1:36">
      <c r="A11" s="926" t="s">
        <v>138</v>
      </c>
      <c r="B11" s="927"/>
      <c r="C11" s="928"/>
      <c r="D11" s="100">
        <f>D6</f>
        <v>24541</v>
      </c>
      <c r="E11" s="100">
        <f t="shared" ref="E11:AA11" si="2">E6</f>
        <v>23990</v>
      </c>
      <c r="F11" s="100">
        <f t="shared" si="2"/>
        <v>26578</v>
      </c>
      <c r="G11" s="100">
        <f t="shared" si="2"/>
        <v>31824</v>
      </c>
      <c r="H11" s="100">
        <f t="shared" si="2"/>
        <v>35526</v>
      </c>
      <c r="I11" s="100">
        <f t="shared" si="2"/>
        <v>37213</v>
      </c>
      <c r="J11" s="100">
        <f t="shared" si="2"/>
        <v>39620</v>
      </c>
      <c r="K11" s="100">
        <f t="shared" si="2"/>
        <v>41862</v>
      </c>
      <c r="L11" s="100">
        <f t="shared" si="2"/>
        <v>41372</v>
      </c>
      <c r="M11" s="100">
        <f t="shared" si="2"/>
        <v>43867</v>
      </c>
      <c r="N11" s="100">
        <f t="shared" si="2"/>
        <v>45671</v>
      </c>
      <c r="O11" s="100">
        <f t="shared" si="2"/>
        <v>46499</v>
      </c>
      <c r="P11" s="100">
        <f t="shared" si="2"/>
        <v>47182</v>
      </c>
      <c r="Q11" s="100">
        <f t="shared" si="2"/>
        <v>45358</v>
      </c>
      <c r="R11" s="100">
        <f t="shared" si="2"/>
        <v>39946</v>
      </c>
      <c r="S11" s="100">
        <f t="shared" si="2"/>
        <v>40536</v>
      </c>
      <c r="T11" s="100">
        <f t="shared" si="2"/>
        <v>47290</v>
      </c>
      <c r="U11" s="100">
        <f t="shared" si="2"/>
        <v>49960</v>
      </c>
      <c r="V11" s="100">
        <f t="shared" si="2"/>
        <v>53762</v>
      </c>
      <c r="W11" s="486">
        <f t="shared" si="2"/>
        <v>55093.480701754386</v>
      </c>
      <c r="X11" s="487">
        <f t="shared" si="2"/>
        <v>56448.418395989975</v>
      </c>
      <c r="Y11" s="487">
        <f t="shared" si="2"/>
        <v>57820.720357386977</v>
      </c>
      <c r="Z11" s="487">
        <f t="shared" si="2"/>
        <v>59354.931037988201</v>
      </c>
      <c r="AA11" s="488">
        <f t="shared" si="2"/>
        <v>60889.94330721259</v>
      </c>
      <c r="AD11" s="143"/>
      <c r="AE11" s="142"/>
      <c r="AF11" s="142"/>
      <c r="AG11" s="142"/>
      <c r="AH11" s="142"/>
      <c r="AI11" s="142"/>
    </row>
    <row r="12" spans="1:36">
      <c r="A12" s="932" t="s">
        <v>137</v>
      </c>
      <c r="B12" s="933"/>
      <c r="C12" s="925"/>
      <c r="D12" s="4" t="s">
        <v>34</v>
      </c>
      <c r="E12" s="101">
        <f>E7</f>
        <v>-2.2452222810806406E-2</v>
      </c>
      <c r="F12" s="101">
        <f t="shared" ref="F12:AA12" si="3">F7</f>
        <v>0.10787828261775739</v>
      </c>
      <c r="G12" s="101">
        <f t="shared" si="3"/>
        <v>0.19738129279855521</v>
      </c>
      <c r="H12" s="101">
        <f t="shared" si="3"/>
        <v>0.11632730015082957</v>
      </c>
      <c r="I12" s="101">
        <f t="shared" si="3"/>
        <v>4.7486348026797277E-2</v>
      </c>
      <c r="J12" s="101">
        <f t="shared" si="3"/>
        <v>6.4681697256335158E-2</v>
      </c>
      <c r="K12" s="101">
        <f t="shared" si="3"/>
        <v>5.658758202927814E-2</v>
      </c>
      <c r="L12" s="101">
        <f t="shared" si="3"/>
        <v>-1.1705126367588744E-2</v>
      </c>
      <c r="M12" s="101">
        <f t="shared" si="3"/>
        <v>6.0306487479454704E-2</v>
      </c>
      <c r="N12" s="101">
        <f t="shared" si="3"/>
        <v>4.1124307566051926E-2</v>
      </c>
      <c r="O12" s="101">
        <f t="shared" si="3"/>
        <v>1.8129666527993693E-2</v>
      </c>
      <c r="P12" s="101">
        <f t="shared" si="3"/>
        <v>1.4688487924471494E-2</v>
      </c>
      <c r="Q12" s="101">
        <f t="shared" si="3"/>
        <v>-3.8658810563350431E-2</v>
      </c>
      <c r="R12" s="101">
        <f t="shared" si="3"/>
        <v>-0.11931743022179109</v>
      </c>
      <c r="S12" s="101">
        <f t="shared" si="3"/>
        <v>1.4769939418214589E-2</v>
      </c>
      <c r="T12" s="101">
        <f t="shared" si="3"/>
        <v>0.16661732780738109</v>
      </c>
      <c r="U12" s="101">
        <f t="shared" si="3"/>
        <v>5.6460139564389937E-2</v>
      </c>
      <c r="V12" s="101">
        <f t="shared" si="3"/>
        <v>7.6100880704563653E-2</v>
      </c>
      <c r="W12" s="151">
        <f t="shared" si="3"/>
        <v>2.4766204786919873E-2</v>
      </c>
      <c r="X12" s="101">
        <f t="shared" si="3"/>
        <v>2.459343060153471E-2</v>
      </c>
      <c r="Y12" s="101">
        <f t="shared" si="3"/>
        <v>2.4310724735814554E-2</v>
      </c>
      <c r="Z12" s="101">
        <f t="shared" si="3"/>
        <v>2.6533925401107838E-2</v>
      </c>
      <c r="AA12" s="123">
        <f t="shared" si="3"/>
        <v>2.5861579524739983E-2</v>
      </c>
      <c r="AD12" s="142"/>
      <c r="AE12" s="142"/>
      <c r="AF12" s="142"/>
      <c r="AG12" s="142"/>
      <c r="AH12" s="142"/>
      <c r="AI12" s="142"/>
    </row>
    <row r="13" spans="1:36">
      <c r="A13" s="1007"/>
      <c r="B13" s="1008"/>
      <c r="C13" s="1009"/>
      <c r="D13" s="1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62"/>
      <c r="V13" s="89"/>
      <c r="W13" s="452"/>
      <c r="X13" s="451"/>
      <c r="Y13" s="451"/>
      <c r="Z13" s="451"/>
      <c r="AA13" s="453"/>
      <c r="AD13" s="143"/>
      <c r="AE13" s="142"/>
      <c r="AF13" s="142"/>
      <c r="AG13" s="142"/>
      <c r="AH13" s="142"/>
      <c r="AI13" s="142"/>
    </row>
    <row r="14" spans="1:36">
      <c r="A14" s="929" t="s">
        <v>19</v>
      </c>
      <c r="B14" s="930"/>
      <c r="C14" s="931"/>
      <c r="D14" s="4">
        <v>-20</v>
      </c>
      <c r="E14" s="4">
        <v>-24</v>
      </c>
      <c r="F14" s="4" t="s">
        <v>34</v>
      </c>
      <c r="G14" s="4" t="s">
        <v>34</v>
      </c>
      <c r="H14" s="4" t="s">
        <v>34</v>
      </c>
      <c r="I14" s="4" t="s">
        <v>34</v>
      </c>
      <c r="J14" s="4">
        <v>159</v>
      </c>
      <c r="K14" s="4">
        <v>206</v>
      </c>
      <c r="L14" s="4">
        <v>67</v>
      </c>
      <c r="M14" s="4">
        <v>123</v>
      </c>
      <c r="N14" s="4">
        <v>18</v>
      </c>
      <c r="O14" s="4">
        <v>13</v>
      </c>
      <c r="P14" s="4" t="s">
        <v>34</v>
      </c>
      <c r="Q14" s="4" t="s">
        <v>34</v>
      </c>
      <c r="R14" s="4">
        <v>5</v>
      </c>
      <c r="S14" s="4">
        <v>30</v>
      </c>
      <c r="T14" s="4">
        <v>-348</v>
      </c>
      <c r="U14" s="4">
        <v>-738</v>
      </c>
      <c r="V14" s="4">
        <v>-761</v>
      </c>
      <c r="W14" s="152" t="s">
        <v>34</v>
      </c>
      <c r="X14" s="148" t="s">
        <v>34</v>
      </c>
      <c r="Y14" s="148" t="s">
        <v>34</v>
      </c>
      <c r="Z14" s="148" t="s">
        <v>34</v>
      </c>
      <c r="AA14" s="153" t="s">
        <v>34</v>
      </c>
      <c r="AD14" s="142"/>
      <c r="AE14" s="142"/>
      <c r="AF14" s="142"/>
      <c r="AG14" s="142"/>
      <c r="AH14" s="142"/>
      <c r="AI14" s="142"/>
    </row>
    <row r="15" spans="1:36">
      <c r="A15" s="929" t="s">
        <v>8</v>
      </c>
      <c r="B15" s="930"/>
      <c r="C15" s="931"/>
      <c r="D15" s="4">
        <v>22881</v>
      </c>
      <c r="E15" s="4">
        <v>22447</v>
      </c>
      <c r="F15" s="4">
        <v>24629</v>
      </c>
      <c r="G15" s="4">
        <v>29405</v>
      </c>
      <c r="H15" s="4">
        <v>32644</v>
      </c>
      <c r="I15" s="4">
        <v>33873</v>
      </c>
      <c r="J15" s="4">
        <v>35690</v>
      </c>
      <c r="K15" s="4">
        <v>37628</v>
      </c>
      <c r="L15" s="4">
        <v>36798</v>
      </c>
      <c r="M15" s="4">
        <v>39720</v>
      </c>
      <c r="N15" s="4">
        <v>41607</v>
      </c>
      <c r="O15" s="4">
        <v>42619</v>
      </c>
      <c r="P15" s="4">
        <v>42938</v>
      </c>
      <c r="Q15" s="4">
        <v>40755</v>
      </c>
      <c r="R15" s="4">
        <v>35263</v>
      </c>
      <c r="S15" s="4">
        <v>35962</v>
      </c>
      <c r="T15" s="4">
        <v>41809</v>
      </c>
      <c r="U15" s="4">
        <v>43589</v>
      </c>
      <c r="V15" s="4">
        <v>46392</v>
      </c>
      <c r="W15" s="122">
        <f>W16*W11</f>
        <v>48781.248148019069</v>
      </c>
      <c r="X15" s="4">
        <f t="shared" ref="X15:AA15" si="4">X16*X11</f>
        <v>49980.94638900362</v>
      </c>
      <c r="Y15" s="4">
        <f t="shared" si="4"/>
        <v>51196.019418702192</v>
      </c>
      <c r="Z15" s="4">
        <f t="shared" si="4"/>
        <v>52554.45077879171</v>
      </c>
      <c r="AA15" s="124">
        <f t="shared" si="4"/>
        <v>53913.591886986462</v>
      </c>
      <c r="AD15" s="143"/>
      <c r="AE15" s="142"/>
      <c r="AF15" s="142"/>
      <c r="AG15" s="142"/>
      <c r="AH15" s="142"/>
      <c r="AI15" s="142"/>
    </row>
    <row r="16" spans="1:36" ht="17" thickBot="1">
      <c r="A16" s="957" t="s">
        <v>140</v>
      </c>
      <c r="B16" s="924"/>
      <c r="C16" s="925"/>
      <c r="D16" s="102">
        <f>(D15/D11)</f>
        <v>0.93235809461717123</v>
      </c>
      <c r="E16" s="102">
        <f t="shared" ref="E16:V16" si="5">(E15/E11)</f>
        <v>0.93568153397248854</v>
      </c>
      <c r="F16" s="102">
        <f t="shared" si="5"/>
        <v>0.92666867333885172</v>
      </c>
      <c r="G16" s="102">
        <f t="shared" si="5"/>
        <v>0.92398818501759683</v>
      </c>
      <c r="H16" s="102">
        <f t="shared" si="5"/>
        <v>0.9188763159376232</v>
      </c>
      <c r="I16" s="102">
        <f t="shared" si="5"/>
        <v>0.91024641926208583</v>
      </c>
      <c r="J16" s="102">
        <f t="shared" si="5"/>
        <v>0.90080767289247854</v>
      </c>
      <c r="K16" s="102">
        <f t="shared" si="5"/>
        <v>0.8988581529788352</v>
      </c>
      <c r="L16" s="102">
        <f t="shared" si="5"/>
        <v>0.88944213477714396</v>
      </c>
      <c r="M16" s="102">
        <f t="shared" si="5"/>
        <v>0.90546424419267335</v>
      </c>
      <c r="N16" s="102">
        <f t="shared" si="5"/>
        <v>0.91101574303168309</v>
      </c>
      <c r="O16" s="102">
        <f t="shared" si="5"/>
        <v>0.91655734531925415</v>
      </c>
      <c r="P16" s="102">
        <f t="shared" si="5"/>
        <v>0.91005044296553772</v>
      </c>
      <c r="Q16" s="102">
        <f t="shared" si="5"/>
        <v>0.89851845319458534</v>
      </c>
      <c r="R16" s="102">
        <f t="shared" si="5"/>
        <v>0.88276673509237469</v>
      </c>
      <c r="S16" s="102">
        <f t="shared" si="5"/>
        <v>0.88716202881389383</v>
      </c>
      <c r="T16" s="102">
        <f t="shared" si="5"/>
        <v>0.88409811799534788</v>
      </c>
      <c r="U16" s="102">
        <f t="shared" si="5"/>
        <v>0.87247798238590868</v>
      </c>
      <c r="V16" s="102">
        <f t="shared" si="5"/>
        <v>0.86291432610393959</v>
      </c>
      <c r="W16" s="489">
        <f>$AH$25</f>
        <v>0.88542686950736971</v>
      </c>
      <c r="X16" s="490">
        <f>$AH$25</f>
        <v>0.88542686950736971</v>
      </c>
      <c r="Y16" s="490">
        <f t="shared" ref="Y16:AA16" si="6">$AH$25</f>
        <v>0.88542686950736971</v>
      </c>
      <c r="Z16" s="490">
        <f t="shared" si="6"/>
        <v>0.88542686950736971</v>
      </c>
      <c r="AA16" s="491">
        <f t="shared" si="6"/>
        <v>0.88542686950736971</v>
      </c>
      <c r="AD16" s="142"/>
      <c r="AE16" s="142"/>
      <c r="AF16" s="142"/>
      <c r="AG16" s="142"/>
      <c r="AH16" s="142"/>
      <c r="AI16" s="142"/>
    </row>
    <row r="17" spans="1:40">
      <c r="A17" s="926" t="s">
        <v>9</v>
      </c>
      <c r="B17" s="927"/>
      <c r="C17" s="928"/>
      <c r="D17" s="297">
        <f>D11-D15</f>
        <v>1660</v>
      </c>
      <c r="E17" s="298">
        <f t="shared" ref="E17:AA17" si="7">E11-E15</f>
        <v>1543</v>
      </c>
      <c r="F17" s="298">
        <f t="shared" si="7"/>
        <v>1949</v>
      </c>
      <c r="G17" s="298">
        <f t="shared" si="7"/>
        <v>2419</v>
      </c>
      <c r="H17" s="298">
        <f t="shared" si="7"/>
        <v>2882</v>
      </c>
      <c r="I17" s="298">
        <f t="shared" si="7"/>
        <v>3340</v>
      </c>
      <c r="J17" s="298">
        <f t="shared" si="7"/>
        <v>3930</v>
      </c>
      <c r="K17" s="298">
        <f t="shared" si="7"/>
        <v>4234</v>
      </c>
      <c r="L17" s="298">
        <f t="shared" si="7"/>
        <v>4574</v>
      </c>
      <c r="M17" s="298">
        <f t="shared" si="7"/>
        <v>4147</v>
      </c>
      <c r="N17" s="298">
        <f t="shared" si="7"/>
        <v>4064</v>
      </c>
      <c r="O17" s="298">
        <f t="shared" si="7"/>
        <v>3880</v>
      </c>
      <c r="P17" s="298">
        <f t="shared" si="7"/>
        <v>4244</v>
      </c>
      <c r="Q17" s="298">
        <f t="shared" si="7"/>
        <v>4603</v>
      </c>
      <c r="R17" s="298">
        <f t="shared" si="7"/>
        <v>4683</v>
      </c>
      <c r="S17" s="298">
        <f t="shared" si="7"/>
        <v>4574</v>
      </c>
      <c r="T17" s="298">
        <f t="shared" si="7"/>
        <v>5481</v>
      </c>
      <c r="U17" s="298">
        <f t="shared" si="7"/>
        <v>6371</v>
      </c>
      <c r="V17" s="298">
        <f t="shared" si="7"/>
        <v>7370</v>
      </c>
      <c r="W17" s="297">
        <f t="shared" si="7"/>
        <v>6312.2325537353172</v>
      </c>
      <c r="X17" s="298">
        <f t="shared" si="7"/>
        <v>6467.4720069863542</v>
      </c>
      <c r="Y17" s="298">
        <f t="shared" si="7"/>
        <v>6624.7009386847858</v>
      </c>
      <c r="Z17" s="298">
        <f t="shared" si="7"/>
        <v>6800.4802591964908</v>
      </c>
      <c r="AA17" s="299">
        <f t="shared" si="7"/>
        <v>6976.3514202261285</v>
      </c>
      <c r="AD17" s="89"/>
      <c r="AE17" s="89"/>
      <c r="AF17" s="89"/>
      <c r="AG17" s="89"/>
      <c r="AH17" s="89"/>
      <c r="AI17" s="89"/>
    </row>
    <row r="18" spans="1:40">
      <c r="A18" s="932" t="s">
        <v>137</v>
      </c>
      <c r="B18" s="933"/>
      <c r="C18" s="925"/>
      <c r="D18" s="127" t="s">
        <v>34</v>
      </c>
      <c r="E18" s="102">
        <f>(E17-D17)/E17</f>
        <v>-7.5826312378483474E-2</v>
      </c>
      <c r="F18" s="102">
        <f t="shared" ref="F18:V18" si="8">(F17-E17)/F17</f>
        <v>0.20831195484864032</v>
      </c>
      <c r="G18" s="102">
        <f t="shared" si="8"/>
        <v>0.19429516329061597</v>
      </c>
      <c r="H18" s="102">
        <f t="shared" si="8"/>
        <v>0.16065232477446217</v>
      </c>
      <c r="I18" s="102">
        <f t="shared" si="8"/>
        <v>0.137125748502994</v>
      </c>
      <c r="J18" s="102">
        <f t="shared" si="8"/>
        <v>0.15012722646310434</v>
      </c>
      <c r="K18" s="102">
        <f t="shared" si="8"/>
        <v>7.1799716580066134E-2</v>
      </c>
      <c r="L18" s="102">
        <f t="shared" si="8"/>
        <v>7.4333187581985136E-2</v>
      </c>
      <c r="M18" s="102">
        <f t="shared" si="8"/>
        <v>-0.10296599951772366</v>
      </c>
      <c r="N18" s="102">
        <f t="shared" si="8"/>
        <v>-2.0423228346456691E-2</v>
      </c>
      <c r="O18" s="102">
        <f t="shared" si="8"/>
        <v>-4.7422680412371132E-2</v>
      </c>
      <c r="P18" s="102">
        <f t="shared" si="8"/>
        <v>8.5768143261074459E-2</v>
      </c>
      <c r="Q18" s="102">
        <f t="shared" si="8"/>
        <v>7.7992613512926356E-2</v>
      </c>
      <c r="R18" s="102">
        <f t="shared" si="8"/>
        <v>1.7083066410420671E-2</v>
      </c>
      <c r="S18" s="102">
        <f t="shared" si="8"/>
        <v>-2.3830345430695232E-2</v>
      </c>
      <c r="T18" s="102">
        <f t="shared" si="8"/>
        <v>0.16548075168764825</v>
      </c>
      <c r="U18" s="102">
        <f t="shared" si="8"/>
        <v>0.13969549521268246</v>
      </c>
      <c r="V18" s="102">
        <f t="shared" si="8"/>
        <v>0.13554952510176391</v>
      </c>
      <c r="W18" s="125">
        <f t="shared" ref="W18" si="9">(W17-V17)/W17</f>
        <v>-0.1675742199388297</v>
      </c>
      <c r="X18" s="102">
        <f t="shared" ref="X18" si="10">(X17-W17)/X17</f>
        <v>2.4003111738766368E-2</v>
      </c>
      <c r="Y18" s="102">
        <f t="shared" ref="Y18" si="11">(Y17-X17)/Y17</f>
        <v>2.37337403082299E-2</v>
      </c>
      <c r="Z18" s="102">
        <f t="shared" ref="Z18" si="12">(Z17-Y17)/Z17</f>
        <v>2.5848074520030174E-2</v>
      </c>
      <c r="AA18" s="126">
        <f t="shared" ref="AA18" si="13">(AA17-Z17)/AA17</f>
        <v>2.5209618959237737E-2</v>
      </c>
    </row>
    <row r="19" spans="1:40">
      <c r="A19" s="932" t="s">
        <v>139</v>
      </c>
      <c r="B19" s="933"/>
      <c r="C19" s="925"/>
      <c r="D19" s="128">
        <f>D17/D11</f>
        <v>6.7641905382828729E-2</v>
      </c>
      <c r="E19" s="104">
        <f t="shared" ref="E19:AA19" si="14">E17/E11</f>
        <v>6.431846602751147E-2</v>
      </c>
      <c r="F19" s="104">
        <f t="shared" si="14"/>
        <v>7.3331326661148319E-2</v>
      </c>
      <c r="G19" s="104">
        <f t="shared" si="14"/>
        <v>7.6011814982403211E-2</v>
      </c>
      <c r="H19" s="104">
        <f t="shared" si="14"/>
        <v>8.1123684062376855E-2</v>
      </c>
      <c r="I19" s="104">
        <f t="shared" si="14"/>
        <v>8.9753580737914174E-2</v>
      </c>
      <c r="J19" s="104">
        <f t="shared" si="14"/>
        <v>9.9192327107521447E-2</v>
      </c>
      <c r="K19" s="104">
        <f t="shared" si="14"/>
        <v>0.10114184702116479</v>
      </c>
      <c r="L19" s="104">
        <f t="shared" si="14"/>
        <v>0.11055786522285604</v>
      </c>
      <c r="M19" s="104">
        <f t="shared" si="14"/>
        <v>9.4535755807326691E-2</v>
      </c>
      <c r="N19" s="104">
        <f t="shared" si="14"/>
        <v>8.8984256968316869E-2</v>
      </c>
      <c r="O19" s="104">
        <f t="shared" si="14"/>
        <v>8.3442654680745826E-2</v>
      </c>
      <c r="P19" s="104">
        <f t="shared" si="14"/>
        <v>8.9949557034462294E-2</v>
      </c>
      <c r="Q19" s="104">
        <f t="shared" si="14"/>
        <v>0.1014815468054147</v>
      </c>
      <c r="R19" s="104">
        <f t="shared" si="14"/>
        <v>0.1172332649076253</v>
      </c>
      <c r="S19" s="104">
        <f t="shared" si="14"/>
        <v>0.11283797118610618</v>
      </c>
      <c r="T19" s="104">
        <f t="shared" si="14"/>
        <v>0.11590188200465215</v>
      </c>
      <c r="U19" s="104">
        <f t="shared" si="14"/>
        <v>0.12752201761409127</v>
      </c>
      <c r="V19" s="104">
        <f t="shared" si="14"/>
        <v>0.13708567389606041</v>
      </c>
      <c r="W19" s="128">
        <f t="shared" si="14"/>
        <v>0.11457313049263035</v>
      </c>
      <c r="X19" s="104">
        <f t="shared" si="14"/>
        <v>0.11457313049263033</v>
      </c>
      <c r="Y19" s="104">
        <f t="shared" si="14"/>
        <v>0.11457313049263033</v>
      </c>
      <c r="Z19" s="104">
        <f t="shared" si="14"/>
        <v>0.11457313049263024</v>
      </c>
      <c r="AA19" s="129">
        <f t="shared" si="14"/>
        <v>0.11457313049263029</v>
      </c>
    </row>
    <row r="20" spans="1:40">
      <c r="A20" s="929"/>
      <c r="B20" s="930"/>
      <c r="C20" s="931"/>
      <c r="D20" s="13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191"/>
      <c r="V20" s="451"/>
      <c r="W20" s="452"/>
      <c r="X20" s="451"/>
      <c r="Y20" s="451"/>
      <c r="Z20" s="451"/>
      <c r="AA20" s="453"/>
    </row>
    <row r="21" spans="1:40">
      <c r="A21" s="1001" t="s">
        <v>10</v>
      </c>
      <c r="B21" s="1002"/>
      <c r="C21" s="1003"/>
      <c r="D21" s="122" t="s">
        <v>34</v>
      </c>
      <c r="E21" s="4" t="s">
        <v>34</v>
      </c>
      <c r="F21" s="4" t="s">
        <v>34</v>
      </c>
      <c r="G21" s="4">
        <v>402</v>
      </c>
      <c r="H21" s="4">
        <v>914</v>
      </c>
      <c r="I21" s="4">
        <v>803</v>
      </c>
      <c r="J21" s="4">
        <v>496</v>
      </c>
      <c r="K21" s="4" t="s">
        <v>34</v>
      </c>
      <c r="L21" s="4" t="s">
        <v>34</v>
      </c>
      <c r="M21" s="4" t="s">
        <v>34</v>
      </c>
      <c r="N21" s="4" t="s">
        <v>34</v>
      </c>
      <c r="O21" s="4" t="s">
        <v>34</v>
      </c>
      <c r="P21" s="4" t="s">
        <v>34</v>
      </c>
      <c r="Q21" s="4" t="s">
        <v>34</v>
      </c>
      <c r="R21" s="4" t="s">
        <v>34</v>
      </c>
      <c r="S21" s="4" t="s">
        <v>34</v>
      </c>
      <c r="T21" s="4">
        <v>123</v>
      </c>
      <c r="U21" s="4">
        <v>109</v>
      </c>
      <c r="V21" s="4">
        <v>67</v>
      </c>
      <c r="W21" s="158">
        <f>W11*W22</f>
        <v>47.450846292416749</v>
      </c>
      <c r="X21" s="159">
        <f>X11*X22</f>
        <v>48.617825387693394</v>
      </c>
      <c r="Y21" s="159">
        <f t="shared" ref="Y21:AA21" si="15">Y11*Y22</f>
        <v>49.799759957947501</v>
      </c>
      <c r="Z21" s="159">
        <f t="shared" si="15"/>
        <v>51.121143073664761</v>
      </c>
      <c r="AA21" s="303">
        <f t="shared" si="15"/>
        <v>52.44321658065995</v>
      </c>
    </row>
    <row r="22" spans="1:40" s="185" customFormat="1">
      <c r="A22" s="957" t="s">
        <v>140</v>
      </c>
      <c r="B22" s="924"/>
      <c r="C22" s="925"/>
      <c r="D22" s="128">
        <f>SUMIF(D21,"&lt;&gt;-")/D11</f>
        <v>0</v>
      </c>
      <c r="E22" s="104">
        <f t="shared" ref="E22:V22" si="16">SUMIF(E21,"&lt;&gt;-")/E11</f>
        <v>0</v>
      </c>
      <c r="F22" s="104">
        <f t="shared" si="16"/>
        <v>0</v>
      </c>
      <c r="G22" s="104">
        <f t="shared" si="16"/>
        <v>1.2631975867269985E-2</v>
      </c>
      <c r="H22" s="104">
        <f t="shared" si="16"/>
        <v>2.5727636097506053E-2</v>
      </c>
      <c r="I22" s="104">
        <f t="shared" si="16"/>
        <v>2.1578480638486549E-2</v>
      </c>
      <c r="J22" s="104">
        <f t="shared" si="16"/>
        <v>1.2518929833417465E-2</v>
      </c>
      <c r="K22" s="104">
        <f t="shared" si="16"/>
        <v>0</v>
      </c>
      <c r="L22" s="104">
        <f t="shared" si="16"/>
        <v>0</v>
      </c>
      <c r="M22" s="104">
        <f t="shared" si="16"/>
        <v>0</v>
      </c>
      <c r="N22" s="104">
        <f t="shared" si="16"/>
        <v>0</v>
      </c>
      <c r="O22" s="104">
        <f t="shared" si="16"/>
        <v>0</v>
      </c>
      <c r="P22" s="104">
        <f t="shared" si="16"/>
        <v>0</v>
      </c>
      <c r="Q22" s="104">
        <f t="shared" si="16"/>
        <v>0</v>
      </c>
      <c r="R22" s="104">
        <f t="shared" si="16"/>
        <v>0</v>
      </c>
      <c r="S22" s="104">
        <f t="shared" si="16"/>
        <v>0</v>
      </c>
      <c r="T22" s="104">
        <f t="shared" si="16"/>
        <v>2.6009727215056035E-3</v>
      </c>
      <c r="U22" s="104">
        <f t="shared" si="16"/>
        <v>2.1817453963170535E-3</v>
      </c>
      <c r="V22" s="104">
        <f t="shared" si="16"/>
        <v>1.2462333990550948E-3</v>
      </c>
      <c r="W22" s="201">
        <f>$AH$27</f>
        <v>8.6127878812539312E-4</v>
      </c>
      <c r="X22" s="202">
        <f>$AH$27</f>
        <v>8.6127878812539312E-4</v>
      </c>
      <c r="Y22" s="202">
        <f t="shared" ref="Y22:AA22" si="17">$AH$27</f>
        <v>8.6127878812539312E-4</v>
      </c>
      <c r="Z22" s="202">
        <f t="shared" si="17"/>
        <v>8.6127878812539312E-4</v>
      </c>
      <c r="AA22" s="304">
        <f t="shared" si="17"/>
        <v>8.6127878812539312E-4</v>
      </c>
    </row>
    <row r="23" spans="1:40">
      <c r="A23" s="964" t="s">
        <v>11</v>
      </c>
      <c r="B23" s="933" t="s">
        <v>11</v>
      </c>
      <c r="C23" s="925" t="s">
        <v>11</v>
      </c>
      <c r="D23" s="195">
        <v>863</v>
      </c>
      <c r="E23" s="196">
        <v>679</v>
      </c>
      <c r="F23" s="196">
        <v>830</v>
      </c>
      <c r="G23" s="196">
        <v>1030</v>
      </c>
      <c r="H23" s="196">
        <v>984</v>
      </c>
      <c r="I23" s="196">
        <v>1042</v>
      </c>
      <c r="J23" s="196">
        <v>1051</v>
      </c>
      <c r="K23" s="196">
        <v>792</v>
      </c>
      <c r="L23" s="196">
        <v>833</v>
      </c>
      <c r="M23" s="196">
        <v>717</v>
      </c>
      <c r="N23" s="196">
        <v>639</v>
      </c>
      <c r="O23" s="196">
        <v>585</v>
      </c>
      <c r="P23" s="196">
        <v>616</v>
      </c>
      <c r="Q23" s="196">
        <v>697</v>
      </c>
      <c r="R23" s="196">
        <v>733</v>
      </c>
      <c r="S23" s="196">
        <v>817</v>
      </c>
      <c r="T23" s="196">
        <v>988</v>
      </c>
      <c r="U23" s="196">
        <v>1200</v>
      </c>
      <c r="V23" s="460">
        <v>1300</v>
      </c>
      <c r="W23" s="154">
        <f>W11*W24</f>
        <v>1238.9644696900768</v>
      </c>
      <c r="X23" s="29">
        <f>X11*X24</f>
        <v>1269.4348563931669</v>
      </c>
      <c r="Y23" s="29">
        <f t="shared" ref="Y23:AA23" si="18">Y11*Y24</f>
        <v>1300.2957377569894</v>
      </c>
      <c r="Z23" s="29">
        <f t="shared" si="18"/>
        <v>1334.797687862012</v>
      </c>
      <c r="AA23" s="155">
        <f t="shared" si="18"/>
        <v>1369.3176644160944</v>
      </c>
    </row>
    <row r="24" spans="1:40" s="185" customFormat="1" ht="17" thickBot="1">
      <c r="A24" s="957" t="s">
        <v>140</v>
      </c>
      <c r="B24" s="924"/>
      <c r="C24" s="925"/>
      <c r="D24" s="151">
        <f t="shared" ref="D24:V24" si="19">D23/D11</f>
        <v>3.5165641171916381E-2</v>
      </c>
      <c r="E24" s="101">
        <f t="shared" si="19"/>
        <v>2.8303459774906212E-2</v>
      </c>
      <c r="F24" s="101">
        <f t="shared" si="19"/>
        <v>3.1228835879298669E-2</v>
      </c>
      <c r="G24" s="101">
        <f t="shared" si="19"/>
        <v>3.236551030668678E-2</v>
      </c>
      <c r="H24" s="101">
        <f t="shared" si="19"/>
        <v>2.7698023982435399E-2</v>
      </c>
      <c r="I24" s="101">
        <f t="shared" si="19"/>
        <v>2.8000967403864242E-2</v>
      </c>
      <c r="J24" s="101">
        <f t="shared" si="19"/>
        <v>2.6527006562342251E-2</v>
      </c>
      <c r="K24" s="101">
        <f t="shared" si="19"/>
        <v>1.8919306292102624E-2</v>
      </c>
      <c r="L24" s="101">
        <f t="shared" si="19"/>
        <v>2.013439040897225E-2</v>
      </c>
      <c r="M24" s="101">
        <f t="shared" si="19"/>
        <v>1.6344860601363212E-2</v>
      </c>
      <c r="N24" s="101">
        <f t="shared" si="19"/>
        <v>1.3991373081386437E-2</v>
      </c>
      <c r="O24" s="101">
        <f t="shared" si="19"/>
        <v>1.2580915718617604E-2</v>
      </c>
      <c r="P24" s="101">
        <f t="shared" si="19"/>
        <v>1.3055826374464839E-2</v>
      </c>
      <c r="Q24" s="101">
        <f t="shared" si="19"/>
        <v>1.5366638740685215E-2</v>
      </c>
      <c r="R24" s="101">
        <f t="shared" si="19"/>
        <v>1.8349772192459819E-2</v>
      </c>
      <c r="S24" s="101">
        <f t="shared" si="19"/>
        <v>2.01549240181567E-2</v>
      </c>
      <c r="T24" s="101">
        <f t="shared" si="19"/>
        <v>2.0892366250792979E-2</v>
      </c>
      <c r="U24" s="101">
        <f t="shared" si="19"/>
        <v>2.4019215372297838E-2</v>
      </c>
      <c r="V24" s="101">
        <f t="shared" si="19"/>
        <v>2.4180648041367509E-2</v>
      </c>
      <c r="W24" s="305">
        <f>$AH$28</f>
        <v>2.2488404324953522E-2</v>
      </c>
      <c r="X24" s="203">
        <f>$AH$28</f>
        <v>2.2488404324953522E-2</v>
      </c>
      <c r="Y24" s="203">
        <f>$AH$28</f>
        <v>2.2488404324953522E-2</v>
      </c>
      <c r="Z24" s="203">
        <f>$AH$28</f>
        <v>2.2488404324953522E-2</v>
      </c>
      <c r="AA24" s="306">
        <f>$AH$28</f>
        <v>2.2488404324953522E-2</v>
      </c>
    </row>
    <row r="25" spans="1:40" ht="17" thickBot="1">
      <c r="A25" s="965" t="s">
        <v>12</v>
      </c>
      <c r="B25" s="966"/>
      <c r="C25" s="967"/>
      <c r="D25" s="195">
        <v>464</v>
      </c>
      <c r="E25" s="196">
        <v>425</v>
      </c>
      <c r="F25" s="196">
        <v>433</v>
      </c>
      <c r="G25" s="196">
        <v>480</v>
      </c>
      <c r="H25" s="196">
        <v>511</v>
      </c>
      <c r="I25" s="196">
        <v>555</v>
      </c>
      <c r="J25" s="196">
        <v>600</v>
      </c>
      <c r="K25" s="196">
        <v>666</v>
      </c>
      <c r="L25" s="196">
        <v>727</v>
      </c>
      <c r="M25" s="196">
        <v>854</v>
      </c>
      <c r="N25" s="196">
        <v>841</v>
      </c>
      <c r="O25" s="196">
        <v>797</v>
      </c>
      <c r="P25" s="196">
        <v>771</v>
      </c>
      <c r="Q25" s="196">
        <v>714</v>
      </c>
      <c r="R25" s="196">
        <v>713</v>
      </c>
      <c r="S25" s="196">
        <v>716</v>
      </c>
      <c r="T25" s="196">
        <v>747</v>
      </c>
      <c r="U25" s="196">
        <v>760</v>
      </c>
      <c r="V25" s="460">
        <v>759</v>
      </c>
      <c r="W25" s="154">
        <f>W11*W26</f>
        <v>909.51892168572829</v>
      </c>
      <c r="X25" s="29">
        <f>X11*X26</f>
        <v>931.88711216698891</v>
      </c>
      <c r="Y25" s="29">
        <f t="shared" ref="Y25:AA25" si="20">Y11*Y26</f>
        <v>954.54196323573376</v>
      </c>
      <c r="Z25" s="29">
        <f t="shared" si="20"/>
        <v>979.86970848045769</v>
      </c>
      <c r="AA25" s="155">
        <f t="shared" si="20"/>
        <v>1005.2106868702089</v>
      </c>
      <c r="AC25" s="954" t="s">
        <v>422</v>
      </c>
      <c r="AD25" s="955"/>
      <c r="AE25" s="955"/>
      <c r="AF25" s="955"/>
      <c r="AG25" s="956"/>
      <c r="AH25" s="1033">
        <f>AVERAGE(P16:V16)</f>
        <v>0.88542686950736971</v>
      </c>
      <c r="AI25" s="1034"/>
      <c r="AJ25" s="1034"/>
      <c r="AK25" s="1034"/>
      <c r="AL25" s="1035"/>
    </row>
    <row r="26" spans="1:40" ht="17" thickBot="1">
      <c r="A26" s="957" t="s">
        <v>140</v>
      </c>
      <c r="B26" s="924"/>
      <c r="C26" s="925"/>
      <c r="D26" s="125">
        <f>D25/D11</f>
        <v>1.8907134998573816E-2</v>
      </c>
      <c r="E26" s="102">
        <f>E25/E11</f>
        <v>1.7715714881200502E-2</v>
      </c>
      <c r="F26" s="102">
        <f t="shared" ref="F26:V26" si="21">F25/F11</f>
        <v>1.6291669802091957E-2</v>
      </c>
      <c r="G26" s="102">
        <f t="shared" si="21"/>
        <v>1.5082956259426848E-2</v>
      </c>
      <c r="H26" s="102">
        <f t="shared" si="21"/>
        <v>1.4383831559984237E-2</v>
      </c>
      <c r="I26" s="102">
        <f t="shared" si="21"/>
        <v>1.4914142907048612E-2</v>
      </c>
      <c r="J26" s="102">
        <f t="shared" si="21"/>
        <v>1.5143866733972741E-2</v>
      </c>
      <c r="K26" s="102">
        <f t="shared" si="21"/>
        <v>1.5909416654722661E-2</v>
      </c>
      <c r="L26" s="102">
        <f t="shared" si="21"/>
        <v>1.7572271101227884E-2</v>
      </c>
      <c r="M26" s="102">
        <f t="shared" si="21"/>
        <v>1.9467937173729685E-2</v>
      </c>
      <c r="N26" s="102">
        <f t="shared" si="21"/>
        <v>1.8414311050776205E-2</v>
      </c>
      <c r="O26" s="102">
        <f t="shared" si="21"/>
        <v>1.7140153551689283E-2</v>
      </c>
      <c r="P26" s="102">
        <f t="shared" si="21"/>
        <v>1.6340977491416216E-2</v>
      </c>
      <c r="Q26" s="102">
        <f t="shared" si="21"/>
        <v>1.5741434807531197E-2</v>
      </c>
      <c r="R26" s="102">
        <f t="shared" si="21"/>
        <v>1.784909627997797E-2</v>
      </c>
      <c r="S26" s="102">
        <f t="shared" si="21"/>
        <v>1.7663311624235248E-2</v>
      </c>
      <c r="T26" s="102">
        <f t="shared" si="21"/>
        <v>1.5796151406216961E-2</v>
      </c>
      <c r="U26" s="102">
        <f t="shared" si="21"/>
        <v>1.5212169735788631E-2</v>
      </c>
      <c r="V26" s="102">
        <f t="shared" si="21"/>
        <v>1.4117778356459953E-2</v>
      </c>
      <c r="W26" s="156">
        <f>$AH$29</f>
        <v>1.6508648756635297E-2</v>
      </c>
      <c r="X26" s="149">
        <f>$AH$29</f>
        <v>1.6508648756635297E-2</v>
      </c>
      <c r="Y26" s="149">
        <f t="shared" ref="Y26:AA26" si="22">$AH$29</f>
        <v>1.6508648756635297E-2</v>
      </c>
      <c r="Z26" s="149">
        <f t="shared" si="22"/>
        <v>1.6508648756635297E-2</v>
      </c>
      <c r="AA26" s="157">
        <f t="shared" si="22"/>
        <v>1.6508648756635297E-2</v>
      </c>
      <c r="AC26" s="1024" t="s">
        <v>423</v>
      </c>
      <c r="AD26" s="1025"/>
      <c r="AE26" s="1025"/>
      <c r="AF26" s="1025"/>
      <c r="AG26" s="1026"/>
      <c r="AH26" s="1036">
        <f>AVERAGE(F28:V28)</f>
        <v>1.8578447619150957E-4</v>
      </c>
      <c r="AI26" s="1037"/>
      <c r="AJ26" s="1037"/>
      <c r="AK26" s="1037"/>
      <c r="AL26" s="1038"/>
    </row>
    <row r="27" spans="1:40" ht="17" thickBot="1">
      <c r="A27" s="936" t="s">
        <v>141</v>
      </c>
      <c r="B27" s="937"/>
      <c r="C27" s="931"/>
      <c r="D27" s="122" t="s">
        <v>34</v>
      </c>
      <c r="E27" s="4" t="s">
        <v>34</v>
      </c>
      <c r="F27" s="4">
        <v>-8</v>
      </c>
      <c r="G27" s="4">
        <v>8</v>
      </c>
      <c r="H27" s="4">
        <v>15</v>
      </c>
      <c r="I27" s="4">
        <v>-5</v>
      </c>
      <c r="J27" s="4">
        <v>24</v>
      </c>
      <c r="K27" s="4">
        <v>-19</v>
      </c>
      <c r="L27" s="4">
        <v>-187</v>
      </c>
      <c r="M27" s="4">
        <v>58</v>
      </c>
      <c r="N27" s="4">
        <v>51</v>
      </c>
      <c r="O27" s="4">
        <v>56</v>
      </c>
      <c r="P27" s="4">
        <v>39</v>
      </c>
      <c r="Q27" s="4">
        <v>3</v>
      </c>
      <c r="R27" s="4">
        <v>-2</v>
      </c>
      <c r="S27" s="4">
        <v>-28</v>
      </c>
      <c r="T27" s="4">
        <v>83</v>
      </c>
      <c r="U27" s="4">
        <v>32</v>
      </c>
      <c r="V27" s="4">
        <v>59</v>
      </c>
      <c r="W27" s="122">
        <f>W11*W28</f>
        <v>10.235513453742479</v>
      </c>
      <c r="X27" s="4">
        <f>X11*X28</f>
        <v>10.48723984353817</v>
      </c>
      <c r="Y27" s="4">
        <f>Y11*Y28</f>
        <v>10.742192244612895</v>
      </c>
      <c r="Z27" s="4">
        <f>Z11*Z28</f>
        <v>11.027224772275812</v>
      </c>
      <c r="AA27" s="124">
        <f>AA11*AA28</f>
        <v>11.312406222661204</v>
      </c>
      <c r="AC27" s="1021" t="s">
        <v>427</v>
      </c>
      <c r="AD27" s="1022"/>
      <c r="AE27" s="1022"/>
      <c r="AF27" s="1022"/>
      <c r="AG27" s="1023"/>
      <c r="AH27" s="1039">
        <f>AVERAGE(P22:V22)</f>
        <v>8.6127878812539312E-4</v>
      </c>
      <c r="AI27" s="1040"/>
      <c r="AJ27" s="1040"/>
      <c r="AK27" s="1040"/>
      <c r="AL27" s="1041"/>
    </row>
    <row r="28" spans="1:40" ht="17" thickBot="1">
      <c r="A28" s="923" t="s">
        <v>140</v>
      </c>
      <c r="B28" s="924"/>
      <c r="C28" s="925"/>
      <c r="D28" s="300" t="s">
        <v>34</v>
      </c>
      <c r="E28" s="301" t="s">
        <v>34</v>
      </c>
      <c r="F28" s="302">
        <f t="shared" ref="F28:V28" si="23">(F27/F11)</f>
        <v>-3.0100082775227633E-4</v>
      </c>
      <c r="G28" s="302">
        <f t="shared" si="23"/>
        <v>2.5138260432378077E-4</v>
      </c>
      <c r="H28" s="302">
        <f t="shared" si="23"/>
        <v>4.2222597534200305E-4</v>
      </c>
      <c r="I28" s="302">
        <f t="shared" si="23"/>
        <v>-1.3436164781124876E-4</v>
      </c>
      <c r="J28" s="302">
        <f t="shared" si="23"/>
        <v>6.0575466935890968E-4</v>
      </c>
      <c r="K28" s="302">
        <f t="shared" si="23"/>
        <v>-4.5387224690650232E-4</v>
      </c>
      <c r="L28" s="302">
        <f t="shared" si="23"/>
        <v>-4.5199651938509135E-3</v>
      </c>
      <c r="M28" s="302">
        <f t="shared" si="23"/>
        <v>1.3221784028996739E-3</v>
      </c>
      <c r="N28" s="302">
        <f t="shared" si="23"/>
        <v>1.1166823586083072E-3</v>
      </c>
      <c r="O28" s="302">
        <f t="shared" si="23"/>
        <v>1.204326974773651E-3</v>
      </c>
      <c r="P28" s="302">
        <f t="shared" si="23"/>
        <v>8.2658641007163748E-4</v>
      </c>
      <c r="Q28" s="302">
        <f t="shared" si="23"/>
        <v>6.614048238458486E-5</v>
      </c>
      <c r="R28" s="302">
        <f t="shared" si="23"/>
        <v>-5.0067591248185048E-5</v>
      </c>
      <c r="S28" s="302">
        <f t="shared" si="23"/>
        <v>-6.907440299980265E-4</v>
      </c>
      <c r="T28" s="302">
        <f t="shared" si="23"/>
        <v>1.7551279340241065E-3</v>
      </c>
      <c r="U28" s="302">
        <f t="shared" si="23"/>
        <v>6.4051240992794238E-4</v>
      </c>
      <c r="V28" s="302">
        <f t="shared" si="23"/>
        <v>1.0974294111082178E-3</v>
      </c>
      <c r="W28" s="307">
        <f>$AH$26</f>
        <v>1.8578447619150957E-4</v>
      </c>
      <c r="X28" s="308">
        <f>$AH$26</f>
        <v>1.8578447619150957E-4</v>
      </c>
      <c r="Y28" s="308">
        <f t="shared" ref="Y28:AA28" si="24">$AH$26</f>
        <v>1.8578447619150957E-4</v>
      </c>
      <c r="Z28" s="308">
        <f t="shared" si="24"/>
        <v>1.8578447619150957E-4</v>
      </c>
      <c r="AA28" s="309">
        <f t="shared" si="24"/>
        <v>1.8578447619150957E-4</v>
      </c>
      <c r="AC28" s="951" t="s">
        <v>424</v>
      </c>
      <c r="AD28" s="952"/>
      <c r="AE28" s="952"/>
      <c r="AF28" s="952"/>
      <c r="AG28" s="953"/>
      <c r="AH28" s="1042">
        <f>AVERAGE(D24:V24)</f>
        <v>2.2488404324953522E-2</v>
      </c>
      <c r="AI28" s="1043"/>
      <c r="AJ28" s="1043"/>
      <c r="AK28" s="1043"/>
      <c r="AL28" s="1044"/>
    </row>
    <row r="29" spans="1:40" ht="17" thickBot="1">
      <c r="A29" s="938" t="s">
        <v>197</v>
      </c>
      <c r="B29" s="927"/>
      <c r="C29" s="928"/>
      <c r="D29" s="310">
        <f t="shared" ref="D29:E29" si="25">D23+D25-IF(D27="-",0,-D27)+IF(D21="-",0,D21)</f>
        <v>1327</v>
      </c>
      <c r="E29" s="310">
        <f t="shared" si="25"/>
        <v>1104</v>
      </c>
      <c r="F29" s="310">
        <f>F23+F25-IF(F27="-",0,-F27)+IF(F21="-",0,F21)</f>
        <v>1255</v>
      </c>
      <c r="G29" s="310">
        <f t="shared" ref="G29:AA29" si="26">G23+G25-IF(G27="-",0,-G27)+IF(G21="-",0,G21)</f>
        <v>1920</v>
      </c>
      <c r="H29" s="310">
        <f t="shared" si="26"/>
        <v>2424</v>
      </c>
      <c r="I29" s="310">
        <f t="shared" si="26"/>
        <v>2395</v>
      </c>
      <c r="J29" s="310">
        <f t="shared" si="26"/>
        <v>2171</v>
      </c>
      <c r="K29" s="310">
        <f t="shared" si="26"/>
        <v>1439</v>
      </c>
      <c r="L29" s="310">
        <f t="shared" si="26"/>
        <v>1373</v>
      </c>
      <c r="M29" s="310">
        <f t="shared" si="26"/>
        <v>1629</v>
      </c>
      <c r="N29" s="310">
        <f t="shared" si="26"/>
        <v>1531</v>
      </c>
      <c r="O29" s="310">
        <f t="shared" si="26"/>
        <v>1438</v>
      </c>
      <c r="P29" s="310">
        <f t="shared" si="26"/>
        <v>1426</v>
      </c>
      <c r="Q29" s="310">
        <f t="shared" si="26"/>
        <v>1414</v>
      </c>
      <c r="R29" s="310">
        <f t="shared" si="26"/>
        <v>1444</v>
      </c>
      <c r="S29" s="310">
        <f t="shared" si="26"/>
        <v>1505</v>
      </c>
      <c r="T29" s="310">
        <f t="shared" si="26"/>
        <v>1941</v>
      </c>
      <c r="U29" s="310">
        <f t="shared" si="26"/>
        <v>2101</v>
      </c>
      <c r="V29" s="310">
        <f t="shared" si="26"/>
        <v>2185</v>
      </c>
      <c r="W29" s="310">
        <f t="shared" si="26"/>
        <v>2206.1697511219645</v>
      </c>
      <c r="X29" s="310">
        <f t="shared" si="26"/>
        <v>2260.4270337913872</v>
      </c>
      <c r="Y29" s="310">
        <f t="shared" si="26"/>
        <v>2315.3796531952835</v>
      </c>
      <c r="Z29" s="310">
        <f t="shared" si="26"/>
        <v>2376.8157641884104</v>
      </c>
      <c r="AA29" s="310">
        <f t="shared" si="26"/>
        <v>2438.2839740896243</v>
      </c>
      <c r="AC29" s="951" t="s">
        <v>425</v>
      </c>
      <c r="AD29" s="952"/>
      <c r="AE29" s="952"/>
      <c r="AF29" s="952"/>
      <c r="AG29" s="953"/>
      <c r="AH29" s="1010">
        <f>AVERAGE(D26:V26)</f>
        <v>1.6508648756635297E-2</v>
      </c>
      <c r="AI29" s="1011"/>
      <c r="AJ29" s="1011"/>
      <c r="AK29" s="1011"/>
      <c r="AL29" s="799"/>
    </row>
    <row r="30" spans="1:40" ht="17" thickBot="1">
      <c r="A30" s="961" t="s">
        <v>140</v>
      </c>
      <c r="B30" s="962"/>
      <c r="C30" s="963"/>
      <c r="D30" s="311">
        <f t="shared" ref="D30:E30" si="27">D29/D11</f>
        <v>5.4072776170490201E-2</v>
      </c>
      <c r="E30" s="312">
        <f t="shared" si="27"/>
        <v>4.6019174656106714E-2</v>
      </c>
      <c r="F30" s="312">
        <f t="shared" ref="F30:V30" si="28">F29/F11</f>
        <v>4.721950485363835E-2</v>
      </c>
      <c r="G30" s="312">
        <f t="shared" si="28"/>
        <v>6.0331825037707391E-2</v>
      </c>
      <c r="H30" s="312">
        <f t="shared" si="28"/>
        <v>6.8231717615267695E-2</v>
      </c>
      <c r="I30" s="312">
        <f t="shared" si="28"/>
        <v>6.4359229301588161E-2</v>
      </c>
      <c r="J30" s="312">
        <f t="shared" si="28"/>
        <v>5.4795557799091371E-2</v>
      </c>
      <c r="K30" s="312">
        <f t="shared" si="28"/>
        <v>3.4374850699918781E-2</v>
      </c>
      <c r="L30" s="312">
        <f t="shared" si="28"/>
        <v>3.3186696316349219E-2</v>
      </c>
      <c r="M30" s="312">
        <f t="shared" si="28"/>
        <v>3.7134976177992565E-2</v>
      </c>
      <c r="N30" s="312">
        <f t="shared" si="28"/>
        <v>3.352236649077095E-2</v>
      </c>
      <c r="O30" s="312">
        <f t="shared" si="28"/>
        <v>3.092539624508054E-2</v>
      </c>
      <c r="P30" s="312">
        <f t="shared" si="28"/>
        <v>3.0223390275952694E-2</v>
      </c>
      <c r="Q30" s="312">
        <f t="shared" si="28"/>
        <v>3.1174214030600996E-2</v>
      </c>
      <c r="R30" s="312">
        <f t="shared" si="28"/>
        <v>3.6148800881189609E-2</v>
      </c>
      <c r="S30" s="312">
        <f t="shared" si="28"/>
        <v>3.7127491612393919E-2</v>
      </c>
      <c r="T30" s="312">
        <f t="shared" si="28"/>
        <v>4.1044618312539652E-2</v>
      </c>
      <c r="U30" s="312">
        <f t="shared" si="28"/>
        <v>4.2053642914331467E-2</v>
      </c>
      <c r="V30" s="312">
        <f t="shared" si="28"/>
        <v>4.0642089207990777E-2</v>
      </c>
      <c r="W30" s="492">
        <f t="shared" ref="W30:AA30" si="29">W29/W11</f>
        <v>4.0044116345905725E-2</v>
      </c>
      <c r="X30" s="493">
        <f t="shared" si="29"/>
        <v>4.0044116345905718E-2</v>
      </c>
      <c r="Y30" s="493">
        <f t="shared" si="29"/>
        <v>4.0044116345905718E-2</v>
      </c>
      <c r="Z30" s="493">
        <f t="shared" si="29"/>
        <v>4.0044116345905725E-2</v>
      </c>
      <c r="AA30" s="494">
        <f t="shared" si="29"/>
        <v>4.0044116345905718E-2</v>
      </c>
      <c r="AC30" s="954" t="s">
        <v>426</v>
      </c>
      <c r="AD30" s="955"/>
      <c r="AE30" s="955"/>
      <c r="AF30" s="955"/>
      <c r="AG30" s="956"/>
      <c r="AH30" s="1010">
        <f>AVERAGE(E37:V37)</f>
        <v>0.10697742142770537</v>
      </c>
      <c r="AI30" s="1011"/>
      <c r="AJ30" s="1011"/>
      <c r="AK30" s="1011"/>
      <c r="AL30" s="799"/>
    </row>
    <row r="31" spans="1:40" ht="17" thickBot="1">
      <c r="A31" s="926" t="s">
        <v>1</v>
      </c>
      <c r="B31" s="927"/>
      <c r="C31" s="928"/>
      <c r="D31" s="313">
        <f t="shared" ref="D31:X31" si="30">D17-SUMIF(D29,"&lt;&gt;-")</f>
        <v>333</v>
      </c>
      <c r="E31" s="314">
        <f t="shared" si="30"/>
        <v>439</v>
      </c>
      <c r="F31" s="314">
        <f t="shared" si="30"/>
        <v>694</v>
      </c>
      <c r="G31" s="314">
        <f t="shared" si="30"/>
        <v>499</v>
      </c>
      <c r="H31" s="314">
        <f t="shared" si="30"/>
        <v>458</v>
      </c>
      <c r="I31" s="314">
        <f t="shared" si="30"/>
        <v>945</v>
      </c>
      <c r="J31" s="314">
        <f t="shared" si="30"/>
        <v>1759</v>
      </c>
      <c r="K31" s="314">
        <f t="shared" si="30"/>
        <v>2795</v>
      </c>
      <c r="L31" s="314">
        <f t="shared" si="30"/>
        <v>3201</v>
      </c>
      <c r="M31" s="314">
        <f t="shared" si="30"/>
        <v>2518</v>
      </c>
      <c r="N31" s="314">
        <f t="shared" si="30"/>
        <v>2533</v>
      </c>
      <c r="O31" s="314">
        <f t="shared" si="30"/>
        <v>2442</v>
      </c>
      <c r="P31" s="314">
        <f t="shared" si="30"/>
        <v>2818</v>
      </c>
      <c r="Q31" s="314">
        <f t="shared" si="30"/>
        <v>3189</v>
      </c>
      <c r="R31" s="314">
        <f t="shared" si="30"/>
        <v>3239</v>
      </c>
      <c r="S31" s="314">
        <f t="shared" si="30"/>
        <v>3069</v>
      </c>
      <c r="T31" s="314">
        <f t="shared" si="30"/>
        <v>3540</v>
      </c>
      <c r="U31" s="314">
        <f t="shared" si="30"/>
        <v>4270</v>
      </c>
      <c r="V31" s="314">
        <f t="shared" si="30"/>
        <v>5185</v>
      </c>
      <c r="W31" s="313">
        <f t="shared" si="30"/>
        <v>4106.0628026133527</v>
      </c>
      <c r="X31" s="314">
        <f t="shared" si="30"/>
        <v>4207.0449731949666</v>
      </c>
      <c r="Y31" s="314">
        <f t="shared" ref="Y31:AA31" si="31">Y17-SUMIF(Y29,"&lt;&gt;-")</f>
        <v>4309.3212854895028</v>
      </c>
      <c r="Z31" s="314">
        <f t="shared" si="31"/>
        <v>4423.6644950080808</v>
      </c>
      <c r="AA31" s="315">
        <f t="shared" si="31"/>
        <v>4538.0674461365043</v>
      </c>
      <c r="AC31" s="951" t="s">
        <v>339</v>
      </c>
      <c r="AD31" s="952"/>
      <c r="AE31" s="952"/>
      <c r="AF31" s="952"/>
      <c r="AG31" s="952"/>
      <c r="AH31" s="1012">
        <f>AVERAGE(P39:V39)</f>
        <v>-5.0600563701564006E-3</v>
      </c>
      <c r="AI31" s="1013"/>
      <c r="AJ31" s="1013"/>
      <c r="AK31" s="1013"/>
      <c r="AL31" s="1014"/>
      <c r="AM31" s="483"/>
      <c r="AN31" s="483"/>
    </row>
    <row r="32" spans="1:40" s="60" customFormat="1" ht="17" thickBot="1">
      <c r="A32" s="965" t="s">
        <v>137</v>
      </c>
      <c r="B32" s="971"/>
      <c r="C32" s="922"/>
      <c r="D32" s="131" t="s">
        <v>34</v>
      </c>
      <c r="E32" s="106">
        <f>(E31-D31)/D31</f>
        <v>0.31831831831831831</v>
      </c>
      <c r="F32" s="106">
        <f t="shared" ref="F32:V32" si="32">(F31-E31)/E31</f>
        <v>0.5808656036446469</v>
      </c>
      <c r="G32" s="106">
        <f t="shared" si="32"/>
        <v>-0.28097982708933716</v>
      </c>
      <c r="H32" s="106">
        <f t="shared" si="32"/>
        <v>-8.2164328657314628E-2</v>
      </c>
      <c r="I32" s="106">
        <f t="shared" si="32"/>
        <v>1.0633187772925765</v>
      </c>
      <c r="J32" s="106">
        <f t="shared" si="32"/>
        <v>0.86137566137566135</v>
      </c>
      <c r="K32" s="106">
        <f t="shared" si="32"/>
        <v>0.58897100625355314</v>
      </c>
      <c r="L32" s="106">
        <f t="shared" si="32"/>
        <v>0.14525939177101968</v>
      </c>
      <c r="M32" s="106">
        <f t="shared" si="32"/>
        <v>-0.21337082161824431</v>
      </c>
      <c r="N32" s="106">
        <f t="shared" si="32"/>
        <v>5.9571088165210487E-3</v>
      </c>
      <c r="O32" s="106">
        <f t="shared" si="32"/>
        <v>-3.5925779707856299E-2</v>
      </c>
      <c r="P32" s="106">
        <f t="shared" si="32"/>
        <v>0.15397215397215397</v>
      </c>
      <c r="Q32" s="106">
        <f t="shared" si="32"/>
        <v>0.13165365507452093</v>
      </c>
      <c r="R32" s="106">
        <f t="shared" si="32"/>
        <v>1.5678896205707119E-2</v>
      </c>
      <c r="S32" s="106">
        <f t="shared" si="32"/>
        <v>-5.2485334979932075E-2</v>
      </c>
      <c r="T32" s="106">
        <f t="shared" si="32"/>
        <v>0.15347018572825025</v>
      </c>
      <c r="U32" s="106">
        <f t="shared" si="32"/>
        <v>0.20621468926553671</v>
      </c>
      <c r="V32" s="106">
        <f t="shared" si="32"/>
        <v>0.21428571428571427</v>
      </c>
      <c r="W32" s="133">
        <f t="shared" ref="W32" si="33">(W31-V31)/V31</f>
        <v>-0.20808817693088666</v>
      </c>
      <c r="X32" s="106">
        <f t="shared" ref="X32" si="34">(X31-W31)/W31</f>
        <v>2.459343060153454E-2</v>
      </c>
      <c r="Y32" s="106">
        <f t="shared" ref="Y32" si="35">(Y31-X31)/X31</f>
        <v>2.43107247358148E-2</v>
      </c>
      <c r="Z32" s="106">
        <f t="shared" ref="Z32" si="36">(Z31-Y31)/Y31</f>
        <v>2.6533925401106325E-2</v>
      </c>
      <c r="AA32" s="316">
        <f t="shared" ref="AA32" si="37">(AA31-Z31)/Z31</f>
        <v>2.5861579524740705E-2</v>
      </c>
      <c r="AC32" s="951" t="s">
        <v>297</v>
      </c>
      <c r="AD32" s="952"/>
      <c r="AE32" s="952"/>
      <c r="AF32" s="952"/>
      <c r="AG32" s="953"/>
      <c r="AH32" s="1015">
        <f>AVERAGE(D44:V44)</f>
        <v>-1.2348969626167594E-3</v>
      </c>
      <c r="AI32" s="1016"/>
      <c r="AJ32" s="1016"/>
      <c r="AK32" s="1016"/>
      <c r="AL32" s="1017"/>
    </row>
    <row r="33" spans="1:41" s="60" customFormat="1" ht="17" thickBot="1">
      <c r="A33" s="965" t="s">
        <v>142</v>
      </c>
      <c r="B33" s="971"/>
      <c r="C33" s="922"/>
      <c r="D33" s="132">
        <f t="shared" ref="D33:AA33" si="38">D31/D11</f>
        <v>1.3569129212338535E-2</v>
      </c>
      <c r="E33" s="111">
        <f t="shared" si="38"/>
        <v>1.8299291371404753E-2</v>
      </c>
      <c r="F33" s="111">
        <f t="shared" si="38"/>
        <v>2.6111821807509969E-2</v>
      </c>
      <c r="G33" s="111">
        <f t="shared" si="38"/>
        <v>1.5679989944695827E-2</v>
      </c>
      <c r="H33" s="111">
        <f t="shared" si="38"/>
        <v>1.289196644710916E-2</v>
      </c>
      <c r="I33" s="111">
        <f t="shared" si="38"/>
        <v>2.5394351436326016E-2</v>
      </c>
      <c r="J33" s="111">
        <f t="shared" si="38"/>
        <v>4.4396769308430083E-2</v>
      </c>
      <c r="K33" s="111">
        <f t="shared" si="38"/>
        <v>6.6766996321245997E-2</v>
      </c>
      <c r="L33" s="111">
        <f t="shared" si="38"/>
        <v>7.7371168906506818E-2</v>
      </c>
      <c r="M33" s="111">
        <f t="shared" si="38"/>
        <v>5.7400779629334125E-2</v>
      </c>
      <c r="N33" s="111">
        <f t="shared" si="38"/>
        <v>5.5461890477545926E-2</v>
      </c>
      <c r="O33" s="111">
        <f t="shared" si="38"/>
        <v>5.2517258435665286E-2</v>
      </c>
      <c r="P33" s="111">
        <f t="shared" si="38"/>
        <v>5.97261667585096E-2</v>
      </c>
      <c r="Q33" s="111">
        <f t="shared" si="38"/>
        <v>7.0307332774813699E-2</v>
      </c>
      <c r="R33" s="111">
        <f t="shared" si="38"/>
        <v>8.1084464026435682E-2</v>
      </c>
      <c r="S33" s="111">
        <f t="shared" si="38"/>
        <v>7.5710479573712255E-2</v>
      </c>
      <c r="T33" s="111">
        <f t="shared" si="38"/>
        <v>7.48572636921125E-2</v>
      </c>
      <c r="U33" s="111">
        <f t="shared" si="38"/>
        <v>8.5468374699759805E-2</v>
      </c>
      <c r="V33" s="111">
        <f t="shared" si="38"/>
        <v>9.6443584688069642E-2</v>
      </c>
      <c r="W33" s="132">
        <f t="shared" si="38"/>
        <v>7.4529014146724623E-2</v>
      </c>
      <c r="X33" s="111">
        <f t="shared" si="38"/>
        <v>7.4529014146724609E-2</v>
      </c>
      <c r="Y33" s="111">
        <f t="shared" si="38"/>
        <v>7.4529014146724623E-2</v>
      </c>
      <c r="Z33" s="111">
        <f t="shared" si="38"/>
        <v>7.4529014146724512E-2</v>
      </c>
      <c r="AA33" s="317">
        <f t="shared" si="38"/>
        <v>7.4529014146724568E-2</v>
      </c>
      <c r="AC33" s="951" t="s">
        <v>338</v>
      </c>
      <c r="AD33" s="952"/>
      <c r="AE33" s="952"/>
      <c r="AF33" s="952"/>
      <c r="AG33" s="952"/>
      <c r="AH33" s="1018">
        <f>AVERAGE(P49:V49)</f>
        <v>6.3583570005510569E-5</v>
      </c>
      <c r="AI33" s="1019"/>
      <c r="AJ33" s="1019"/>
      <c r="AK33" s="1019"/>
      <c r="AL33" s="1020"/>
      <c r="AM33" s="484"/>
      <c r="AN33" s="484"/>
    </row>
    <row r="34" spans="1:41" s="60" customFormat="1" ht="17" thickBot="1">
      <c r="A34" s="968"/>
      <c r="B34" s="969"/>
      <c r="C34" s="970"/>
      <c r="D34" s="132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452"/>
      <c r="X34" s="451"/>
      <c r="Y34" s="451"/>
      <c r="Z34" s="451"/>
      <c r="AA34" s="453"/>
      <c r="AC34" s="951" t="s">
        <v>296</v>
      </c>
      <c r="AD34" s="952"/>
      <c r="AE34" s="952"/>
      <c r="AF34" s="952"/>
      <c r="AG34" s="952"/>
      <c r="AH34" s="1015">
        <f>AVERAGE(D51:V51)</f>
        <v>7.3370497987037942E-5</v>
      </c>
      <c r="AI34" s="1016"/>
      <c r="AJ34" s="1016"/>
      <c r="AK34" s="1016"/>
      <c r="AL34" s="1017"/>
      <c r="AM34" s="484"/>
      <c r="AN34" s="484"/>
    </row>
    <row r="35" spans="1:41" ht="17" thickBot="1">
      <c r="A35" s="923"/>
      <c r="B35" s="924"/>
      <c r="C35" s="925"/>
      <c r="D35" s="134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35"/>
      <c r="V35" s="135"/>
      <c r="W35" s="452"/>
      <c r="X35" s="451"/>
      <c r="Y35" s="451"/>
      <c r="Z35" s="451"/>
      <c r="AA35" s="453"/>
      <c r="AC35" s="951" t="s">
        <v>428</v>
      </c>
      <c r="AD35" s="952"/>
      <c r="AE35" s="952"/>
      <c r="AF35" s="952"/>
      <c r="AG35" s="952"/>
      <c r="AH35" s="1015">
        <f>AVERAGE(P53:V53)</f>
        <v>-3.1717838112154274E-4</v>
      </c>
      <c r="AI35" s="1016"/>
      <c r="AJ35" s="1016"/>
      <c r="AK35" s="1016"/>
      <c r="AL35" s="1017"/>
      <c r="AM35" s="484"/>
      <c r="AN35" s="484"/>
    </row>
    <row r="36" spans="1:41" s="186" customFormat="1" ht="17" thickBot="1">
      <c r="A36" s="957" t="s">
        <v>132</v>
      </c>
      <c r="B36" s="924" t="s">
        <v>132</v>
      </c>
      <c r="C36" s="925" t="s">
        <v>132</v>
      </c>
      <c r="D36" s="122">
        <v>48</v>
      </c>
      <c r="E36" s="4">
        <v>68</v>
      </c>
      <c r="F36" s="4">
        <v>93</v>
      </c>
      <c r="G36" s="4">
        <v>107</v>
      </c>
      <c r="H36" s="4">
        <v>67</v>
      </c>
      <c r="I36" s="4">
        <v>108</v>
      </c>
      <c r="J36" s="4">
        <v>130</v>
      </c>
      <c r="K36" s="4">
        <v>203</v>
      </c>
      <c r="L36" s="4">
        <v>288</v>
      </c>
      <c r="M36" s="4">
        <v>278</v>
      </c>
      <c r="N36" s="4">
        <v>312</v>
      </c>
      <c r="O36" s="4">
        <v>332</v>
      </c>
      <c r="P36" s="4">
        <v>277</v>
      </c>
      <c r="Q36" s="4">
        <v>321</v>
      </c>
      <c r="R36" s="4">
        <v>327</v>
      </c>
      <c r="S36" s="4">
        <v>320</v>
      </c>
      <c r="T36" s="4">
        <v>443</v>
      </c>
      <c r="U36" s="4">
        <v>207</v>
      </c>
      <c r="V36" s="4">
        <v>119</v>
      </c>
      <c r="W36" s="122">
        <f>V36*(1+W37)</f>
        <v>131.73031314989692</v>
      </c>
      <c r="X36" s="4">
        <f>W36*(1+X37)</f>
        <v>145.82248237453703</v>
      </c>
      <c r="Y36" s="4">
        <f t="shared" ref="Y36:AA36" si="39">X36*(1+Y37)</f>
        <v>161.42219552515201</v>
      </c>
      <c r="Z36" s="4">
        <f t="shared" si="39"/>
        <v>178.69072576363163</v>
      </c>
      <c r="AA36" s="124">
        <f t="shared" si="39"/>
        <v>197.80659883887017</v>
      </c>
      <c r="AC36" s="954" t="s">
        <v>337</v>
      </c>
      <c r="AD36" s="955"/>
      <c r="AE36" s="955"/>
      <c r="AF36" s="955"/>
      <c r="AG36" s="955"/>
      <c r="AH36" s="1048">
        <f>AVERAGE(P55:V55)</f>
        <v>0</v>
      </c>
      <c r="AI36" s="1049"/>
      <c r="AJ36" s="1049"/>
      <c r="AK36" s="1049"/>
      <c r="AL36" s="1050"/>
      <c r="AM36" s="485"/>
      <c r="AN36" s="485"/>
    </row>
    <row r="37" spans="1:41" ht="17" thickBot="1">
      <c r="A37" s="965" t="s">
        <v>137</v>
      </c>
      <c r="B37" s="971"/>
      <c r="C37" s="922"/>
      <c r="D37" s="122" t="s">
        <v>34</v>
      </c>
      <c r="E37" s="104">
        <f>(E36-D36)/D36</f>
        <v>0.41666666666666669</v>
      </c>
      <c r="F37" s="104">
        <f t="shared" ref="F37:V37" si="40">(F36-E36)/E36</f>
        <v>0.36764705882352944</v>
      </c>
      <c r="G37" s="104">
        <f t="shared" si="40"/>
        <v>0.15053763440860216</v>
      </c>
      <c r="H37" s="104">
        <f t="shared" si="40"/>
        <v>-0.37383177570093457</v>
      </c>
      <c r="I37" s="104">
        <f t="shared" si="40"/>
        <v>0.61194029850746268</v>
      </c>
      <c r="J37" s="104">
        <f t="shared" si="40"/>
        <v>0.20370370370370369</v>
      </c>
      <c r="K37" s="104">
        <f t="shared" si="40"/>
        <v>0.56153846153846154</v>
      </c>
      <c r="L37" s="104">
        <f t="shared" si="40"/>
        <v>0.41871921182266009</v>
      </c>
      <c r="M37" s="104">
        <f t="shared" si="40"/>
        <v>-3.4722222222222224E-2</v>
      </c>
      <c r="N37" s="104">
        <f t="shared" si="40"/>
        <v>0.1223021582733813</v>
      </c>
      <c r="O37" s="104">
        <f t="shared" si="40"/>
        <v>6.4102564102564097E-2</v>
      </c>
      <c r="P37" s="104">
        <f t="shared" si="40"/>
        <v>-0.16566265060240964</v>
      </c>
      <c r="Q37" s="104">
        <f t="shared" si="40"/>
        <v>0.1588447653429603</v>
      </c>
      <c r="R37" s="104">
        <f t="shared" si="40"/>
        <v>1.8691588785046728E-2</v>
      </c>
      <c r="S37" s="104">
        <f t="shared" si="40"/>
        <v>-2.1406727828746176E-2</v>
      </c>
      <c r="T37" s="104">
        <f t="shared" si="40"/>
        <v>0.38437500000000002</v>
      </c>
      <c r="U37" s="104">
        <f t="shared" si="40"/>
        <v>-0.53273137697516926</v>
      </c>
      <c r="V37" s="104">
        <f t="shared" si="40"/>
        <v>-0.4251207729468599</v>
      </c>
      <c r="W37" s="128">
        <f>$AH$30</f>
        <v>0.10697742142770537</v>
      </c>
      <c r="X37" s="104">
        <f>$AH$30</f>
        <v>0.10697742142770537</v>
      </c>
      <c r="Y37" s="104">
        <f t="shared" ref="Y37:AA37" si="41">$AH$30</f>
        <v>0.10697742142770537</v>
      </c>
      <c r="Z37" s="104">
        <f t="shared" si="41"/>
        <v>0.10697742142770537</v>
      </c>
      <c r="AA37" s="129">
        <f t="shared" si="41"/>
        <v>0.10697742142770537</v>
      </c>
      <c r="AC37" s="951" t="s">
        <v>336</v>
      </c>
      <c r="AD37" s="952"/>
      <c r="AE37" s="952"/>
      <c r="AF37" s="952"/>
      <c r="AG37" s="953"/>
      <c r="AH37" s="1012">
        <f>AVERAGE(P63:V63)</f>
        <v>6.4472767648024302E-4</v>
      </c>
      <c r="AI37" s="1013"/>
      <c r="AJ37" s="1013"/>
      <c r="AK37" s="1013"/>
      <c r="AL37" s="1014"/>
      <c r="AM37" s="483"/>
      <c r="AN37" s="483"/>
      <c r="AO37" s="451"/>
    </row>
    <row r="38" spans="1:41" s="186" customFormat="1" ht="17" thickBot="1">
      <c r="A38" s="923" t="s">
        <v>19</v>
      </c>
      <c r="B38" s="924" t="s">
        <v>19</v>
      </c>
      <c r="C38" s="925" t="s">
        <v>19</v>
      </c>
      <c r="D38" s="122">
        <v>-20</v>
      </c>
      <c r="E38" s="4">
        <v>-24</v>
      </c>
      <c r="F38" s="238">
        <v>0</v>
      </c>
      <c r="G38" s="238">
        <v>0</v>
      </c>
      <c r="H38" s="238">
        <v>0</v>
      </c>
      <c r="I38" s="238">
        <v>0</v>
      </c>
      <c r="J38" s="4">
        <v>159</v>
      </c>
      <c r="K38" s="4">
        <v>206</v>
      </c>
      <c r="L38" s="4">
        <v>67</v>
      </c>
      <c r="M38" s="4">
        <v>123</v>
      </c>
      <c r="N38" s="4">
        <v>18</v>
      </c>
      <c r="O38" s="4">
        <v>13</v>
      </c>
      <c r="P38" s="238">
        <v>0</v>
      </c>
      <c r="Q38" s="238">
        <v>0</v>
      </c>
      <c r="R38" s="4">
        <v>5</v>
      </c>
      <c r="S38" s="4">
        <v>30</v>
      </c>
      <c r="T38" s="4">
        <v>-348</v>
      </c>
      <c r="U38" s="4">
        <v>-738</v>
      </c>
      <c r="V38" s="4">
        <v>-761</v>
      </c>
      <c r="W38" s="122">
        <f>W11*$AH$31</f>
        <v>-278.77611797900101</v>
      </c>
      <c r="X38" s="4">
        <f>X11*$AH$31</f>
        <v>-285.63217908988281</v>
      </c>
      <c r="Y38" s="4">
        <f t="shared" ref="Y38:AA38" si="42">Y11*$AH$31</f>
        <v>-292.57610437142785</v>
      </c>
      <c r="Z38" s="4">
        <f t="shared" si="42"/>
        <v>-300.33929689896604</v>
      </c>
      <c r="AA38" s="124">
        <f t="shared" si="42"/>
        <v>-308.10654551012317</v>
      </c>
      <c r="AC38" s="951" t="s">
        <v>212</v>
      </c>
      <c r="AD38" s="952"/>
      <c r="AE38" s="952"/>
      <c r="AF38" s="952"/>
      <c r="AG38" s="952"/>
      <c r="AH38" s="1033">
        <f>AVERAGE(D77:V77)</f>
        <v>1.6508648756635297E-2</v>
      </c>
      <c r="AI38" s="1034"/>
      <c r="AJ38" s="1034"/>
      <c r="AK38" s="1034"/>
      <c r="AL38" s="1035"/>
      <c r="AM38" s="485"/>
      <c r="AN38" s="485"/>
    </row>
    <row r="39" spans="1:41" ht="17" thickBot="1">
      <c r="A39" s="965" t="s">
        <v>140</v>
      </c>
      <c r="B39" s="971"/>
      <c r="C39" s="922"/>
      <c r="D39" s="318">
        <f t="shared" ref="D39:AA39" si="43">IF(D38="-",0,D38)/D11</f>
        <v>-8.1496271545576789E-4</v>
      </c>
      <c r="E39" s="104">
        <f t="shared" si="43"/>
        <v>-1.0004168403501459E-3</v>
      </c>
      <c r="F39" s="104">
        <f t="shared" si="43"/>
        <v>0</v>
      </c>
      <c r="G39" s="104">
        <f t="shared" si="43"/>
        <v>0</v>
      </c>
      <c r="H39" s="104">
        <f t="shared" si="43"/>
        <v>0</v>
      </c>
      <c r="I39" s="104">
        <f t="shared" si="43"/>
        <v>0</v>
      </c>
      <c r="J39" s="104">
        <f t="shared" si="43"/>
        <v>4.0131246845027764E-3</v>
      </c>
      <c r="K39" s="104">
        <f t="shared" si="43"/>
        <v>4.9209306769862887E-3</v>
      </c>
      <c r="L39" s="104">
        <f t="shared" si="43"/>
        <v>1.6194527699893648E-3</v>
      </c>
      <c r="M39" s="104">
        <f t="shared" si="43"/>
        <v>2.8039300613217225E-3</v>
      </c>
      <c r="N39" s="104">
        <f t="shared" si="43"/>
        <v>3.9412318539116728E-4</v>
      </c>
      <c r="O39" s="104">
        <f t="shared" si="43"/>
        <v>2.7957590485816898E-4</v>
      </c>
      <c r="P39" s="104">
        <f t="shared" si="43"/>
        <v>0</v>
      </c>
      <c r="Q39" s="104">
        <f t="shared" si="43"/>
        <v>0</v>
      </c>
      <c r="R39" s="104">
        <f t="shared" si="43"/>
        <v>1.2516897812046263E-4</v>
      </c>
      <c r="S39" s="104">
        <f t="shared" si="43"/>
        <v>7.4008288928359975E-4</v>
      </c>
      <c r="T39" s="104">
        <f t="shared" si="43"/>
        <v>-7.3588496510890253E-3</v>
      </c>
      <c r="U39" s="104">
        <f t="shared" si="43"/>
        <v>-1.477181745396317E-2</v>
      </c>
      <c r="V39" s="319">
        <f t="shared" si="43"/>
        <v>-1.4154979353446673E-2</v>
      </c>
      <c r="W39" s="318">
        <f t="shared" si="43"/>
        <v>-5.0600563701564006E-3</v>
      </c>
      <c r="X39" s="319">
        <f t="shared" si="43"/>
        <v>-5.0600563701564006E-3</v>
      </c>
      <c r="Y39" s="319">
        <f t="shared" si="43"/>
        <v>-5.0600563701564006E-3</v>
      </c>
      <c r="Z39" s="319">
        <f t="shared" si="43"/>
        <v>-5.0600563701564006E-3</v>
      </c>
      <c r="AA39" s="320">
        <f t="shared" si="43"/>
        <v>-5.0600563701564006E-3</v>
      </c>
      <c r="AC39" s="951" t="s">
        <v>405</v>
      </c>
      <c r="AD39" s="952"/>
      <c r="AE39" s="952"/>
      <c r="AF39" s="952"/>
      <c r="AG39" s="953"/>
      <c r="AH39" s="1045">
        <f>(AVERAGE(N79:V79)-AVERAGE(E79:M79))/(AVERAGE(E79:M79)*COUNT(N79:V79))</f>
        <v>3.7917418511711327E-2</v>
      </c>
      <c r="AI39" s="1046"/>
      <c r="AJ39" s="1046"/>
      <c r="AK39" s="1046"/>
      <c r="AL39" s="1047"/>
    </row>
    <row r="40" spans="1:41">
      <c r="A40" s="958" t="s">
        <v>20</v>
      </c>
      <c r="B40" s="959" t="s">
        <v>20</v>
      </c>
      <c r="C40" s="960" t="s">
        <v>20</v>
      </c>
      <c r="D40" s="298">
        <f t="shared" ref="D40:AA40" si="44">D17+D36+D38</f>
        <v>1688</v>
      </c>
      <c r="E40" s="298">
        <f t="shared" si="44"/>
        <v>1587</v>
      </c>
      <c r="F40" s="298">
        <f t="shared" si="44"/>
        <v>2042</v>
      </c>
      <c r="G40" s="298">
        <f t="shared" si="44"/>
        <v>2526</v>
      </c>
      <c r="H40" s="298">
        <f t="shared" si="44"/>
        <v>2949</v>
      </c>
      <c r="I40" s="298">
        <f t="shared" si="44"/>
        <v>3448</v>
      </c>
      <c r="J40" s="298">
        <f t="shared" si="44"/>
        <v>4219</v>
      </c>
      <c r="K40" s="298">
        <f t="shared" si="44"/>
        <v>4643</v>
      </c>
      <c r="L40" s="298">
        <f t="shared" si="44"/>
        <v>4929</v>
      </c>
      <c r="M40" s="298">
        <f t="shared" si="44"/>
        <v>4548</v>
      </c>
      <c r="N40" s="298">
        <f t="shared" si="44"/>
        <v>4394</v>
      </c>
      <c r="O40" s="298">
        <f t="shared" si="44"/>
        <v>4225</v>
      </c>
      <c r="P40" s="298">
        <f t="shared" si="44"/>
        <v>4521</v>
      </c>
      <c r="Q40" s="298">
        <f t="shared" si="44"/>
        <v>4924</v>
      </c>
      <c r="R40" s="298">
        <f t="shared" si="44"/>
        <v>5015</v>
      </c>
      <c r="S40" s="298">
        <f t="shared" si="44"/>
        <v>4924</v>
      </c>
      <c r="T40" s="298">
        <f t="shared" si="44"/>
        <v>5576</v>
      </c>
      <c r="U40" s="298">
        <f t="shared" si="44"/>
        <v>5840</v>
      </c>
      <c r="V40" s="298">
        <f t="shared" si="44"/>
        <v>6728</v>
      </c>
      <c r="W40" s="297">
        <f t="shared" si="44"/>
        <v>6165.1867489062124</v>
      </c>
      <c r="X40" s="298">
        <f t="shared" si="44"/>
        <v>6327.6623102710082</v>
      </c>
      <c r="Y40" s="298">
        <f t="shared" si="44"/>
        <v>6493.5470298385098</v>
      </c>
      <c r="Z40" s="298">
        <f t="shared" si="44"/>
        <v>6678.8316880611565</v>
      </c>
      <c r="AA40" s="299">
        <f t="shared" si="44"/>
        <v>6866.051473554875</v>
      </c>
      <c r="AH40" s="180"/>
    </row>
    <row r="41" spans="1:41">
      <c r="A41" s="957" t="s">
        <v>140</v>
      </c>
      <c r="B41" s="934"/>
      <c r="C41" s="935"/>
      <c r="D41" s="136">
        <f t="shared" ref="D41:AA41" si="45">D40/D11</f>
        <v>6.8782853184466808E-2</v>
      </c>
      <c r="E41" s="107">
        <f t="shared" si="45"/>
        <v>6.6152563568153397E-2</v>
      </c>
      <c r="F41" s="107">
        <f t="shared" si="45"/>
        <v>7.6830461283768525E-2</v>
      </c>
      <c r="G41" s="107">
        <f t="shared" si="45"/>
        <v>7.9374057315233781E-2</v>
      </c>
      <c r="H41" s="107">
        <f t="shared" si="45"/>
        <v>8.3009626752237803E-2</v>
      </c>
      <c r="I41" s="107">
        <f t="shared" si="45"/>
        <v>9.2655792330637143E-2</v>
      </c>
      <c r="J41" s="107">
        <f t="shared" si="45"/>
        <v>0.10648662291771832</v>
      </c>
      <c r="K41" s="107">
        <f t="shared" si="45"/>
        <v>0.11091204433615212</v>
      </c>
      <c r="L41" s="107">
        <f t="shared" si="45"/>
        <v>0.11913854781011313</v>
      </c>
      <c r="M41" s="107">
        <f t="shared" si="45"/>
        <v>0.10367702373082271</v>
      </c>
      <c r="N41" s="107">
        <f t="shared" si="45"/>
        <v>9.6209848700488279E-2</v>
      </c>
      <c r="O41" s="107">
        <f t="shared" si="45"/>
        <v>9.0862169078904917E-2</v>
      </c>
      <c r="P41" s="107">
        <f t="shared" si="45"/>
        <v>9.5820439998304432E-2</v>
      </c>
      <c r="Q41" s="107">
        <f t="shared" si="45"/>
        <v>0.10855857842056528</v>
      </c>
      <c r="R41" s="107">
        <f t="shared" si="45"/>
        <v>0.12554448505482402</v>
      </c>
      <c r="S41" s="107">
        <f t="shared" si="45"/>
        <v>0.12147227156108151</v>
      </c>
      <c r="T41" s="107">
        <f t="shared" si="45"/>
        <v>0.11791076337492071</v>
      </c>
      <c r="U41" s="107">
        <f t="shared" si="45"/>
        <v>0.11689351481184948</v>
      </c>
      <c r="V41" s="107">
        <f t="shared" si="45"/>
        <v>0.12514415386332353</v>
      </c>
      <c r="W41" s="136">
        <f t="shared" si="45"/>
        <v>0.11190410680859177</v>
      </c>
      <c r="X41" s="107">
        <f t="shared" si="45"/>
        <v>0.11209636142295383</v>
      </c>
      <c r="Y41" s="107">
        <f t="shared" si="45"/>
        <v>0.11230484486706878</v>
      </c>
      <c r="Z41" s="107">
        <f t="shared" si="45"/>
        <v>0.11252361971049359</v>
      </c>
      <c r="AA41" s="321">
        <f t="shared" si="45"/>
        <v>0.11276166638738801</v>
      </c>
    </row>
    <row r="42" spans="1:41">
      <c r="A42" s="936"/>
      <c r="B42" s="937"/>
      <c r="C42" s="931"/>
      <c r="D42" s="195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1"/>
      <c r="V42" s="451"/>
      <c r="W42" s="452"/>
      <c r="X42" s="451"/>
      <c r="Y42" s="451"/>
      <c r="Z42" s="451"/>
      <c r="AA42" s="453"/>
    </row>
    <row r="43" spans="1:41" s="186" customFormat="1">
      <c r="A43" s="929" t="s">
        <v>133</v>
      </c>
      <c r="B43" s="930"/>
      <c r="C43" s="931"/>
      <c r="D43" s="237">
        <v>0</v>
      </c>
      <c r="E43" s="4">
        <v>-73</v>
      </c>
      <c r="F43" s="238">
        <v>0</v>
      </c>
      <c r="G43" s="4">
        <v>-41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8">
        <v>0</v>
      </c>
      <c r="N43" s="4">
        <v>-220</v>
      </c>
      <c r="O43" s="4">
        <v>-136</v>
      </c>
      <c r="P43" s="4">
        <v>-48</v>
      </c>
      <c r="Q43" s="4">
        <v>-221</v>
      </c>
      <c r="R43" s="238">
        <f>0</f>
        <v>0</v>
      </c>
      <c r="S43" s="4">
        <v>-82</v>
      </c>
      <c r="T43" s="4">
        <v>-80</v>
      </c>
      <c r="U43" s="238">
        <v>0</v>
      </c>
      <c r="V43" s="4">
        <v>-96</v>
      </c>
      <c r="W43" s="122">
        <f>$AH$32*W11</f>
        <v>-68.034771978581546</v>
      </c>
      <c r="X43" s="4">
        <f>$AH$32*X11</f>
        <v>-69.707980421728024</v>
      </c>
      <c r="Y43" s="4">
        <f t="shared" ref="Y43:AA43" si="46">$AH$32*Y11</f>
        <v>-71.402631945650199</v>
      </c>
      <c r="Z43" s="4">
        <f t="shared" si="46"/>
        <v>-73.297224055138841</v>
      </c>
      <c r="AA43" s="124">
        <f t="shared" si="46"/>
        <v>-75.192806043983509</v>
      </c>
      <c r="AC43"/>
      <c r="AD43"/>
      <c r="AE43"/>
      <c r="AF43"/>
      <c r="AG43"/>
      <c r="AH43"/>
      <c r="AI43"/>
      <c r="AJ43"/>
      <c r="AK43"/>
      <c r="AL43"/>
    </row>
    <row r="44" spans="1:41">
      <c r="A44" s="923" t="s">
        <v>140</v>
      </c>
      <c r="B44" s="934"/>
      <c r="C44" s="935"/>
      <c r="D44" s="128">
        <f t="shared" ref="D44:AA44" si="47">IF(D43="-",0,D43)/D11</f>
        <v>0</v>
      </c>
      <c r="E44" s="104">
        <f t="shared" si="47"/>
        <v>-3.0429345560650271E-3</v>
      </c>
      <c r="F44" s="104">
        <f t="shared" si="47"/>
        <v>0</v>
      </c>
      <c r="G44" s="104">
        <f t="shared" si="47"/>
        <v>-1.2883358471593765E-3</v>
      </c>
      <c r="H44" s="104">
        <f t="shared" si="47"/>
        <v>0</v>
      </c>
      <c r="I44" s="104">
        <f t="shared" si="47"/>
        <v>0</v>
      </c>
      <c r="J44" s="104">
        <f t="shared" si="47"/>
        <v>0</v>
      </c>
      <c r="K44" s="104">
        <f t="shared" si="47"/>
        <v>0</v>
      </c>
      <c r="L44" s="104">
        <f t="shared" si="47"/>
        <v>0</v>
      </c>
      <c r="M44" s="104">
        <f t="shared" si="47"/>
        <v>0</v>
      </c>
      <c r="N44" s="104">
        <f t="shared" si="47"/>
        <v>-4.8170611547809329E-3</v>
      </c>
      <c r="O44" s="104">
        <f t="shared" si="47"/>
        <v>-2.9247940815931525E-3</v>
      </c>
      <c r="P44" s="104">
        <f t="shared" si="47"/>
        <v>-1.0173371200881691E-3</v>
      </c>
      <c r="Q44" s="104">
        <f t="shared" si="47"/>
        <v>-4.8723488689977508E-3</v>
      </c>
      <c r="R44" s="104">
        <f t="shared" si="47"/>
        <v>0</v>
      </c>
      <c r="S44" s="104">
        <f t="shared" si="47"/>
        <v>-2.0228932307085061E-3</v>
      </c>
      <c r="T44" s="104">
        <f t="shared" si="47"/>
        <v>-1.6916895749629942E-3</v>
      </c>
      <c r="U44" s="104">
        <f t="shared" si="47"/>
        <v>0</v>
      </c>
      <c r="V44" s="104">
        <f t="shared" si="47"/>
        <v>-1.7856478553625237E-3</v>
      </c>
      <c r="W44" s="128">
        <f t="shared" si="47"/>
        <v>-1.2348969626167594E-3</v>
      </c>
      <c r="X44" s="104">
        <f t="shared" si="47"/>
        <v>-1.2348969626167594E-3</v>
      </c>
      <c r="Y44" s="104">
        <f t="shared" si="47"/>
        <v>-1.2348969626167594E-3</v>
      </c>
      <c r="Z44" s="104">
        <f t="shared" si="47"/>
        <v>-1.2348969626167594E-3</v>
      </c>
      <c r="AA44" s="129">
        <f t="shared" si="47"/>
        <v>-1.2348969626167594E-3</v>
      </c>
    </row>
    <row r="45" spans="1:41" s="186" customFormat="1">
      <c r="A45" s="923" t="s">
        <v>21</v>
      </c>
      <c r="B45" s="924"/>
      <c r="C45" s="925"/>
      <c r="D45" s="237">
        <v>0</v>
      </c>
      <c r="E45" s="238">
        <v>0</v>
      </c>
      <c r="F45" s="238">
        <v>0</v>
      </c>
      <c r="G45" s="238">
        <v>0</v>
      </c>
      <c r="H45" s="238">
        <v>0</v>
      </c>
      <c r="I45" s="238">
        <v>0</v>
      </c>
      <c r="J45" s="238">
        <v>0</v>
      </c>
      <c r="K45" s="238">
        <v>0</v>
      </c>
      <c r="L45" s="238">
        <v>0</v>
      </c>
      <c r="M45" s="238">
        <v>0</v>
      </c>
      <c r="N45" s="238">
        <v>0</v>
      </c>
      <c r="O45" s="238">
        <v>0</v>
      </c>
      <c r="P45" s="238">
        <v>0</v>
      </c>
      <c r="Q45" s="238">
        <v>0</v>
      </c>
      <c r="R45" s="238">
        <v>0</v>
      </c>
      <c r="S45" s="4">
        <v>-38</v>
      </c>
      <c r="T45" s="239">
        <v>0</v>
      </c>
      <c r="U45" s="239">
        <v>0</v>
      </c>
      <c r="V45" s="239">
        <v>0</v>
      </c>
      <c r="W45" s="122">
        <f>AVERAGE(D45:V45)</f>
        <v>-2</v>
      </c>
      <c r="X45" s="4">
        <f>AVERAGE(E45:W45)</f>
        <v>-2.1052631578947367</v>
      </c>
      <c r="Y45" s="4">
        <f t="shared" ref="Y45:AA45" si="48">AVERAGE(F45:X45)</f>
        <v>-2.21606648199446</v>
      </c>
      <c r="Z45" s="4">
        <f t="shared" si="48"/>
        <v>-2.3327015599941685</v>
      </c>
      <c r="AA45" s="124">
        <f t="shared" si="48"/>
        <v>-2.4554753263096512</v>
      </c>
      <c r="AC45"/>
      <c r="AD45"/>
      <c r="AE45"/>
      <c r="AF45"/>
      <c r="AG45"/>
      <c r="AH45"/>
      <c r="AI45"/>
      <c r="AJ45"/>
      <c r="AK45"/>
      <c r="AL45"/>
    </row>
    <row r="46" spans="1:41">
      <c r="A46" s="923" t="s">
        <v>136</v>
      </c>
      <c r="B46" s="924"/>
      <c r="C46" s="925"/>
      <c r="D46" s="237">
        <v>0</v>
      </c>
      <c r="E46" s="238">
        <v>0</v>
      </c>
      <c r="F46" s="238">
        <v>0</v>
      </c>
      <c r="G46" s="238">
        <v>0</v>
      </c>
      <c r="H46" s="238">
        <v>0</v>
      </c>
      <c r="I46" s="238">
        <v>0</v>
      </c>
      <c r="J46" s="238">
        <v>0</v>
      </c>
      <c r="K46" s="4">
        <v>21</v>
      </c>
      <c r="L46" s="238">
        <f>0</f>
        <v>0</v>
      </c>
      <c r="M46" s="238">
        <f>0</f>
        <v>0</v>
      </c>
      <c r="N46" s="238">
        <f>0</f>
        <v>0</v>
      </c>
      <c r="O46" s="238">
        <f>0</f>
        <v>0</v>
      </c>
      <c r="P46" s="238">
        <f>0</f>
        <v>0</v>
      </c>
      <c r="Q46" s="238">
        <f>0</f>
        <v>0</v>
      </c>
      <c r="R46" s="238">
        <f>0</f>
        <v>0</v>
      </c>
      <c r="S46" s="238">
        <f>0</f>
        <v>0</v>
      </c>
      <c r="T46" s="238">
        <f>0</f>
        <v>0</v>
      </c>
      <c r="U46" s="238">
        <f>0</f>
        <v>0</v>
      </c>
      <c r="V46" s="238">
        <f>0</f>
        <v>0</v>
      </c>
      <c r="W46" s="138">
        <f>AVERAGE(D46:V46)</f>
        <v>1.1052631578947369</v>
      </c>
      <c r="X46" s="110">
        <f t="shared" ref="X46:AA46" si="49">AVERAGE(E46:W46)</f>
        <v>1.1634349030470914</v>
      </c>
      <c r="Y46" s="110">
        <f t="shared" si="49"/>
        <v>1.2246683189969383</v>
      </c>
      <c r="Z46" s="110">
        <f t="shared" si="49"/>
        <v>1.2891245463125665</v>
      </c>
      <c r="AA46" s="322">
        <f t="shared" si="49"/>
        <v>1.3569732066448068</v>
      </c>
      <c r="AE46" s="756"/>
    </row>
    <row r="47" spans="1:41">
      <c r="A47" s="929" t="s">
        <v>22</v>
      </c>
      <c r="B47" s="930"/>
      <c r="C47" s="931"/>
      <c r="D47" s="237">
        <v>0</v>
      </c>
      <c r="E47" s="238">
        <v>0</v>
      </c>
      <c r="F47" s="238">
        <v>0</v>
      </c>
      <c r="G47" s="238">
        <v>0</v>
      </c>
      <c r="H47" s="238">
        <v>0</v>
      </c>
      <c r="I47" s="238">
        <v>0</v>
      </c>
      <c r="J47" s="238">
        <v>0</v>
      </c>
      <c r="K47" s="238">
        <v>0</v>
      </c>
      <c r="L47" s="238">
        <v>0</v>
      </c>
      <c r="M47" s="238">
        <v>0</v>
      </c>
      <c r="N47" s="238">
        <v>0</v>
      </c>
      <c r="O47" s="238">
        <v>0</v>
      </c>
      <c r="P47" s="238">
        <v>0</v>
      </c>
      <c r="Q47" s="4">
        <v>-195</v>
      </c>
      <c r="R47" s="238">
        <v>0</v>
      </c>
      <c r="S47" s="238">
        <v>0</v>
      </c>
      <c r="T47" s="4">
        <v>127</v>
      </c>
      <c r="U47" s="238">
        <v>0</v>
      </c>
      <c r="V47" s="238">
        <v>0</v>
      </c>
      <c r="W47" s="122">
        <f>AVERAGE(D47:V47)</f>
        <v>-3.5789473684210527</v>
      </c>
      <c r="X47" s="4">
        <f t="shared" ref="X47:AA47" si="50">AVERAGE(E47:W47)</f>
        <v>-3.7673130193905817</v>
      </c>
      <c r="Y47" s="4">
        <f t="shared" si="50"/>
        <v>-3.9655926519900864</v>
      </c>
      <c r="Z47" s="4">
        <f t="shared" si="50"/>
        <v>-4.1743080547264073</v>
      </c>
      <c r="AA47" s="124">
        <f t="shared" si="50"/>
        <v>-4.3940084786593756</v>
      </c>
    </row>
    <row r="48" spans="1:41">
      <c r="A48" s="929" t="s">
        <v>23</v>
      </c>
      <c r="B48" s="930" t="s">
        <v>23</v>
      </c>
      <c r="C48" s="931" t="s">
        <v>23</v>
      </c>
      <c r="D48" s="122">
        <v>-117</v>
      </c>
      <c r="E48" s="4">
        <v>-828</v>
      </c>
      <c r="F48" s="4">
        <v>-939</v>
      </c>
      <c r="G48" s="238">
        <v>0</v>
      </c>
      <c r="H48" s="4">
        <v>91</v>
      </c>
      <c r="I48" s="4">
        <v>203</v>
      </c>
      <c r="J48" s="4">
        <v>151</v>
      </c>
      <c r="K48" s="4">
        <v>12</v>
      </c>
      <c r="L48" s="4">
        <v>-158</v>
      </c>
      <c r="M48" s="238">
        <v>0</v>
      </c>
      <c r="N48" s="238">
        <v>0</v>
      </c>
      <c r="O48" s="238">
        <v>0</v>
      </c>
      <c r="P48" s="4">
        <v>21</v>
      </c>
      <c r="Q48" s="238">
        <v>0</v>
      </c>
      <c r="R48" s="238">
        <v>0</v>
      </c>
      <c r="S48" s="238">
        <v>0</v>
      </c>
      <c r="T48" s="238">
        <v>0</v>
      </c>
      <c r="U48" s="238">
        <v>0</v>
      </c>
      <c r="V48" s="238">
        <v>0</v>
      </c>
      <c r="W48" s="138">
        <f>$AH$33*W11</f>
        <v>3.5030401870472456</v>
      </c>
      <c r="X48" s="110">
        <f>$AH$33*X11</f>
        <v>3.5891919627817792</v>
      </c>
      <c r="Y48" s="110">
        <f t="shared" ref="Y48:AA48" si="51">$AH$33*Y11</f>
        <v>3.6764478206129652</v>
      </c>
      <c r="Z48" s="110">
        <f t="shared" si="51"/>
        <v>3.7739984128261748</v>
      </c>
      <c r="AA48" s="322">
        <f t="shared" si="51"/>
        <v>3.8715999729057216</v>
      </c>
    </row>
    <row r="49" spans="1:38">
      <c r="A49" s="923" t="s">
        <v>140</v>
      </c>
      <c r="B49" s="934"/>
      <c r="C49" s="935"/>
      <c r="D49" s="128">
        <f t="shared" ref="D49:AA49" si="52">D48/D11</f>
        <v>-4.7675318854162423E-3</v>
      </c>
      <c r="E49" s="104">
        <f t="shared" si="52"/>
        <v>-3.4514380992080033E-2</v>
      </c>
      <c r="F49" s="104">
        <f t="shared" si="52"/>
        <v>-3.532997215742343E-2</v>
      </c>
      <c r="G49" s="104">
        <f t="shared" si="52"/>
        <v>0</v>
      </c>
      <c r="H49" s="104">
        <f t="shared" si="52"/>
        <v>2.5615042504081517E-3</v>
      </c>
      <c r="I49" s="104">
        <f t="shared" si="52"/>
        <v>5.4550829011367E-3</v>
      </c>
      <c r="J49" s="104">
        <f t="shared" si="52"/>
        <v>3.8112064613831397E-3</v>
      </c>
      <c r="K49" s="104">
        <f t="shared" si="52"/>
        <v>2.8665615594094884E-4</v>
      </c>
      <c r="L49" s="104">
        <f t="shared" si="52"/>
        <v>-3.8190080247510394E-3</v>
      </c>
      <c r="M49" s="104">
        <f t="shared" si="52"/>
        <v>0</v>
      </c>
      <c r="N49" s="104">
        <f t="shared" si="52"/>
        <v>0</v>
      </c>
      <c r="O49" s="104">
        <f t="shared" si="52"/>
        <v>0</v>
      </c>
      <c r="P49" s="104">
        <f t="shared" si="52"/>
        <v>4.4508499003857401E-4</v>
      </c>
      <c r="Q49" s="104">
        <f t="shared" si="52"/>
        <v>0</v>
      </c>
      <c r="R49" s="104">
        <f t="shared" si="52"/>
        <v>0</v>
      </c>
      <c r="S49" s="104">
        <f t="shared" si="52"/>
        <v>0</v>
      </c>
      <c r="T49" s="104">
        <f t="shared" si="52"/>
        <v>0</v>
      </c>
      <c r="U49" s="104">
        <f t="shared" si="52"/>
        <v>0</v>
      </c>
      <c r="V49" s="104">
        <f t="shared" si="52"/>
        <v>0</v>
      </c>
      <c r="W49" s="128">
        <f t="shared" si="52"/>
        <v>6.3583570005510569E-5</v>
      </c>
      <c r="X49" s="104">
        <f t="shared" si="52"/>
        <v>6.3583570005510569E-5</v>
      </c>
      <c r="Y49" s="104">
        <f t="shared" si="52"/>
        <v>6.3583570005510569E-5</v>
      </c>
      <c r="Z49" s="104">
        <f t="shared" si="52"/>
        <v>6.3583570005510569E-5</v>
      </c>
      <c r="AA49" s="129">
        <f t="shared" si="52"/>
        <v>6.3583570005510569E-5</v>
      </c>
    </row>
    <row r="50" spans="1:38" s="186" customFormat="1">
      <c r="A50" s="929" t="s">
        <v>134</v>
      </c>
      <c r="B50" s="930"/>
      <c r="C50" s="931"/>
      <c r="D50" s="122">
        <v>-268</v>
      </c>
      <c r="E50" s="4">
        <v>111</v>
      </c>
      <c r="F50" s="238">
        <v>0</v>
      </c>
      <c r="G50" s="4">
        <v>15</v>
      </c>
      <c r="H50" s="4">
        <v>28</v>
      </c>
      <c r="I50" s="238">
        <v>0</v>
      </c>
      <c r="J50" s="4">
        <v>74</v>
      </c>
      <c r="K50" s="4">
        <v>25</v>
      </c>
      <c r="L50" s="238">
        <v>0</v>
      </c>
      <c r="M50" s="238">
        <v>0</v>
      </c>
      <c r="N50" s="238">
        <v>0</v>
      </c>
      <c r="O50" s="238">
        <v>0</v>
      </c>
      <c r="P50" s="238">
        <v>0</v>
      </c>
      <c r="Q50" s="238">
        <v>0</v>
      </c>
      <c r="R50" s="238">
        <v>0</v>
      </c>
      <c r="S50" s="238">
        <v>0</v>
      </c>
      <c r="T50" s="238">
        <v>0</v>
      </c>
      <c r="U50" s="4">
        <v>198</v>
      </c>
      <c r="V50" s="238">
        <v>0</v>
      </c>
      <c r="W50" s="237">
        <f>W51*W11</f>
        <v>4.0422361149269843</v>
      </c>
      <c r="X50" s="238">
        <f>X51*X11</f>
        <v>4.1416485682944577</v>
      </c>
      <c r="Y50" s="238">
        <f>Y51*Y11</f>
        <v>4.2423350465907452</v>
      </c>
      <c r="Z50" s="238">
        <f>Z51*Z11</f>
        <v>4.3549008482434894</v>
      </c>
      <c r="AA50" s="252">
        <f>AA51*AA11</f>
        <v>4.4675254628526959</v>
      </c>
      <c r="AC50"/>
      <c r="AD50"/>
      <c r="AE50"/>
      <c r="AF50"/>
      <c r="AG50"/>
      <c r="AH50"/>
      <c r="AI50"/>
      <c r="AJ50"/>
      <c r="AK50"/>
      <c r="AL50"/>
    </row>
    <row r="51" spans="1:38">
      <c r="A51" s="923" t="s">
        <v>140</v>
      </c>
      <c r="B51" s="934"/>
      <c r="C51" s="935"/>
      <c r="D51" s="128">
        <f t="shared" ref="D51:V51" si="53">D50/D11</f>
        <v>-1.092050038710729E-2</v>
      </c>
      <c r="E51" s="104">
        <f t="shared" si="53"/>
        <v>4.6269278866194249E-3</v>
      </c>
      <c r="F51" s="104">
        <f t="shared" si="53"/>
        <v>0</v>
      </c>
      <c r="G51" s="104">
        <f t="shared" si="53"/>
        <v>4.71342383107089E-4</v>
      </c>
      <c r="H51" s="104">
        <f t="shared" si="53"/>
        <v>7.8815515397173902E-4</v>
      </c>
      <c r="I51" s="104">
        <f t="shared" si="53"/>
        <v>0</v>
      </c>
      <c r="J51" s="104">
        <f t="shared" si="53"/>
        <v>1.8677435638566381E-3</v>
      </c>
      <c r="K51" s="104">
        <f t="shared" si="53"/>
        <v>5.9720032487697676E-4</v>
      </c>
      <c r="L51" s="104">
        <f t="shared" si="53"/>
        <v>0</v>
      </c>
      <c r="M51" s="104">
        <f t="shared" si="53"/>
        <v>0</v>
      </c>
      <c r="N51" s="104">
        <f t="shared" si="53"/>
        <v>0</v>
      </c>
      <c r="O51" s="104">
        <f t="shared" si="53"/>
        <v>0</v>
      </c>
      <c r="P51" s="104">
        <f t="shared" si="53"/>
        <v>0</v>
      </c>
      <c r="Q51" s="104">
        <f t="shared" si="53"/>
        <v>0</v>
      </c>
      <c r="R51" s="104">
        <f t="shared" si="53"/>
        <v>0</v>
      </c>
      <c r="S51" s="104">
        <f t="shared" si="53"/>
        <v>0</v>
      </c>
      <c r="T51" s="104">
        <f t="shared" si="53"/>
        <v>0</v>
      </c>
      <c r="U51" s="104">
        <f t="shared" si="53"/>
        <v>3.9631705364291435E-3</v>
      </c>
      <c r="V51" s="104">
        <f t="shared" si="53"/>
        <v>0</v>
      </c>
      <c r="W51" s="128">
        <f>$AH$34</f>
        <v>7.3370497987037942E-5</v>
      </c>
      <c r="X51" s="104">
        <f>$AH$34</f>
        <v>7.3370497987037942E-5</v>
      </c>
      <c r="Y51" s="104">
        <f t="shared" ref="Y51:AA51" si="54">$AH$34</f>
        <v>7.3370497987037942E-5</v>
      </c>
      <c r="Z51" s="104">
        <f t="shared" si="54"/>
        <v>7.3370497987037942E-5</v>
      </c>
      <c r="AA51" s="129">
        <f t="shared" si="54"/>
        <v>7.3370497987037942E-5</v>
      </c>
    </row>
    <row r="52" spans="1:38">
      <c r="A52" s="929" t="s">
        <v>135</v>
      </c>
      <c r="B52" s="930"/>
      <c r="C52" s="931"/>
      <c r="D52" s="237">
        <v>0</v>
      </c>
      <c r="E52" s="238">
        <v>0</v>
      </c>
      <c r="F52" s="238">
        <v>0</v>
      </c>
      <c r="G52" s="238">
        <v>0</v>
      </c>
      <c r="H52" s="238">
        <v>0</v>
      </c>
      <c r="I52" s="238">
        <v>0</v>
      </c>
      <c r="J52" s="238">
        <v>0</v>
      </c>
      <c r="K52" s="238">
        <v>0</v>
      </c>
      <c r="L52" s="238">
        <v>0</v>
      </c>
      <c r="M52" s="238">
        <v>0</v>
      </c>
      <c r="N52" s="238">
        <v>0</v>
      </c>
      <c r="O52" s="238">
        <v>0</v>
      </c>
      <c r="P52" s="238">
        <v>0</v>
      </c>
      <c r="Q52" s="238">
        <v>0</v>
      </c>
      <c r="R52" s="238">
        <v>0</v>
      </c>
      <c r="S52" s="4">
        <v>-90</v>
      </c>
      <c r="T52" s="238">
        <v>0</v>
      </c>
      <c r="U52" s="238">
        <v>0</v>
      </c>
      <c r="V52" s="238">
        <v>0</v>
      </c>
      <c r="W52" s="122">
        <f>$AH$35*W11</f>
        <v>-17.474461019333411</v>
      </c>
      <c r="X52" s="4">
        <f>$AH$35*X11</f>
        <v>-17.904217963711613</v>
      </c>
      <c r="Y52" s="4">
        <f t="shared" ref="Y52:AA52" si="55">$AH$35*Y11</f>
        <v>-18.339482478237432</v>
      </c>
      <c r="Z52" s="4">
        <f t="shared" si="55"/>
        <v>-18.826100938209908</v>
      </c>
      <c r="AA52" s="124">
        <f t="shared" si="55"/>
        <v>-19.312973644764206</v>
      </c>
    </row>
    <row r="53" spans="1:38">
      <c r="A53" s="923" t="s">
        <v>140</v>
      </c>
      <c r="B53" s="934"/>
      <c r="C53" s="935"/>
      <c r="D53" s="128">
        <f t="shared" ref="D53:V53" si="56">D52/D6</f>
        <v>0</v>
      </c>
      <c r="E53" s="104">
        <f t="shared" si="56"/>
        <v>0</v>
      </c>
      <c r="F53" s="104">
        <f t="shared" si="56"/>
        <v>0</v>
      </c>
      <c r="G53" s="104">
        <f t="shared" si="56"/>
        <v>0</v>
      </c>
      <c r="H53" s="104">
        <f t="shared" si="56"/>
        <v>0</v>
      </c>
      <c r="I53" s="104">
        <f t="shared" si="56"/>
        <v>0</v>
      </c>
      <c r="J53" s="104">
        <f t="shared" si="56"/>
        <v>0</v>
      </c>
      <c r="K53" s="104">
        <f t="shared" si="56"/>
        <v>0</v>
      </c>
      <c r="L53" s="104">
        <f t="shared" si="56"/>
        <v>0</v>
      </c>
      <c r="M53" s="104">
        <f t="shared" si="56"/>
        <v>0</v>
      </c>
      <c r="N53" s="104">
        <f t="shared" si="56"/>
        <v>0</v>
      </c>
      <c r="O53" s="104">
        <f t="shared" si="56"/>
        <v>0</v>
      </c>
      <c r="P53" s="104">
        <f t="shared" si="56"/>
        <v>0</v>
      </c>
      <c r="Q53" s="104">
        <f t="shared" si="56"/>
        <v>0</v>
      </c>
      <c r="R53" s="104">
        <f t="shared" si="56"/>
        <v>0</v>
      </c>
      <c r="S53" s="104">
        <f t="shared" si="56"/>
        <v>-2.2202486678507992E-3</v>
      </c>
      <c r="T53" s="104">
        <f t="shared" si="56"/>
        <v>0</v>
      </c>
      <c r="U53" s="104">
        <f t="shared" si="56"/>
        <v>0</v>
      </c>
      <c r="V53" s="104">
        <f t="shared" si="56"/>
        <v>0</v>
      </c>
      <c r="W53" s="128">
        <f>$AH$35</f>
        <v>-3.1717838112154274E-4</v>
      </c>
      <c r="X53" s="104">
        <f>$AH$35</f>
        <v>-3.1717838112154274E-4</v>
      </c>
      <c r="Y53" s="104">
        <f t="shared" ref="Y53:AA53" si="57">$AH$35</f>
        <v>-3.1717838112154274E-4</v>
      </c>
      <c r="Z53" s="104">
        <f t="shared" si="57"/>
        <v>-3.1717838112154274E-4</v>
      </c>
      <c r="AA53" s="129">
        <f t="shared" si="57"/>
        <v>-3.1717838112154274E-4</v>
      </c>
    </row>
    <row r="54" spans="1:38">
      <c r="A54" s="936" t="s">
        <v>24</v>
      </c>
      <c r="B54" s="937"/>
      <c r="C54" s="931"/>
      <c r="D54" s="122">
        <v>-287</v>
      </c>
      <c r="E54" s="4">
        <v>-55</v>
      </c>
      <c r="F54" s="238">
        <v>0</v>
      </c>
      <c r="G54" s="4">
        <v>-146</v>
      </c>
      <c r="H54" s="4">
        <v>-154</v>
      </c>
      <c r="I54" s="4">
        <v>-10</v>
      </c>
      <c r="J54" s="4">
        <v>29</v>
      </c>
      <c r="K54" s="238">
        <v>0</v>
      </c>
      <c r="L54" s="238">
        <v>0</v>
      </c>
      <c r="M54" s="238">
        <v>0</v>
      </c>
      <c r="N54" s="238">
        <v>0</v>
      </c>
      <c r="O54" s="4">
        <v>-48</v>
      </c>
      <c r="P54" s="238">
        <v>0</v>
      </c>
      <c r="Q54" s="238">
        <v>0</v>
      </c>
      <c r="R54" s="238">
        <v>0</v>
      </c>
      <c r="S54" s="238">
        <v>0</v>
      </c>
      <c r="T54" s="238">
        <v>0</v>
      </c>
      <c r="U54" s="238">
        <v>0</v>
      </c>
      <c r="V54" s="238">
        <v>0</v>
      </c>
      <c r="W54" s="122">
        <f>$AH$36*W11</f>
        <v>0</v>
      </c>
      <c r="X54" s="4">
        <f>$AH$36*X11</f>
        <v>0</v>
      </c>
      <c r="Y54" s="4">
        <f t="shared" ref="Y54:AA54" si="58">$AH$36*Y11</f>
        <v>0</v>
      </c>
      <c r="Z54" s="4">
        <f t="shared" si="58"/>
        <v>0</v>
      </c>
      <c r="AA54" s="124">
        <f t="shared" si="58"/>
        <v>0</v>
      </c>
    </row>
    <row r="55" spans="1:38" s="186" customFormat="1" ht="17" thickBot="1">
      <c r="A55" s="923" t="s">
        <v>140</v>
      </c>
      <c r="B55" s="934"/>
      <c r="C55" s="935"/>
      <c r="D55" s="318">
        <f t="shared" ref="D55:AA55" si="59">D54/D11</f>
        <v>-1.169471496679027E-2</v>
      </c>
      <c r="E55" s="319">
        <f t="shared" si="59"/>
        <v>-2.2926219258024177E-3</v>
      </c>
      <c r="F55" s="319">
        <f t="shared" si="59"/>
        <v>0</v>
      </c>
      <c r="G55" s="319">
        <f t="shared" si="59"/>
        <v>-4.5877325289089997E-3</v>
      </c>
      <c r="H55" s="319">
        <f t="shared" si="59"/>
        <v>-4.3348533468445648E-3</v>
      </c>
      <c r="I55" s="319">
        <f t="shared" si="59"/>
        <v>-2.6872329562249752E-4</v>
      </c>
      <c r="J55" s="319">
        <f t="shared" si="59"/>
        <v>7.3195355880868252E-4</v>
      </c>
      <c r="K55" s="319">
        <f t="shared" si="59"/>
        <v>0</v>
      </c>
      <c r="L55" s="319">
        <f t="shared" si="59"/>
        <v>0</v>
      </c>
      <c r="M55" s="319">
        <f t="shared" si="59"/>
        <v>0</v>
      </c>
      <c r="N55" s="319">
        <f t="shared" si="59"/>
        <v>0</v>
      </c>
      <c r="O55" s="319">
        <f t="shared" si="59"/>
        <v>-1.032280264091701E-3</v>
      </c>
      <c r="P55" s="319">
        <f t="shared" si="59"/>
        <v>0</v>
      </c>
      <c r="Q55" s="319">
        <f t="shared" si="59"/>
        <v>0</v>
      </c>
      <c r="R55" s="319">
        <f t="shared" si="59"/>
        <v>0</v>
      </c>
      <c r="S55" s="319">
        <f t="shared" si="59"/>
        <v>0</v>
      </c>
      <c r="T55" s="319">
        <f t="shared" si="59"/>
        <v>0</v>
      </c>
      <c r="U55" s="319">
        <f t="shared" si="59"/>
        <v>0</v>
      </c>
      <c r="V55" s="319">
        <f t="shared" si="59"/>
        <v>0</v>
      </c>
      <c r="W55" s="318">
        <f t="shared" si="59"/>
        <v>0</v>
      </c>
      <c r="X55" s="319">
        <f t="shared" si="59"/>
        <v>0</v>
      </c>
      <c r="Y55" s="319">
        <f t="shared" si="59"/>
        <v>0</v>
      </c>
      <c r="Z55" s="319">
        <f t="shared" si="59"/>
        <v>0</v>
      </c>
      <c r="AA55" s="320">
        <f t="shared" si="59"/>
        <v>0</v>
      </c>
      <c r="AC55"/>
      <c r="AD55"/>
      <c r="AE55"/>
      <c r="AF55"/>
      <c r="AG55"/>
      <c r="AH55"/>
      <c r="AI55"/>
      <c r="AJ55"/>
      <c r="AK55"/>
      <c r="AL55"/>
    </row>
    <row r="56" spans="1:38">
      <c r="A56" s="938" t="s">
        <v>146</v>
      </c>
      <c r="B56" s="927"/>
      <c r="C56" s="928"/>
      <c r="D56" s="313">
        <f>D40+D43+D45+D46+D47+D48+D50+D52+D54</f>
        <v>1016</v>
      </c>
      <c r="E56" s="314">
        <f t="shared" ref="E56:AA56" si="60">E40+E43+E45+E46+E47+E48+E50+E52+E54</f>
        <v>742</v>
      </c>
      <c r="F56" s="314">
        <f t="shared" si="60"/>
        <v>1103</v>
      </c>
      <c r="G56" s="314">
        <f t="shared" si="60"/>
        <v>2354</v>
      </c>
      <c r="H56" s="314">
        <f t="shared" si="60"/>
        <v>2914</v>
      </c>
      <c r="I56" s="314">
        <f t="shared" si="60"/>
        <v>3641</v>
      </c>
      <c r="J56" s="314">
        <f t="shared" si="60"/>
        <v>4473</v>
      </c>
      <c r="K56" s="314">
        <f t="shared" si="60"/>
        <v>4701</v>
      </c>
      <c r="L56" s="314">
        <f t="shared" si="60"/>
        <v>4771</v>
      </c>
      <c r="M56" s="314">
        <f t="shared" si="60"/>
        <v>4548</v>
      </c>
      <c r="N56" s="314">
        <f t="shared" si="60"/>
        <v>4174</v>
      </c>
      <c r="O56" s="314">
        <f t="shared" si="60"/>
        <v>4041</v>
      </c>
      <c r="P56" s="314">
        <f t="shared" si="60"/>
        <v>4494</v>
      </c>
      <c r="Q56" s="314">
        <f t="shared" si="60"/>
        <v>4508</v>
      </c>
      <c r="R56" s="314">
        <f t="shared" si="60"/>
        <v>5015</v>
      </c>
      <c r="S56" s="314">
        <f t="shared" si="60"/>
        <v>4714</v>
      </c>
      <c r="T56" s="314">
        <f t="shared" si="60"/>
        <v>5623</v>
      </c>
      <c r="U56" s="314">
        <f t="shared" si="60"/>
        <v>6038</v>
      </c>
      <c r="V56" s="314">
        <f t="shared" si="60"/>
        <v>6632</v>
      </c>
      <c r="W56" s="313">
        <f t="shared" si="60"/>
        <v>6082.7491079997453</v>
      </c>
      <c r="X56" s="314">
        <f t="shared" si="60"/>
        <v>6243.0718111424067</v>
      </c>
      <c r="Y56" s="314">
        <f t="shared" si="60"/>
        <v>6406.7667074668389</v>
      </c>
      <c r="Z56" s="314">
        <f t="shared" si="60"/>
        <v>6589.6193772604693</v>
      </c>
      <c r="AA56" s="315">
        <f t="shared" si="60"/>
        <v>6774.392308703561</v>
      </c>
    </row>
    <row r="57" spans="1:38" s="186" customFormat="1">
      <c r="A57" s="932" t="s">
        <v>140</v>
      </c>
      <c r="B57" s="933"/>
      <c r="C57" s="925"/>
      <c r="D57" s="137">
        <f t="shared" ref="D57:AA57" si="61">D56/D11</f>
        <v>4.1400105945153011E-2</v>
      </c>
      <c r="E57" s="109">
        <f t="shared" si="61"/>
        <v>3.0929553980825343E-2</v>
      </c>
      <c r="F57" s="109">
        <f t="shared" si="61"/>
        <v>4.1500489126345096E-2</v>
      </c>
      <c r="G57" s="109">
        <f t="shared" si="61"/>
        <v>7.39693313222725E-2</v>
      </c>
      <c r="H57" s="109">
        <f t="shared" si="61"/>
        <v>8.2024432809773118E-2</v>
      </c>
      <c r="I57" s="109">
        <f t="shared" si="61"/>
        <v>9.7842151936151339E-2</v>
      </c>
      <c r="J57" s="109">
        <f t="shared" si="61"/>
        <v>0.11289752650176678</v>
      </c>
      <c r="K57" s="109">
        <f t="shared" si="61"/>
        <v>0.11229754908986671</v>
      </c>
      <c r="L57" s="109">
        <f t="shared" si="61"/>
        <v>0.11531953978536208</v>
      </c>
      <c r="M57" s="109">
        <f t="shared" si="61"/>
        <v>0.10367702373082271</v>
      </c>
      <c r="N57" s="109">
        <f t="shared" si="61"/>
        <v>9.1392787545707344E-2</v>
      </c>
      <c r="O57" s="109">
        <f t="shared" si="61"/>
        <v>8.690509473322007E-2</v>
      </c>
      <c r="P57" s="109">
        <f t="shared" si="61"/>
        <v>9.5248187868254841E-2</v>
      </c>
      <c r="Q57" s="109">
        <f t="shared" si="61"/>
        <v>9.9387098196569518E-2</v>
      </c>
      <c r="R57" s="109">
        <f t="shared" si="61"/>
        <v>0.12554448505482402</v>
      </c>
      <c r="S57" s="109">
        <f t="shared" si="61"/>
        <v>0.11629169133609631</v>
      </c>
      <c r="T57" s="109">
        <f t="shared" si="61"/>
        <v>0.11890463100021147</v>
      </c>
      <c r="U57" s="109">
        <f t="shared" si="61"/>
        <v>0.12085668534827862</v>
      </c>
      <c r="V57" s="109">
        <f t="shared" si="61"/>
        <v>0.12335850600796101</v>
      </c>
      <c r="W57" s="137">
        <f t="shared" si="61"/>
        <v>0.11040778383432302</v>
      </c>
      <c r="X57" s="109">
        <f t="shared" si="61"/>
        <v>0.11059781635238707</v>
      </c>
      <c r="Y57" s="109">
        <f t="shared" si="61"/>
        <v>0.11080399323749228</v>
      </c>
      <c r="Z57" s="109">
        <f t="shared" si="61"/>
        <v>0.11102058855132015</v>
      </c>
      <c r="AA57" s="323">
        <f t="shared" si="61"/>
        <v>0.11125634120768042</v>
      </c>
      <c r="AC57"/>
      <c r="AD57"/>
      <c r="AE57"/>
      <c r="AF57"/>
      <c r="AG57"/>
      <c r="AH57"/>
      <c r="AI57"/>
      <c r="AJ57"/>
      <c r="AK57"/>
      <c r="AL57"/>
    </row>
    <row r="58" spans="1:38">
      <c r="A58" s="920"/>
      <c r="B58" s="921"/>
      <c r="C58" s="922"/>
      <c r="D58" s="188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451"/>
      <c r="W58" s="452"/>
      <c r="X58" s="451"/>
      <c r="Y58" s="451"/>
      <c r="Z58" s="451"/>
      <c r="AA58" s="453"/>
    </row>
    <row r="59" spans="1:38" s="186" customFormat="1">
      <c r="A59" s="929" t="s">
        <v>26</v>
      </c>
      <c r="B59" s="930"/>
      <c r="C59" s="931"/>
      <c r="D59" s="138">
        <f t="shared" ref="D59:V59" si="62">D56*D60</f>
        <v>3621.5482559999996</v>
      </c>
      <c r="E59" s="110">
        <f t="shared" si="62"/>
        <v>502.10472200000004</v>
      </c>
      <c r="F59" s="110">
        <f t="shared" si="62"/>
        <v>84.110368000000008</v>
      </c>
      <c r="G59" s="110">
        <f t="shared" si="62"/>
        <v>736.00870200000008</v>
      </c>
      <c r="H59" s="110">
        <f t="shared" si="62"/>
        <v>696.97634800000003</v>
      </c>
      <c r="I59" s="110">
        <f t="shared" si="62"/>
        <v>1100.9291700000001</v>
      </c>
      <c r="J59" s="110">
        <f t="shared" si="62"/>
        <v>1323.717255</v>
      </c>
      <c r="K59" s="110">
        <f t="shared" si="62"/>
        <v>1436.7713309999999</v>
      </c>
      <c r="L59" s="110">
        <f t="shared" si="62"/>
        <v>1504.7304609999999</v>
      </c>
      <c r="M59" s="110">
        <f t="shared" si="62"/>
        <v>1321.33044</v>
      </c>
      <c r="N59" s="110">
        <f t="shared" si="62"/>
        <v>1286.005226</v>
      </c>
      <c r="O59" s="110">
        <f t="shared" si="62"/>
        <v>1072.8491309999999</v>
      </c>
      <c r="P59" s="110">
        <f t="shared" si="62"/>
        <v>1464.522696</v>
      </c>
      <c r="Q59" s="110">
        <f t="shared" si="62"/>
        <v>1307.374096</v>
      </c>
      <c r="R59" s="110">
        <f t="shared" si="62"/>
        <v>1526.9070200000001</v>
      </c>
      <c r="S59" s="110">
        <f t="shared" si="62"/>
        <v>1286.2337559999999</v>
      </c>
      <c r="T59" s="110">
        <f t="shared" si="62"/>
        <v>1292.7895530000001</v>
      </c>
      <c r="U59" s="110">
        <f t="shared" si="62"/>
        <v>3862.6595499999999</v>
      </c>
      <c r="V59" s="110">
        <f t="shared" si="62"/>
        <v>899.71038399999998</v>
      </c>
      <c r="W59" s="138">
        <f>W56*W60</f>
        <v>1277.3773126799465</v>
      </c>
      <c r="X59" s="110">
        <f t="shared" ref="X59:AA59" si="63">X56*X60</f>
        <v>1311.0450803399053</v>
      </c>
      <c r="Y59" s="110">
        <f t="shared" si="63"/>
        <v>1345.4210085680361</v>
      </c>
      <c r="Z59" s="110">
        <f t="shared" si="63"/>
        <v>1383.8200692246985</v>
      </c>
      <c r="AA59" s="322">
        <f t="shared" si="63"/>
        <v>1422.6223848277477</v>
      </c>
      <c r="AC59"/>
      <c r="AD59"/>
      <c r="AE59"/>
      <c r="AF59"/>
      <c r="AG59"/>
      <c r="AH59"/>
      <c r="AI59"/>
      <c r="AJ59"/>
      <c r="AK59"/>
      <c r="AL59"/>
    </row>
    <row r="60" spans="1:38">
      <c r="A60" s="932" t="s">
        <v>143</v>
      </c>
      <c r="B60" s="933"/>
      <c r="C60" s="925"/>
      <c r="D60" s="139">
        <v>3.5645159999999998</v>
      </c>
      <c r="E60" s="140">
        <v>0.67669100000000004</v>
      </c>
      <c r="F60" s="140">
        <v>7.6256000000000004E-2</v>
      </c>
      <c r="G60" s="140">
        <v>0.31266300000000002</v>
      </c>
      <c r="H60" s="140">
        <v>0.23918200000000001</v>
      </c>
      <c r="I60" s="140">
        <v>0.30237000000000003</v>
      </c>
      <c r="J60" s="140">
        <v>0.295935</v>
      </c>
      <c r="K60" s="140">
        <v>0.30563099999999999</v>
      </c>
      <c r="L60" s="140">
        <v>0.31539099999999998</v>
      </c>
      <c r="M60" s="140">
        <v>0.29053000000000001</v>
      </c>
      <c r="N60" s="140">
        <v>0.30809900000000001</v>
      </c>
      <c r="O60" s="140">
        <v>0.26549099999999998</v>
      </c>
      <c r="P60" s="140">
        <v>0.32588400000000001</v>
      </c>
      <c r="Q60" s="140">
        <v>0.29001199999999999</v>
      </c>
      <c r="R60" s="140">
        <v>0.30446800000000002</v>
      </c>
      <c r="S60" s="140">
        <v>0.27285399999999999</v>
      </c>
      <c r="T60" s="140">
        <v>0.229911</v>
      </c>
      <c r="U60" s="140">
        <v>0.63972499999999999</v>
      </c>
      <c r="V60" s="140">
        <v>0.135662</v>
      </c>
      <c r="W60" s="139">
        <f>Rates!$I$21</f>
        <v>0.21</v>
      </c>
      <c r="X60" s="140">
        <f>Rates!$I$21</f>
        <v>0.21</v>
      </c>
      <c r="Y60" s="140">
        <f>Rates!$I$21</f>
        <v>0.21</v>
      </c>
      <c r="Z60" s="140">
        <f>Rates!$I$21</f>
        <v>0.21</v>
      </c>
      <c r="AA60" s="324">
        <f>Rates!$I$21</f>
        <v>0.21</v>
      </c>
    </row>
    <row r="61" spans="1:38" s="186" customFormat="1">
      <c r="A61" s="920"/>
      <c r="B61" s="921"/>
      <c r="C61" s="922"/>
      <c r="D61" s="188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451"/>
      <c r="W61" s="452"/>
      <c r="X61" s="451"/>
      <c r="Y61" s="451"/>
      <c r="Z61" s="451"/>
      <c r="AA61" s="453"/>
      <c r="AC61"/>
      <c r="AD61"/>
      <c r="AE61"/>
      <c r="AF61"/>
      <c r="AG61"/>
      <c r="AH61"/>
      <c r="AI61"/>
      <c r="AJ61"/>
      <c r="AK61"/>
      <c r="AL61"/>
    </row>
    <row r="62" spans="1:38">
      <c r="A62" s="929" t="s">
        <v>31</v>
      </c>
      <c r="B62" s="930"/>
      <c r="C62" s="931"/>
      <c r="D62" s="237">
        <v>0</v>
      </c>
      <c r="E62" s="238">
        <v>0</v>
      </c>
      <c r="F62" s="238">
        <v>0</v>
      </c>
      <c r="G62" s="238">
        <v>0</v>
      </c>
      <c r="H62" s="238">
        <v>0</v>
      </c>
      <c r="I62" s="238">
        <v>0</v>
      </c>
      <c r="J62" s="238">
        <v>0</v>
      </c>
      <c r="K62" s="238">
        <v>0</v>
      </c>
      <c r="L62" s="238">
        <v>0</v>
      </c>
      <c r="M62" s="238">
        <v>0</v>
      </c>
      <c r="N62" s="238">
        <v>0</v>
      </c>
      <c r="O62" s="238">
        <v>0</v>
      </c>
      <c r="P62" s="238">
        <v>0</v>
      </c>
      <c r="Q62" s="238">
        <v>0</v>
      </c>
      <c r="R62" s="238">
        <v>0</v>
      </c>
      <c r="S62" s="238">
        <v>0</v>
      </c>
      <c r="T62" s="4">
        <v>95</v>
      </c>
      <c r="U62" s="4">
        <v>74</v>
      </c>
      <c r="V62" s="4">
        <v>55</v>
      </c>
      <c r="W62" s="242">
        <f>W63*W11</f>
        <v>35.520291802051212</v>
      </c>
      <c r="X62" s="243">
        <f>X63*X11</f>
        <v>36.393857633431224</v>
      </c>
      <c r="Y62" s="243">
        <f>Y63*Y11</f>
        <v>37.27861868843199</v>
      </c>
      <c r="Z62" s="243">
        <f>Z63*Z11</f>
        <v>38.267766775767193</v>
      </c>
      <c r="AA62" s="278">
        <f>AA63*AA11</f>
        <v>39.257431669472901</v>
      </c>
    </row>
    <row r="63" spans="1:38">
      <c r="A63" s="932" t="s">
        <v>140</v>
      </c>
      <c r="B63" s="933"/>
      <c r="C63" s="925"/>
      <c r="D63" s="128">
        <f t="shared" ref="D63:V63" si="64">D62/D11</f>
        <v>0</v>
      </c>
      <c r="E63" s="104">
        <f t="shared" si="64"/>
        <v>0</v>
      </c>
      <c r="F63" s="104">
        <f t="shared" si="64"/>
        <v>0</v>
      </c>
      <c r="G63" s="104">
        <f t="shared" si="64"/>
        <v>0</v>
      </c>
      <c r="H63" s="104">
        <f t="shared" si="64"/>
        <v>0</v>
      </c>
      <c r="I63" s="104">
        <f t="shared" si="64"/>
        <v>0</v>
      </c>
      <c r="J63" s="104">
        <f t="shared" si="64"/>
        <v>0</v>
      </c>
      <c r="K63" s="104">
        <f t="shared" si="64"/>
        <v>0</v>
      </c>
      <c r="L63" s="104">
        <f t="shared" si="64"/>
        <v>0</v>
      </c>
      <c r="M63" s="104">
        <f t="shared" si="64"/>
        <v>0</v>
      </c>
      <c r="N63" s="104">
        <f t="shared" si="64"/>
        <v>0</v>
      </c>
      <c r="O63" s="104">
        <f t="shared" si="64"/>
        <v>0</v>
      </c>
      <c r="P63" s="104">
        <f t="shared" si="64"/>
        <v>0</v>
      </c>
      <c r="Q63" s="104">
        <f t="shared" si="64"/>
        <v>0</v>
      </c>
      <c r="R63" s="104">
        <f t="shared" si="64"/>
        <v>0</v>
      </c>
      <c r="S63" s="104">
        <f t="shared" si="64"/>
        <v>0</v>
      </c>
      <c r="T63" s="104">
        <f t="shared" si="64"/>
        <v>2.0088813702685555E-3</v>
      </c>
      <c r="U63" s="104">
        <f t="shared" si="64"/>
        <v>1.4811849479583667E-3</v>
      </c>
      <c r="V63" s="104">
        <f t="shared" si="64"/>
        <v>1.0230274171347791E-3</v>
      </c>
      <c r="W63" s="240">
        <f>$AH$37</f>
        <v>6.4472767648024302E-4</v>
      </c>
      <c r="X63" s="241">
        <f t="shared" ref="X63:AA63" si="65">$AH$37</f>
        <v>6.4472767648024302E-4</v>
      </c>
      <c r="Y63" s="241">
        <f t="shared" si="65"/>
        <v>6.4472767648024302E-4</v>
      </c>
      <c r="Z63" s="241">
        <f t="shared" si="65"/>
        <v>6.4472767648024302E-4</v>
      </c>
      <c r="AA63" s="325">
        <f t="shared" si="65"/>
        <v>6.4472767648024302E-4</v>
      </c>
    </row>
    <row r="64" spans="1:38" ht="17" thickBot="1">
      <c r="A64" s="923"/>
      <c r="B64" s="924"/>
      <c r="C64" s="925"/>
      <c r="D64" s="187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462"/>
      <c r="W64" s="454"/>
      <c r="X64" s="462"/>
      <c r="Y64" s="462"/>
      <c r="Z64" s="462"/>
      <c r="AA64" s="455"/>
    </row>
    <row r="65" spans="1:38">
      <c r="A65" s="926" t="s">
        <v>144</v>
      </c>
      <c r="B65" s="927"/>
      <c r="C65" s="928"/>
      <c r="D65" s="327">
        <f t="shared" ref="D65:E65" si="66">D56-D59-SUMIF(D62,"&lt;&gt;-")</f>
        <v>-2605.5482559999996</v>
      </c>
      <c r="E65" s="328">
        <f t="shared" si="66"/>
        <v>239.89527799999996</v>
      </c>
      <c r="F65" s="328">
        <f>F56-F59-SUMIF(F62,"&lt;&gt;-")</f>
        <v>1018.889632</v>
      </c>
      <c r="G65" s="328">
        <f t="shared" ref="G65:AA65" si="67">G56-G59-SUMIF(G62,"&lt;&gt;-")</f>
        <v>1617.9912979999999</v>
      </c>
      <c r="H65" s="328">
        <f t="shared" si="67"/>
        <v>2217.0236519999999</v>
      </c>
      <c r="I65" s="328">
        <f t="shared" si="67"/>
        <v>2540.0708299999997</v>
      </c>
      <c r="J65" s="328">
        <f t="shared" si="67"/>
        <v>3149.282745</v>
      </c>
      <c r="K65" s="328">
        <f t="shared" si="67"/>
        <v>3264.2286690000001</v>
      </c>
      <c r="L65" s="328">
        <f t="shared" si="67"/>
        <v>3266.2695389999999</v>
      </c>
      <c r="M65" s="328">
        <f t="shared" si="67"/>
        <v>3226.6695600000003</v>
      </c>
      <c r="N65" s="328">
        <f t="shared" si="67"/>
        <v>2887.9947739999998</v>
      </c>
      <c r="O65" s="328">
        <f t="shared" si="67"/>
        <v>2968.1508690000001</v>
      </c>
      <c r="P65" s="328">
        <f t="shared" si="67"/>
        <v>3029.477304</v>
      </c>
      <c r="Q65" s="328">
        <f t="shared" si="67"/>
        <v>3200.625904</v>
      </c>
      <c r="R65" s="328">
        <f t="shared" si="67"/>
        <v>3488.0929799999999</v>
      </c>
      <c r="S65" s="328">
        <f t="shared" si="67"/>
        <v>3427.7662440000004</v>
      </c>
      <c r="T65" s="328">
        <f t="shared" si="67"/>
        <v>4235.2104469999995</v>
      </c>
      <c r="U65" s="328">
        <f t="shared" si="67"/>
        <v>2101.3404500000001</v>
      </c>
      <c r="V65" s="328">
        <f t="shared" si="67"/>
        <v>5677.289616</v>
      </c>
      <c r="W65" s="327">
        <f t="shared" si="67"/>
        <v>4769.8515035177479</v>
      </c>
      <c r="X65" s="328">
        <f t="shared" si="67"/>
        <v>4895.6328731690701</v>
      </c>
      <c r="Y65" s="328">
        <f t="shared" si="67"/>
        <v>5024.0670802103705</v>
      </c>
      <c r="Z65" s="328">
        <f t="shared" si="67"/>
        <v>5167.5315412600039</v>
      </c>
      <c r="AA65" s="329">
        <f t="shared" si="67"/>
        <v>5312.5124922063405</v>
      </c>
    </row>
    <row r="66" spans="1:38">
      <c r="A66" s="939" t="s">
        <v>137</v>
      </c>
      <c r="B66" s="940"/>
      <c r="C66" s="941"/>
      <c r="D66" s="152" t="s">
        <v>34</v>
      </c>
      <c r="E66" s="293">
        <f>-(E65-D65)/D65</f>
        <v>1.0920709403280382</v>
      </c>
      <c r="F66" s="293">
        <f>(F65-E65)/E65</f>
        <v>3.2472267086474296</v>
      </c>
      <c r="G66" s="293">
        <f t="shared" ref="G66:V66" si="68">(G65-F65)/F65</f>
        <v>0.58799466319429572</v>
      </c>
      <c r="H66" s="293">
        <f t="shared" si="68"/>
        <v>0.37023212346102491</v>
      </c>
      <c r="I66" s="293">
        <f t="shared" si="68"/>
        <v>0.14571210266907872</v>
      </c>
      <c r="J66" s="293">
        <f t="shared" si="68"/>
        <v>0.23984052247865875</v>
      </c>
      <c r="K66" s="293">
        <f t="shared" si="68"/>
        <v>3.6499080364408534E-2</v>
      </c>
      <c r="L66" s="293">
        <f t="shared" si="68"/>
        <v>6.2522274232247219E-4</v>
      </c>
      <c r="M66" s="293">
        <f t="shared" si="68"/>
        <v>-1.2123916451831938E-2</v>
      </c>
      <c r="N66" s="293">
        <f t="shared" si="68"/>
        <v>-0.10496109989025355</v>
      </c>
      <c r="O66" s="293">
        <f t="shared" si="68"/>
        <v>2.7754930764289632E-2</v>
      </c>
      <c r="P66" s="293">
        <f t="shared" si="68"/>
        <v>2.0661495222667518E-2</v>
      </c>
      <c r="Q66" s="293">
        <f t="shared" si="68"/>
        <v>5.6494432149738261E-2</v>
      </c>
      <c r="R66" s="293">
        <f t="shared" si="68"/>
        <v>8.9815893710269712E-2</v>
      </c>
      <c r="S66" s="293">
        <f t="shared" si="68"/>
        <v>-1.7295048138309527E-2</v>
      </c>
      <c r="T66" s="293">
        <f t="shared" si="68"/>
        <v>0.23555987938598738</v>
      </c>
      <c r="U66" s="293">
        <f t="shared" si="68"/>
        <v>-0.50384036961174405</v>
      </c>
      <c r="V66" s="293">
        <f t="shared" si="68"/>
        <v>1.7017466950679028</v>
      </c>
      <c r="W66" s="294">
        <f t="shared" ref="W66" si="69">(W65-V65)/V65</f>
        <v>-0.15983650189781901</v>
      </c>
      <c r="X66" s="293">
        <f t="shared" ref="X66" si="70">(X65-W65)/W65</f>
        <v>2.6370080820872277E-2</v>
      </c>
      <c r="Y66" s="293">
        <f t="shared" ref="Y66" si="71">(Y65-X65)/X65</f>
        <v>2.6234444119614224E-2</v>
      </c>
      <c r="Z66" s="293">
        <f t="shared" ref="Z66" si="72">(Z65-Y65)/Y65</f>
        <v>2.8555442982585773E-2</v>
      </c>
      <c r="AA66" s="330">
        <f t="shared" ref="AA66" si="73">(AA65-Z65)/Z65</f>
        <v>2.805613275676026E-2</v>
      </c>
    </row>
    <row r="67" spans="1:38">
      <c r="A67" s="939" t="s">
        <v>142</v>
      </c>
      <c r="B67" s="940"/>
      <c r="C67" s="941"/>
      <c r="D67" s="294">
        <f t="shared" ref="D67:AA67" si="74">D65/D11</f>
        <v>-0.10617123409804</v>
      </c>
      <c r="E67" s="293">
        <f t="shared" si="74"/>
        <v>9.9998031679866591E-3</v>
      </c>
      <c r="F67" s="293">
        <f t="shared" si="74"/>
        <v>3.8335827827526529E-2</v>
      </c>
      <c r="G67" s="293">
        <f t="shared" si="74"/>
        <v>5.0841858283056811E-2</v>
      </c>
      <c r="H67" s="293">
        <f t="shared" si="74"/>
        <v>6.2405664921465966E-2</v>
      </c>
      <c r="I67" s="293">
        <f t="shared" si="74"/>
        <v>6.8257620455217258E-2</v>
      </c>
      <c r="J67" s="293">
        <f t="shared" si="74"/>
        <v>7.9487196996466433E-2</v>
      </c>
      <c r="K67" s="293">
        <f t="shared" si="74"/>
        <v>7.797593686398166E-2</v>
      </c>
      <c r="L67" s="293">
        <f t="shared" si="74"/>
        <v>7.8948794812916945E-2</v>
      </c>
      <c r="M67" s="293">
        <f t="shared" si="74"/>
        <v>7.3555738026306799E-2</v>
      </c>
      <c r="N67" s="293">
        <f t="shared" si="74"/>
        <v>6.3234761095662451E-2</v>
      </c>
      <c r="O67" s="293">
        <f t="shared" si="74"/>
        <v>6.3832574227402739E-2</v>
      </c>
      <c r="P67" s="293">
        <f t="shared" si="74"/>
        <v>6.420832741299648E-2</v>
      </c>
      <c r="Q67" s="293">
        <f t="shared" si="74"/>
        <v>7.0563647074385991E-2</v>
      </c>
      <c r="R67" s="293">
        <f t="shared" si="74"/>
        <v>8.7320206779151852E-2</v>
      </c>
      <c r="S67" s="293">
        <f t="shared" si="74"/>
        <v>8.4561038188277093E-2</v>
      </c>
      <c r="T67" s="293">
        <f t="shared" si="74"/>
        <v>8.9558267012053272E-2</v>
      </c>
      <c r="U67" s="293">
        <f t="shared" si="74"/>
        <v>4.2060457365892714E-2</v>
      </c>
      <c r="V67" s="293">
        <f t="shared" si="74"/>
        <v>0.10560041694877423</v>
      </c>
      <c r="W67" s="294">
        <f t="shared" si="74"/>
        <v>8.6577421552634953E-2</v>
      </c>
      <c r="X67" s="293">
        <f t="shared" si="74"/>
        <v>8.6727547241905539E-2</v>
      </c>
      <c r="Y67" s="293">
        <f t="shared" si="74"/>
        <v>8.6890426981138649E-2</v>
      </c>
      <c r="Z67" s="293">
        <f t="shared" si="74"/>
        <v>8.706153727906267E-2</v>
      </c>
      <c r="AA67" s="330">
        <f t="shared" si="74"/>
        <v>8.7247781877587291E-2</v>
      </c>
    </row>
    <row r="68" spans="1:38">
      <c r="A68" s="942"/>
      <c r="B68" s="943"/>
      <c r="C68" s="944"/>
      <c r="D68" s="188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451"/>
      <c r="W68" s="452"/>
      <c r="X68" s="451"/>
      <c r="Y68" s="451"/>
      <c r="Z68" s="451"/>
      <c r="AA68" s="453"/>
    </row>
    <row r="69" spans="1:38" s="186" customFormat="1">
      <c r="A69" s="945"/>
      <c r="B69" s="946"/>
      <c r="C69" s="947"/>
      <c r="D69" s="188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451"/>
      <c r="W69" s="452"/>
      <c r="X69" s="451"/>
      <c r="Y69" s="451"/>
      <c r="Z69" s="451"/>
      <c r="AA69" s="453"/>
      <c r="AC69"/>
      <c r="AD69"/>
      <c r="AE69"/>
      <c r="AF69"/>
      <c r="AG69"/>
      <c r="AH69"/>
      <c r="AI69"/>
      <c r="AJ69"/>
      <c r="AK69"/>
      <c r="AL69"/>
    </row>
    <row r="70" spans="1:38">
      <c r="A70" s="983" t="s">
        <v>439</v>
      </c>
      <c r="B70" s="984"/>
      <c r="C70" s="985"/>
      <c r="D70" s="331">
        <f>NWC!C39</f>
        <v>-1948</v>
      </c>
      <c r="E70" s="295">
        <f>NWC!D39</f>
        <v>-284</v>
      </c>
      <c r="F70" s="295">
        <f>NWC!E39</f>
        <v>-297</v>
      </c>
      <c r="G70" s="295">
        <f>NWC!F39</f>
        <v>-121</v>
      </c>
      <c r="H70" s="295">
        <f>NWC!G39</f>
        <v>714</v>
      </c>
      <c r="I70" s="295">
        <f>NWC!H39</f>
        <v>-490</v>
      </c>
      <c r="J70" s="295">
        <f>NWC!I39</f>
        <v>292</v>
      </c>
      <c r="K70" s="295">
        <f>NWC!J39</f>
        <v>-762</v>
      </c>
      <c r="L70" s="295">
        <f>NWC!K39</f>
        <v>1633</v>
      </c>
      <c r="M70" s="295">
        <f>NWC!L39</f>
        <v>-282</v>
      </c>
      <c r="N70" s="295">
        <f>NWC!M39</f>
        <v>472</v>
      </c>
      <c r="O70" s="295">
        <f>NWC!N39</f>
        <v>-264</v>
      </c>
      <c r="P70" s="295">
        <f>NWC!O39</f>
        <v>509</v>
      </c>
      <c r="Q70" s="295">
        <f>NWC!P39</f>
        <v>-999</v>
      </c>
      <c r="R70" s="295">
        <f>NWC!Q39</f>
        <v>-555</v>
      </c>
      <c r="S70" s="295">
        <f>NWC!R39</f>
        <v>1911</v>
      </c>
      <c r="T70" s="295">
        <f>NWC!S39</f>
        <v>2026</v>
      </c>
      <c r="U70" s="295">
        <f>NWC!T39</f>
        <v>-2887</v>
      </c>
      <c r="V70" s="295">
        <f>NWC!U39</f>
        <v>3841.5841357536756</v>
      </c>
      <c r="W70" s="331">
        <f>NWC!V39</f>
        <v>548.04183258190824</v>
      </c>
      <c r="X70" s="295">
        <f>NWC!W39</f>
        <v>746.92194174035649</v>
      </c>
      <c r="Y70" s="295">
        <f>NWC!X39</f>
        <v>472.30005962952782</v>
      </c>
      <c r="Z70" s="295">
        <f>NWC!Y39</f>
        <v>1074.0802742533797</v>
      </c>
      <c r="AA70" s="332">
        <f>AVERAGE(W70:Z70)</f>
        <v>710.33602705129306</v>
      </c>
    </row>
    <row r="71" spans="1:38">
      <c r="A71" s="945" t="s">
        <v>140</v>
      </c>
      <c r="B71" s="946"/>
      <c r="C71" s="947"/>
      <c r="D71" s="294">
        <f t="shared" ref="D71:AA71" si="75">D70/D11</f>
        <v>-7.93773684853918E-2</v>
      </c>
      <c r="E71" s="293">
        <f t="shared" si="75"/>
        <v>-1.1838265944143393E-2</v>
      </c>
      <c r="F71" s="293">
        <f t="shared" si="75"/>
        <v>-1.1174655730303259E-2</v>
      </c>
      <c r="G71" s="293">
        <f t="shared" si="75"/>
        <v>-3.8021618903971845E-3</v>
      </c>
      <c r="H71" s="293">
        <f t="shared" si="75"/>
        <v>2.0097956426279345E-2</v>
      </c>
      <c r="I71" s="293">
        <f t="shared" si="75"/>
        <v>-1.3167441485502378E-2</v>
      </c>
      <c r="J71" s="293">
        <f t="shared" si="75"/>
        <v>7.3700151438667342E-3</v>
      </c>
      <c r="K71" s="293">
        <f t="shared" si="75"/>
        <v>-1.820266590225025E-2</v>
      </c>
      <c r="L71" s="293">
        <f t="shared" si="75"/>
        <v>3.9471139901382575E-2</v>
      </c>
      <c r="M71" s="293">
        <f t="shared" si="75"/>
        <v>-6.4285225796156566E-3</v>
      </c>
      <c r="N71" s="293">
        <f t="shared" si="75"/>
        <v>1.0334785750257276E-2</v>
      </c>
      <c r="O71" s="293">
        <f t="shared" si="75"/>
        <v>-5.6775414525043547E-3</v>
      </c>
      <c r="P71" s="293">
        <f t="shared" si="75"/>
        <v>1.0788012377601628E-2</v>
      </c>
      <c r="Q71" s="293">
        <f t="shared" si="75"/>
        <v>-2.2024780634066758E-2</v>
      </c>
      <c r="R71" s="293">
        <f t="shared" si="75"/>
        <v>-1.3893756571371351E-2</v>
      </c>
      <c r="S71" s="293">
        <f t="shared" si="75"/>
        <v>4.7143280047365302E-2</v>
      </c>
      <c r="T71" s="293">
        <f t="shared" si="75"/>
        <v>4.2842038485937831E-2</v>
      </c>
      <c r="U71" s="293">
        <f t="shared" si="75"/>
        <v>-5.7786228983186548E-2</v>
      </c>
      <c r="V71" s="293">
        <f t="shared" si="75"/>
        <v>7.1455379929200466E-2</v>
      </c>
      <c r="W71" s="294">
        <f t="shared" si="75"/>
        <v>9.9474897138683866E-3</v>
      </c>
      <c r="X71" s="293">
        <f t="shared" si="75"/>
        <v>1.323193745661113E-2</v>
      </c>
      <c r="Y71" s="293">
        <f t="shared" si="75"/>
        <v>8.168353087098618E-3</v>
      </c>
      <c r="Z71" s="293">
        <f t="shared" si="75"/>
        <v>1.8095889515328548E-2</v>
      </c>
      <c r="AA71" s="330">
        <f t="shared" si="75"/>
        <v>1.1665900614611866E-2</v>
      </c>
    </row>
    <row r="72" spans="1:38" s="244" customFormat="1" ht="20" customHeight="1">
      <c r="A72" s="942"/>
      <c r="B72" s="943"/>
      <c r="C72" s="944"/>
      <c r="D72" s="188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451"/>
      <c r="W72" s="452"/>
      <c r="X72" s="451"/>
      <c r="Y72" s="451"/>
      <c r="Z72" s="451"/>
      <c r="AA72" s="453"/>
      <c r="AC72"/>
      <c r="AD72"/>
      <c r="AE72"/>
      <c r="AF72"/>
      <c r="AG72"/>
      <c r="AH72"/>
      <c r="AI72"/>
      <c r="AJ72"/>
      <c r="AK72"/>
      <c r="AL72"/>
    </row>
    <row r="73" spans="1:38" s="244" customFormat="1" ht="19" customHeight="1">
      <c r="A73" s="978" t="s">
        <v>438</v>
      </c>
      <c r="B73" s="979"/>
      <c r="C73" s="980"/>
      <c r="D73" s="762">
        <v>0</v>
      </c>
      <c r="E73" s="295">
        <f>-CAPEX!E8</f>
        <v>-590</v>
      </c>
      <c r="F73" s="295">
        <f>-CAPEX!F8</f>
        <v>-707</v>
      </c>
      <c r="G73" s="295">
        <f>-CAPEX!G8</f>
        <v>-833</v>
      </c>
      <c r="H73" s="295">
        <f>-CAPEX!H8</f>
        <v>-502</v>
      </c>
      <c r="I73" s="295">
        <f>-CAPEX!I8</f>
        <v>-1219</v>
      </c>
      <c r="J73" s="295">
        <f>-CAPEX!J8</f>
        <v>-905</v>
      </c>
      <c r="K73" s="295">
        <f>-CAPEX!K8</f>
        <v>-1342</v>
      </c>
      <c r="L73" s="295">
        <f>-CAPEX!L8</f>
        <v>-1321</v>
      </c>
      <c r="M73" s="295">
        <f>-CAPEX!M8</f>
        <v>-1360</v>
      </c>
      <c r="N73" s="295">
        <f>-CAPEX!N8</f>
        <v>-1394</v>
      </c>
      <c r="O73" s="295">
        <f>-CAPEX!O8</f>
        <v>-1309</v>
      </c>
      <c r="P73" s="295">
        <f>-CAPEX!P8</f>
        <v>-1286</v>
      </c>
      <c r="Q73" s="295">
        <f>-CAPEX!Q8</f>
        <v>-1095</v>
      </c>
      <c r="R73" s="295">
        <f>-CAPEX!R8</f>
        <v>-836</v>
      </c>
      <c r="S73" s="295">
        <f>-CAPEX!S8</f>
        <v>-1493</v>
      </c>
      <c r="T73" s="295">
        <f>-CAPEX!T8</f>
        <v>-1358</v>
      </c>
      <c r="U73" s="295">
        <f>-CAPEX!U8</f>
        <v>-1244</v>
      </c>
      <c r="V73" s="295">
        <f>-CAPEX!V8</f>
        <v>-1487</v>
      </c>
      <c r="W73" s="331">
        <f>-CAPEX!W8</f>
        <v>-1435.6684961955252</v>
      </c>
      <c r="X73" s="295">
        <f>-CAPEX!X8</f>
        <v>-1485.6756757143073</v>
      </c>
      <c r="Y73" s="295">
        <f>-CAPEX!Y8</f>
        <v>-1537.4652705991157</v>
      </c>
      <c r="Z73" s="295">
        <f>-CAPEX!Z8</f>
        <v>-1591.1022304628209</v>
      </c>
      <c r="AA73" s="332">
        <f>-CAPEX!AA8</f>
        <v>-1646.6539201062619</v>
      </c>
      <c r="AC73"/>
      <c r="AD73"/>
      <c r="AE73"/>
      <c r="AF73"/>
      <c r="AG73"/>
      <c r="AH73"/>
      <c r="AI73"/>
      <c r="AJ73"/>
      <c r="AK73"/>
      <c r="AL73"/>
    </row>
    <row r="74" spans="1:38">
      <c r="A74" s="972" t="s">
        <v>140</v>
      </c>
      <c r="B74" s="973"/>
      <c r="C74" s="974"/>
      <c r="D74" s="758">
        <f>CAPEX!D9</f>
        <v>0</v>
      </c>
      <c r="E74" s="293">
        <f>CAPEX!E9</f>
        <v>2.4041400105945153E-2</v>
      </c>
      <c r="F74" s="293">
        <f>CAPEX!F9</f>
        <v>2.9470612755314714E-2</v>
      </c>
      <c r="G74" s="293">
        <f>CAPEX!G9</f>
        <v>3.1341711189705773E-2</v>
      </c>
      <c r="H74" s="293">
        <f>CAPEX!H9</f>
        <v>1.5774258421317244E-2</v>
      </c>
      <c r="I74" s="293">
        <f>CAPEX!I9</f>
        <v>3.4312897596126782E-2</v>
      </c>
      <c r="J74" s="293">
        <f>CAPEX!J9</f>
        <v>2.4319458253836024E-2</v>
      </c>
      <c r="K74" s="293">
        <f>CAPEX!K9</f>
        <v>3.3871781928319029E-2</v>
      </c>
      <c r="L74" s="293">
        <f>CAPEX!L9</f>
        <v>3.1556065166499447E-2</v>
      </c>
      <c r="M74" s="293">
        <f>CAPEX!M9</f>
        <v>3.2872474137097554E-2</v>
      </c>
      <c r="N74" s="293">
        <f>CAPEX!N9</f>
        <v>3.1777874028312857E-2</v>
      </c>
      <c r="O74" s="293">
        <f>CAPEX!O9</f>
        <v>2.8661513870946554E-2</v>
      </c>
      <c r="P74" s="293">
        <f>CAPEX!P9</f>
        <v>2.7656508742123487E-2</v>
      </c>
      <c r="Q74" s="293">
        <f>CAPEX!Q9</f>
        <v>2.3208003052011362E-2</v>
      </c>
      <c r="R74" s="293">
        <f>CAPEX!R9</f>
        <v>1.8431147757837649E-2</v>
      </c>
      <c r="S74" s="293">
        <f>CAPEX!S9</f>
        <v>3.7375456866770143E-2</v>
      </c>
      <c r="T74" s="293">
        <f>CAPEX!T9</f>
        <v>3.3501085454904281E-2</v>
      </c>
      <c r="U74" s="293">
        <f>CAPEX!U9</f>
        <v>2.630577289067456E-2</v>
      </c>
      <c r="V74" s="293">
        <f>CAPEX!V9</f>
        <v>2.9763811048839073E-2</v>
      </c>
      <c r="W74" s="294">
        <f>CAPEX!W9</f>
        <v>2.6704149700448741E-2</v>
      </c>
      <c r="X74" s="293">
        <f>CAPEX!X9</f>
        <v>2.696645150733774E-2</v>
      </c>
      <c r="Y74" s="293">
        <f>CAPEX!Y9</f>
        <v>2.7236640357461907E-2</v>
      </c>
      <c r="Z74" s="293">
        <f>CAPEX!Z9</f>
        <v>2.7517855547774184E-2</v>
      </c>
      <c r="AA74" s="330">
        <f>CAPEX!AA9</f>
        <v>2.7742495717034434E-2</v>
      </c>
    </row>
    <row r="75" spans="1:38">
      <c r="A75" s="975"/>
      <c r="B75" s="976"/>
      <c r="C75" s="977"/>
      <c r="D75" s="188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451"/>
      <c r="W75" s="452"/>
      <c r="X75" s="451"/>
      <c r="Y75" s="451"/>
      <c r="Z75" s="451"/>
      <c r="AA75" s="453"/>
    </row>
    <row r="76" spans="1:38">
      <c r="A76" s="981" t="s">
        <v>437</v>
      </c>
      <c r="B76" s="982"/>
      <c r="C76" s="980"/>
      <c r="D76" s="141">
        <f t="shared" ref="D76:V76" si="76">D25</f>
        <v>464</v>
      </c>
      <c r="E76" s="103">
        <f t="shared" si="76"/>
        <v>425</v>
      </c>
      <c r="F76" s="103">
        <f t="shared" si="76"/>
        <v>433</v>
      </c>
      <c r="G76" s="103">
        <f t="shared" si="76"/>
        <v>480</v>
      </c>
      <c r="H76" s="103">
        <f t="shared" si="76"/>
        <v>511</v>
      </c>
      <c r="I76" s="103">
        <f t="shared" si="76"/>
        <v>555</v>
      </c>
      <c r="J76" s="103">
        <f t="shared" si="76"/>
        <v>600</v>
      </c>
      <c r="K76" s="103">
        <f t="shared" si="76"/>
        <v>666</v>
      </c>
      <c r="L76" s="103">
        <f t="shared" si="76"/>
        <v>727</v>
      </c>
      <c r="M76" s="103">
        <f t="shared" si="76"/>
        <v>854</v>
      </c>
      <c r="N76" s="103">
        <f t="shared" si="76"/>
        <v>841</v>
      </c>
      <c r="O76" s="103">
        <f t="shared" si="76"/>
        <v>797</v>
      </c>
      <c r="P76" s="103">
        <f t="shared" si="76"/>
        <v>771</v>
      </c>
      <c r="Q76" s="103">
        <f t="shared" si="76"/>
        <v>714</v>
      </c>
      <c r="R76" s="103">
        <f t="shared" si="76"/>
        <v>713</v>
      </c>
      <c r="S76" s="103">
        <f t="shared" si="76"/>
        <v>716</v>
      </c>
      <c r="T76" s="103">
        <f t="shared" si="76"/>
        <v>747</v>
      </c>
      <c r="U76" s="103">
        <f t="shared" si="76"/>
        <v>760</v>
      </c>
      <c r="V76" s="103">
        <f t="shared" si="76"/>
        <v>759</v>
      </c>
      <c r="W76" s="296">
        <f>W77*W11</f>
        <v>909.51892168572829</v>
      </c>
      <c r="X76" s="236">
        <f>X77*X11</f>
        <v>931.88711216698891</v>
      </c>
      <c r="Y76" s="236">
        <f>Y77*Y11</f>
        <v>954.54196323573376</v>
      </c>
      <c r="Z76" s="236">
        <f>Z77*Z11</f>
        <v>979.86970848045769</v>
      </c>
      <c r="AA76" s="333">
        <f>AA77*AA11</f>
        <v>1005.2106868702089</v>
      </c>
    </row>
    <row r="77" spans="1:38">
      <c r="A77" s="972" t="s">
        <v>140</v>
      </c>
      <c r="B77" s="973"/>
      <c r="C77" s="974"/>
      <c r="D77" s="294">
        <f t="shared" ref="D77:V77" si="77">D76/D11</f>
        <v>1.8907134998573816E-2</v>
      </c>
      <c r="E77" s="293">
        <f t="shared" si="77"/>
        <v>1.7715714881200502E-2</v>
      </c>
      <c r="F77" s="293">
        <f t="shared" si="77"/>
        <v>1.6291669802091957E-2</v>
      </c>
      <c r="G77" s="293">
        <f t="shared" si="77"/>
        <v>1.5082956259426848E-2</v>
      </c>
      <c r="H77" s="293">
        <f t="shared" si="77"/>
        <v>1.4383831559984237E-2</v>
      </c>
      <c r="I77" s="293">
        <f t="shared" si="77"/>
        <v>1.4914142907048612E-2</v>
      </c>
      <c r="J77" s="293">
        <f t="shared" si="77"/>
        <v>1.5143866733972741E-2</v>
      </c>
      <c r="K77" s="293">
        <f t="shared" si="77"/>
        <v>1.5909416654722661E-2</v>
      </c>
      <c r="L77" s="293">
        <f t="shared" si="77"/>
        <v>1.7572271101227884E-2</v>
      </c>
      <c r="M77" s="293">
        <f t="shared" si="77"/>
        <v>1.9467937173729685E-2</v>
      </c>
      <c r="N77" s="293">
        <f t="shared" si="77"/>
        <v>1.8414311050776205E-2</v>
      </c>
      <c r="O77" s="293">
        <f t="shared" si="77"/>
        <v>1.7140153551689283E-2</v>
      </c>
      <c r="P77" s="293">
        <f t="shared" si="77"/>
        <v>1.6340977491416216E-2</v>
      </c>
      <c r="Q77" s="293">
        <f t="shared" si="77"/>
        <v>1.5741434807531197E-2</v>
      </c>
      <c r="R77" s="293">
        <f t="shared" si="77"/>
        <v>1.784909627997797E-2</v>
      </c>
      <c r="S77" s="293">
        <f t="shared" si="77"/>
        <v>1.7663311624235248E-2</v>
      </c>
      <c r="T77" s="293">
        <f t="shared" si="77"/>
        <v>1.5796151406216961E-2</v>
      </c>
      <c r="U77" s="293">
        <f t="shared" si="77"/>
        <v>1.5212169735788631E-2</v>
      </c>
      <c r="V77" s="293">
        <f t="shared" si="77"/>
        <v>1.4117778356459953E-2</v>
      </c>
      <c r="W77" s="759">
        <f>$AH$38</f>
        <v>1.6508648756635297E-2</v>
      </c>
      <c r="X77" s="760">
        <f>$AH$38</f>
        <v>1.6508648756635297E-2</v>
      </c>
      <c r="Y77" s="760">
        <f t="shared" ref="Y77:AA77" si="78">$AH$38</f>
        <v>1.6508648756635297E-2</v>
      </c>
      <c r="Z77" s="760">
        <f t="shared" si="78"/>
        <v>1.6508648756635297E-2</v>
      </c>
      <c r="AA77" s="761">
        <f t="shared" si="78"/>
        <v>1.6508648756635297E-2</v>
      </c>
    </row>
    <row r="78" spans="1:38" ht="17" thickBot="1">
      <c r="A78" s="975"/>
      <c r="B78" s="976"/>
      <c r="C78" s="977"/>
      <c r="D78" s="463"/>
      <c r="E78" s="465"/>
      <c r="F78" s="465"/>
      <c r="G78" s="465"/>
      <c r="H78" s="465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3"/>
      <c r="X78" s="465"/>
      <c r="Y78" s="465"/>
      <c r="Z78" s="465"/>
      <c r="AA78" s="464"/>
    </row>
    <row r="79" spans="1:38" ht="17" thickBot="1">
      <c r="A79" s="918" t="s">
        <v>354</v>
      </c>
      <c r="B79" s="919"/>
      <c r="C79" s="919"/>
      <c r="D79" s="480">
        <f>D65-D70+D76+D73</f>
        <v>-193.54825599999958</v>
      </c>
      <c r="E79" s="481">
        <f>E65-E70+E76+E73</f>
        <v>358.89527799999996</v>
      </c>
      <c r="F79" s="481">
        <f t="shared" ref="F79:AA79" si="79">F65-F70+F76+F73</f>
        <v>1041.8896319999999</v>
      </c>
      <c r="G79" s="481">
        <f t="shared" si="79"/>
        <v>1385.9912979999999</v>
      </c>
      <c r="H79" s="481">
        <f t="shared" si="79"/>
        <v>1512.0236519999999</v>
      </c>
      <c r="I79" s="481">
        <f t="shared" si="79"/>
        <v>2366.0708299999997</v>
      </c>
      <c r="J79" s="481">
        <f t="shared" si="79"/>
        <v>2552.282745</v>
      </c>
      <c r="K79" s="481">
        <f t="shared" si="79"/>
        <v>3350.2286690000001</v>
      </c>
      <c r="L79" s="481">
        <f t="shared" si="79"/>
        <v>1039.2695389999999</v>
      </c>
      <c r="M79" s="481">
        <f t="shared" si="79"/>
        <v>3002.6695600000003</v>
      </c>
      <c r="N79" s="481">
        <f t="shared" si="79"/>
        <v>1862.9947739999998</v>
      </c>
      <c r="O79" s="481">
        <f t="shared" si="79"/>
        <v>2720.1508690000001</v>
      </c>
      <c r="P79" s="481">
        <f t="shared" si="79"/>
        <v>2005.477304</v>
      </c>
      <c r="Q79" s="481">
        <f t="shared" si="79"/>
        <v>3818.6259040000004</v>
      </c>
      <c r="R79" s="481">
        <f t="shared" si="79"/>
        <v>3920.0929799999994</v>
      </c>
      <c r="S79" s="481">
        <f t="shared" si="79"/>
        <v>739.76624400000037</v>
      </c>
      <c r="T79" s="481">
        <f t="shared" si="79"/>
        <v>1598.2104469999995</v>
      </c>
      <c r="U79" s="481">
        <f t="shared" si="79"/>
        <v>4504.3404499999997</v>
      </c>
      <c r="V79" s="482">
        <f t="shared" si="79"/>
        <v>1107.7054802463244</v>
      </c>
      <c r="W79" s="481">
        <f>W65-W70+W76+W73</f>
        <v>3695.6600964260424</v>
      </c>
      <c r="X79" s="481">
        <f t="shared" si="79"/>
        <v>3594.9223678813951</v>
      </c>
      <c r="Y79" s="481">
        <f t="shared" si="79"/>
        <v>3968.8437132174604</v>
      </c>
      <c r="Z79" s="481">
        <f t="shared" si="79"/>
        <v>3482.2187450242614</v>
      </c>
      <c r="AA79" s="482">
        <f t="shared" si="79"/>
        <v>3960.7332319189941</v>
      </c>
    </row>
    <row r="80" spans="1:38" ht="17" thickBot="1">
      <c r="A80" s="915" t="s">
        <v>137</v>
      </c>
      <c r="B80" s="916"/>
      <c r="C80" s="917"/>
      <c r="D80" s="515">
        <v>0</v>
      </c>
      <c r="E80" s="516">
        <f>-(E79-D79)/D79</f>
        <v>2.8542935256414852</v>
      </c>
      <c r="F80" s="516">
        <f>(F79-E79)/E79</f>
        <v>1.9030463644049394</v>
      </c>
      <c r="G80" s="516">
        <f t="shared" ref="G80:AA80" si="80">(G79-F79)/F79</f>
        <v>0.33026690681187243</v>
      </c>
      <c r="H80" s="516">
        <f t="shared" si="80"/>
        <v>9.0933005266242262E-2</v>
      </c>
      <c r="I80" s="516">
        <f t="shared" si="80"/>
        <v>0.56483718152842755</v>
      </c>
      <c r="J80" s="516">
        <f t="shared" si="80"/>
        <v>7.8700904740032801E-2</v>
      </c>
      <c r="K80" s="516">
        <f t="shared" si="80"/>
        <v>0.31264009662064307</v>
      </c>
      <c r="L80" s="516">
        <f t="shared" si="80"/>
        <v>-0.68979146151530957</v>
      </c>
      <c r="M80" s="516">
        <f t="shared" si="80"/>
        <v>1.8892115541933541</v>
      </c>
      <c r="N80" s="516">
        <f t="shared" si="80"/>
        <v>-0.37955384807644316</v>
      </c>
      <c r="O80" s="516">
        <f t="shared" si="80"/>
        <v>0.46009581291503954</v>
      </c>
      <c r="P80" s="516">
        <f t="shared" si="80"/>
        <v>-0.26273306129624091</v>
      </c>
      <c r="Q80" s="516">
        <f t="shared" si="80"/>
        <v>0.90409828941150683</v>
      </c>
      <c r="R80" s="516">
        <f t="shared" si="80"/>
        <v>2.6571619883925396E-2</v>
      </c>
      <c r="S80" s="516">
        <f t="shared" si="80"/>
        <v>-0.81128859754749993</v>
      </c>
      <c r="T80" s="516">
        <f t="shared" si="80"/>
        <v>1.1604262967694949</v>
      </c>
      <c r="U80" s="516">
        <f t="shared" si="80"/>
        <v>1.8183650397574964</v>
      </c>
      <c r="V80" s="516">
        <f t="shared" si="80"/>
        <v>-0.75408042696987421</v>
      </c>
      <c r="W80" s="516">
        <f t="shared" si="80"/>
        <v>2.336320134124664</v>
      </c>
      <c r="X80" s="516">
        <f t="shared" si="80"/>
        <v>-2.725838575957449E-2</v>
      </c>
      <c r="Y80" s="516">
        <f t="shared" si="80"/>
        <v>0.10401374691059861</v>
      </c>
      <c r="Z80" s="516">
        <f t="shared" si="80"/>
        <v>-0.12261127002118764</v>
      </c>
      <c r="AA80" s="517">
        <f t="shared" si="80"/>
        <v>0.13741655017464988</v>
      </c>
    </row>
    <row r="81" spans="1:28">
      <c r="A81" s="385"/>
      <c r="B81" s="385"/>
      <c r="C81" s="385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V81" s="191"/>
      <c r="W81" s="191"/>
      <c r="X81" s="191"/>
      <c r="Y81" s="191"/>
      <c r="Z81" s="191"/>
      <c r="AA81" s="191"/>
    </row>
    <row r="82" spans="1:28">
      <c r="A82" s="385"/>
      <c r="B82" s="385"/>
      <c r="C82" s="385"/>
    </row>
    <row r="83" spans="1:28">
      <c r="A83" s="385"/>
      <c r="B83" s="385"/>
      <c r="C83" s="385"/>
    </row>
    <row r="86" spans="1:28">
      <c r="AB86" s="191"/>
    </row>
    <row r="87" spans="1:28">
      <c r="AB87" s="191"/>
    </row>
    <row r="88" spans="1:28">
      <c r="AB88" s="191"/>
    </row>
  </sheetData>
  <mergeCells count="115">
    <mergeCell ref="AC39:AG39"/>
    <mergeCell ref="AH39:AL39"/>
    <mergeCell ref="AC34:AG34"/>
    <mergeCell ref="AH34:AL34"/>
    <mergeCell ref="AC35:AG35"/>
    <mergeCell ref="AH35:AL35"/>
    <mergeCell ref="AC36:AG36"/>
    <mergeCell ref="AH36:AL36"/>
    <mergeCell ref="AC37:AG37"/>
    <mergeCell ref="AH37:AL37"/>
    <mergeCell ref="AC38:AG38"/>
    <mergeCell ref="AH38:AL38"/>
    <mergeCell ref="AC2:AD2"/>
    <mergeCell ref="AC25:AG25"/>
    <mergeCell ref="AC3:AD3"/>
    <mergeCell ref="AC4:AD4"/>
    <mergeCell ref="AC28:AG28"/>
    <mergeCell ref="AH25:AL25"/>
    <mergeCell ref="AH26:AL26"/>
    <mergeCell ref="AH27:AL27"/>
    <mergeCell ref="AH28:AL28"/>
    <mergeCell ref="AH29:AL29"/>
    <mergeCell ref="AH30:AL30"/>
    <mergeCell ref="AH31:AL31"/>
    <mergeCell ref="AH32:AL32"/>
    <mergeCell ref="AH33:AL33"/>
    <mergeCell ref="A24:C24"/>
    <mergeCell ref="A22:C22"/>
    <mergeCell ref="AC29:AG29"/>
    <mergeCell ref="AC27:AG27"/>
    <mergeCell ref="AC26:AG26"/>
    <mergeCell ref="A26:C26"/>
    <mergeCell ref="A27:C27"/>
    <mergeCell ref="A28:C28"/>
    <mergeCell ref="A29:C29"/>
    <mergeCell ref="A32:C32"/>
    <mergeCell ref="A33:C33"/>
    <mergeCell ref="A57:C57"/>
    <mergeCell ref="A1:C1"/>
    <mergeCell ref="A2:C2"/>
    <mergeCell ref="A3:C3"/>
    <mergeCell ref="A5:C5"/>
    <mergeCell ref="A6:C6"/>
    <mergeCell ref="A7:C7"/>
    <mergeCell ref="A8:C8"/>
    <mergeCell ref="A9:C9"/>
    <mergeCell ref="A4:C4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A16:C16"/>
    <mergeCell ref="A77:C77"/>
    <mergeCell ref="A78:C78"/>
    <mergeCell ref="A72:C72"/>
    <mergeCell ref="A73:C73"/>
    <mergeCell ref="A74:C74"/>
    <mergeCell ref="A75:C75"/>
    <mergeCell ref="A76:C76"/>
    <mergeCell ref="A70:C70"/>
    <mergeCell ref="A71:C71"/>
    <mergeCell ref="D3:V3"/>
    <mergeCell ref="W3:AA3"/>
    <mergeCell ref="A55:C55"/>
    <mergeCell ref="A63:C63"/>
    <mergeCell ref="A53:C53"/>
    <mergeCell ref="AC32:AG32"/>
    <mergeCell ref="AC33:AG33"/>
    <mergeCell ref="A43:C43"/>
    <mergeCell ref="AC31:AG31"/>
    <mergeCell ref="AC30:AG30"/>
    <mergeCell ref="A35:C35"/>
    <mergeCell ref="A36:C36"/>
    <mergeCell ref="A38:C38"/>
    <mergeCell ref="A40:C40"/>
    <mergeCell ref="A41:C41"/>
    <mergeCell ref="A42:C42"/>
    <mergeCell ref="A17:C17"/>
    <mergeCell ref="A30:C30"/>
    <mergeCell ref="A31:C31"/>
    <mergeCell ref="A23:C23"/>
    <mergeCell ref="A25:C25"/>
    <mergeCell ref="A34:C34"/>
    <mergeCell ref="A37:C37"/>
    <mergeCell ref="A39:C39"/>
    <mergeCell ref="A80:C80"/>
    <mergeCell ref="A79:C79"/>
    <mergeCell ref="A58:C58"/>
    <mergeCell ref="A64:C64"/>
    <mergeCell ref="A65:C65"/>
    <mergeCell ref="A59:C59"/>
    <mergeCell ref="A60:C60"/>
    <mergeCell ref="A44:C44"/>
    <mergeCell ref="A49:C49"/>
    <mergeCell ref="A51:C51"/>
    <mergeCell ref="A47:C47"/>
    <mergeCell ref="A48:C48"/>
    <mergeCell ref="A45:C45"/>
    <mergeCell ref="A46:C46"/>
    <mergeCell ref="A50:C50"/>
    <mergeCell ref="A52:C52"/>
    <mergeCell ref="A54:C54"/>
    <mergeCell ref="A56:C56"/>
    <mergeCell ref="A61:C61"/>
    <mergeCell ref="A62:C62"/>
    <mergeCell ref="A66:C66"/>
    <mergeCell ref="A67:C67"/>
    <mergeCell ref="A68:C68"/>
    <mergeCell ref="A69:C69"/>
  </mergeCells>
  <phoneticPr fontId="5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FC48-EC4C-2B4E-B5BB-B062EEDE8067}">
  <dimension ref="A1:AF28"/>
  <sheetViews>
    <sheetView topLeftCell="Q1" zoomScale="108" workbookViewId="0">
      <selection activeCell="F23" sqref="F23"/>
    </sheetView>
  </sheetViews>
  <sheetFormatPr baseColWidth="10" defaultRowHeight="16"/>
  <cols>
    <col min="3" max="3" width="21.83203125" customWidth="1"/>
    <col min="29" max="29" width="35.5" customWidth="1"/>
    <col min="30" max="30" width="19.1640625" customWidth="1"/>
  </cols>
  <sheetData>
    <row r="1" spans="1:32">
      <c r="A1" s="1057" t="s">
        <v>172</v>
      </c>
      <c r="B1" s="1058"/>
      <c r="C1" s="1058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198"/>
      <c r="X1" s="198"/>
      <c r="Y1" s="198"/>
      <c r="Z1" s="198"/>
      <c r="AA1" s="198"/>
    </row>
    <row r="2" spans="1:32" ht="17" thickBot="1">
      <c r="A2" s="1059" t="s">
        <v>210</v>
      </c>
      <c r="B2" s="1060"/>
      <c r="C2" s="1060"/>
      <c r="D2" s="255">
        <v>2000</v>
      </c>
      <c r="E2" s="255">
        <v>2001</v>
      </c>
      <c r="F2" s="255">
        <v>2002</v>
      </c>
      <c r="G2" s="255">
        <v>2003</v>
      </c>
      <c r="H2" s="255">
        <v>2004</v>
      </c>
      <c r="I2" s="255">
        <v>2005</v>
      </c>
      <c r="J2" s="255">
        <v>2006</v>
      </c>
      <c r="K2" s="255">
        <v>2007</v>
      </c>
      <c r="L2" s="255">
        <v>2008</v>
      </c>
      <c r="M2" s="255">
        <v>2009</v>
      </c>
      <c r="N2" s="255">
        <v>2010</v>
      </c>
      <c r="O2" s="255">
        <v>2011</v>
      </c>
      <c r="P2" s="255">
        <v>2012</v>
      </c>
      <c r="Q2" s="255">
        <v>2013</v>
      </c>
      <c r="R2" s="255">
        <v>2014</v>
      </c>
      <c r="S2" s="255">
        <v>2015</v>
      </c>
      <c r="T2" s="255">
        <v>2016</v>
      </c>
      <c r="U2" s="255">
        <v>2017</v>
      </c>
      <c r="V2" s="255">
        <v>2018</v>
      </c>
      <c r="W2" s="255">
        <v>2019</v>
      </c>
      <c r="X2" s="255">
        <v>2020</v>
      </c>
      <c r="Y2" s="255">
        <v>2021</v>
      </c>
      <c r="Z2" s="255">
        <v>2022</v>
      </c>
      <c r="AA2" s="255">
        <v>2023</v>
      </c>
    </row>
    <row r="3" spans="1:32" ht="17" thickBot="1">
      <c r="A3" s="1061" t="s">
        <v>378</v>
      </c>
      <c r="B3" s="1062"/>
      <c r="C3" s="1062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C3" s="1027" t="s">
        <v>208</v>
      </c>
      <c r="AD3" s="1051"/>
      <c r="AE3" s="1034">
        <f>AVERAGE(E5:V5)</f>
        <v>4.0643981591104855E-2</v>
      </c>
      <c r="AF3" s="1052"/>
    </row>
    <row r="4" spans="1:32" ht="17" thickBot="1">
      <c r="A4" s="890" t="s">
        <v>169</v>
      </c>
      <c r="B4" s="891"/>
      <c r="C4" s="891"/>
      <c r="D4" s="192">
        <v>7877</v>
      </c>
      <c r="E4" s="194">
        <v>8042</v>
      </c>
      <c r="F4" s="194">
        <v>8316</v>
      </c>
      <c r="G4" s="194">
        <v>8669</v>
      </c>
      <c r="H4" s="194">
        <v>8660</v>
      </c>
      <c r="I4" s="194">
        <v>9324</v>
      </c>
      <c r="J4" s="194">
        <v>9629</v>
      </c>
      <c r="K4" s="194">
        <v>10305</v>
      </c>
      <c r="L4" s="194">
        <v>10899</v>
      </c>
      <c r="M4" s="194">
        <v>11405</v>
      </c>
      <c r="N4" s="194">
        <v>11958</v>
      </c>
      <c r="O4" s="194">
        <v>12470</v>
      </c>
      <c r="P4" s="194">
        <v>12985</v>
      </c>
      <c r="Q4" s="194">
        <v>13366</v>
      </c>
      <c r="R4" s="194">
        <v>13489</v>
      </c>
      <c r="S4" s="194">
        <v>14266</v>
      </c>
      <c r="T4" s="194">
        <v>14877</v>
      </c>
      <c r="U4" s="194">
        <v>15361</v>
      </c>
      <c r="V4" s="193">
        <v>16089</v>
      </c>
      <c r="W4" s="194">
        <f>V4*(1+W5)</f>
        <v>16742.921019819285</v>
      </c>
      <c r="X4" s="194">
        <f t="shared" ref="X4:AA4" si="0">W4*(1+X5)</f>
        <v>17423.41999353014</v>
      </c>
      <c r="Y4" s="194">
        <f t="shared" si="0"/>
        <v>18131.577155001269</v>
      </c>
      <c r="Z4" s="194">
        <f t="shared" si="0"/>
        <v>18868.516643106836</v>
      </c>
      <c r="AA4" s="193">
        <f t="shared" si="0"/>
        <v>19635.408286200724</v>
      </c>
      <c r="AC4" s="1027" t="s">
        <v>209</v>
      </c>
      <c r="AD4" s="1051"/>
      <c r="AE4" s="1034">
        <f>AVERAGE(E7:V7)</f>
        <v>2.9970324606376855E-2</v>
      </c>
      <c r="AF4" s="1052"/>
    </row>
    <row r="5" spans="1:32" s="186" customFormat="1">
      <c r="A5" s="1053" t="s">
        <v>206</v>
      </c>
      <c r="B5" s="1054"/>
      <c r="C5" s="1054"/>
      <c r="D5" s="290">
        <f>0</f>
        <v>0</v>
      </c>
      <c r="E5" s="108">
        <f>(E4-D4)/D4</f>
        <v>2.0947061063856798E-2</v>
      </c>
      <c r="F5" s="108">
        <f t="shared" ref="F5:V5" si="1">(F4-E4)/E4</f>
        <v>3.4071126585426513E-2</v>
      </c>
      <c r="G5" s="108">
        <f t="shared" si="1"/>
        <v>4.244829244829245E-2</v>
      </c>
      <c r="H5" s="108">
        <f t="shared" si="1"/>
        <v>-1.0381820279155613E-3</v>
      </c>
      <c r="I5" s="108">
        <f t="shared" si="1"/>
        <v>7.6674364896073904E-2</v>
      </c>
      <c r="J5" s="108">
        <f t="shared" si="1"/>
        <v>3.2711282711282715E-2</v>
      </c>
      <c r="K5" s="108">
        <f t="shared" si="1"/>
        <v>7.0204590300135011E-2</v>
      </c>
      <c r="L5" s="108">
        <f t="shared" si="1"/>
        <v>5.7641921397379912E-2</v>
      </c>
      <c r="M5" s="108">
        <f t="shared" si="1"/>
        <v>4.6426277640150469E-2</v>
      </c>
      <c r="N5" s="108">
        <f t="shared" si="1"/>
        <v>4.8487505480052609E-2</v>
      </c>
      <c r="O5" s="108">
        <f t="shared" si="1"/>
        <v>4.2816524502425152E-2</v>
      </c>
      <c r="P5" s="108">
        <f t="shared" si="1"/>
        <v>4.1299117882919005E-2</v>
      </c>
      <c r="Q5" s="108">
        <f t="shared" si="1"/>
        <v>2.9341547939930688E-2</v>
      </c>
      <c r="R5" s="108">
        <f t="shared" si="1"/>
        <v>9.202453987730062E-3</v>
      </c>
      <c r="S5" s="108">
        <f t="shared" si="1"/>
        <v>5.7602490918526206E-2</v>
      </c>
      <c r="T5" s="108">
        <f t="shared" si="1"/>
        <v>4.2829104163745968E-2</v>
      </c>
      <c r="U5" s="108">
        <f t="shared" si="1"/>
        <v>3.2533440881898232E-2</v>
      </c>
      <c r="V5" s="115">
        <f t="shared" si="1"/>
        <v>4.7392747867977349E-2</v>
      </c>
      <c r="W5" s="235">
        <f>$AE$3</f>
        <v>4.0643981591104855E-2</v>
      </c>
      <c r="X5" s="235">
        <f t="shared" ref="X5:AA5" si="2">$AE$3</f>
        <v>4.0643981591104855E-2</v>
      </c>
      <c r="Y5" s="235">
        <f t="shared" si="2"/>
        <v>4.0643981591104855E-2</v>
      </c>
      <c r="Z5" s="235">
        <f t="shared" si="2"/>
        <v>4.0643981591104855E-2</v>
      </c>
      <c r="AA5" s="289">
        <f t="shared" si="2"/>
        <v>4.0643981591104855E-2</v>
      </c>
    </row>
    <row r="6" spans="1:32">
      <c r="A6" s="975" t="s">
        <v>12</v>
      </c>
      <c r="B6" s="976"/>
      <c r="C6" s="976"/>
      <c r="D6" s="188">
        <v>464</v>
      </c>
      <c r="E6" s="191">
        <v>425</v>
      </c>
      <c r="F6" s="191">
        <v>433</v>
      </c>
      <c r="G6" s="191">
        <v>480</v>
      </c>
      <c r="H6" s="191">
        <v>511</v>
      </c>
      <c r="I6" s="191">
        <v>555</v>
      </c>
      <c r="J6" s="191">
        <v>600</v>
      </c>
      <c r="K6" s="191">
        <v>666</v>
      </c>
      <c r="L6" s="191">
        <v>727</v>
      </c>
      <c r="M6" s="191">
        <v>854</v>
      </c>
      <c r="N6" s="191">
        <v>841</v>
      </c>
      <c r="O6" s="191">
        <v>797</v>
      </c>
      <c r="P6" s="191">
        <v>771</v>
      </c>
      <c r="Q6" s="191">
        <v>714</v>
      </c>
      <c r="R6" s="191">
        <v>713</v>
      </c>
      <c r="S6" s="191">
        <v>716</v>
      </c>
      <c r="T6" s="191">
        <v>747</v>
      </c>
      <c r="U6" s="191">
        <v>760</v>
      </c>
      <c r="V6" s="189">
        <v>759</v>
      </c>
      <c r="W6" s="191">
        <f>V6*(1+W7)</f>
        <v>781.74747637624012</v>
      </c>
      <c r="X6" s="191">
        <f t="shared" ref="X6:AA6" si="3">W6*(1+X7)</f>
        <v>805.17670200345196</v>
      </c>
      <c r="Y6" s="191">
        <f t="shared" si="3"/>
        <v>829.30810912798745</v>
      </c>
      <c r="Z6" s="191">
        <f t="shared" si="3"/>
        <v>854.16274235725393</v>
      </c>
      <c r="AA6" s="189">
        <f t="shared" si="3"/>
        <v>879.76227701237394</v>
      </c>
    </row>
    <row r="7" spans="1:32" s="186" customFormat="1">
      <c r="A7" s="1065" t="s">
        <v>207</v>
      </c>
      <c r="B7" s="1066"/>
      <c r="C7" s="1066"/>
      <c r="D7" s="290">
        <f>0</f>
        <v>0</v>
      </c>
      <c r="E7" s="108">
        <f>(E6-D6)/D6</f>
        <v>-8.4051724137931036E-2</v>
      </c>
      <c r="F7" s="108">
        <f t="shared" ref="F7:V7" si="4">(F6-E6)/E6</f>
        <v>1.8823529411764704E-2</v>
      </c>
      <c r="G7" s="108">
        <f t="shared" si="4"/>
        <v>0.10854503464203233</v>
      </c>
      <c r="H7" s="108">
        <f t="shared" si="4"/>
        <v>6.458333333333334E-2</v>
      </c>
      <c r="I7" s="108">
        <f t="shared" si="4"/>
        <v>8.6105675146771032E-2</v>
      </c>
      <c r="J7" s="108">
        <f t="shared" si="4"/>
        <v>8.1081081081081086E-2</v>
      </c>
      <c r="K7" s="108">
        <f t="shared" si="4"/>
        <v>0.11</v>
      </c>
      <c r="L7" s="108">
        <f t="shared" si="4"/>
        <v>9.1591591591591595E-2</v>
      </c>
      <c r="M7" s="108">
        <f t="shared" si="4"/>
        <v>0.17469050894085281</v>
      </c>
      <c r="N7" s="108">
        <f t="shared" si="4"/>
        <v>-1.5222482435597189E-2</v>
      </c>
      <c r="O7" s="108">
        <f t="shared" si="4"/>
        <v>-5.2318668252080855E-2</v>
      </c>
      <c r="P7" s="108">
        <f t="shared" si="4"/>
        <v>-3.262233375156838E-2</v>
      </c>
      <c r="Q7" s="108">
        <f t="shared" si="4"/>
        <v>-7.3929961089494164E-2</v>
      </c>
      <c r="R7" s="108">
        <f t="shared" si="4"/>
        <v>-1.4005602240896359E-3</v>
      </c>
      <c r="S7" s="108">
        <f t="shared" si="4"/>
        <v>4.2075736325385693E-3</v>
      </c>
      <c r="T7" s="108">
        <f t="shared" si="4"/>
        <v>4.3296089385474863E-2</v>
      </c>
      <c r="U7" s="108">
        <f t="shared" si="4"/>
        <v>1.7402945113788489E-2</v>
      </c>
      <c r="V7" s="115">
        <f t="shared" si="4"/>
        <v>-1.3157894736842105E-3</v>
      </c>
      <c r="W7" s="235">
        <f>$AE$4</f>
        <v>2.9970324606376855E-2</v>
      </c>
      <c r="X7" s="235">
        <f t="shared" ref="X7:AA7" si="5">$AE$4</f>
        <v>2.9970324606376855E-2</v>
      </c>
      <c r="Y7" s="235">
        <f t="shared" si="5"/>
        <v>2.9970324606376855E-2</v>
      </c>
      <c r="Z7" s="235">
        <f t="shared" si="5"/>
        <v>2.9970324606376855E-2</v>
      </c>
      <c r="AA7" s="289">
        <f t="shared" si="5"/>
        <v>2.9970324606376855E-2</v>
      </c>
    </row>
    <row r="8" spans="1:32" s="1" customFormat="1">
      <c r="A8" s="1063" t="s">
        <v>145</v>
      </c>
      <c r="B8" s="1064"/>
      <c r="C8" s="1064"/>
      <c r="D8" s="290">
        <f>0</f>
        <v>0</v>
      </c>
      <c r="E8" s="190">
        <f>E4-D4+E6</f>
        <v>590</v>
      </c>
      <c r="F8" s="190">
        <f t="shared" ref="F8:V8" si="6">F4-E4+F6</f>
        <v>707</v>
      </c>
      <c r="G8" s="190">
        <f t="shared" si="6"/>
        <v>833</v>
      </c>
      <c r="H8" s="190">
        <f t="shared" si="6"/>
        <v>502</v>
      </c>
      <c r="I8" s="190">
        <f t="shared" si="6"/>
        <v>1219</v>
      </c>
      <c r="J8" s="190">
        <f t="shared" si="6"/>
        <v>905</v>
      </c>
      <c r="K8" s="190">
        <f t="shared" si="6"/>
        <v>1342</v>
      </c>
      <c r="L8" s="190">
        <f t="shared" si="6"/>
        <v>1321</v>
      </c>
      <c r="M8" s="190">
        <f t="shared" si="6"/>
        <v>1360</v>
      </c>
      <c r="N8" s="190">
        <f t="shared" si="6"/>
        <v>1394</v>
      </c>
      <c r="O8" s="190">
        <f t="shared" si="6"/>
        <v>1309</v>
      </c>
      <c r="P8" s="190">
        <f t="shared" si="6"/>
        <v>1286</v>
      </c>
      <c r="Q8" s="190">
        <f t="shared" si="6"/>
        <v>1095</v>
      </c>
      <c r="R8" s="190">
        <f t="shared" si="6"/>
        <v>836</v>
      </c>
      <c r="S8" s="190">
        <f t="shared" si="6"/>
        <v>1493</v>
      </c>
      <c r="T8" s="190">
        <f t="shared" si="6"/>
        <v>1358</v>
      </c>
      <c r="U8" s="190">
        <f t="shared" si="6"/>
        <v>1244</v>
      </c>
      <c r="V8" s="288">
        <f t="shared" si="6"/>
        <v>1487</v>
      </c>
      <c r="W8" s="190">
        <f t="shared" ref="W8" si="7">W4-V4+W6</f>
        <v>1435.6684961955252</v>
      </c>
      <c r="X8" s="190">
        <f t="shared" ref="X8" si="8">X4-W4+X6</f>
        <v>1485.6756757143073</v>
      </c>
      <c r="Y8" s="190">
        <f t="shared" ref="Y8" si="9">Y4-X4+Y6</f>
        <v>1537.4652705991157</v>
      </c>
      <c r="Z8" s="190">
        <f t="shared" ref="Z8" si="10">Z4-Y4+Z6</f>
        <v>1591.1022304628209</v>
      </c>
      <c r="AA8" s="288">
        <f t="shared" ref="AA8" si="11">AA4-Z4+AA6</f>
        <v>1646.6539201062619</v>
      </c>
    </row>
    <row r="9" spans="1:32">
      <c r="A9" s="1053" t="s">
        <v>170</v>
      </c>
      <c r="B9" s="1054"/>
      <c r="C9" s="1054"/>
      <c r="D9" s="290">
        <f>0</f>
        <v>0</v>
      </c>
      <c r="E9" s="108">
        <f>E8/'Restructuration cap'!D6</f>
        <v>2.4041400105945153E-2</v>
      </c>
      <c r="F9" s="108">
        <f>F8/'Restructuration cap'!E6</f>
        <v>2.9470612755314714E-2</v>
      </c>
      <c r="G9" s="108">
        <f>G8/'Restructuration cap'!F6</f>
        <v>3.1341711189705773E-2</v>
      </c>
      <c r="H9" s="108">
        <f>H8/'Restructuration cap'!G6</f>
        <v>1.5774258421317244E-2</v>
      </c>
      <c r="I9" s="108">
        <f>I8/'Restructuration cap'!H6</f>
        <v>3.4312897596126782E-2</v>
      </c>
      <c r="J9" s="108">
        <f>J8/'Restructuration cap'!I6</f>
        <v>2.4319458253836024E-2</v>
      </c>
      <c r="K9" s="108">
        <f>K8/'Restructuration cap'!J6</f>
        <v>3.3871781928319029E-2</v>
      </c>
      <c r="L9" s="108">
        <f>L8/'Restructuration cap'!K6</f>
        <v>3.1556065166499447E-2</v>
      </c>
      <c r="M9" s="108">
        <f>M8/'Restructuration cap'!L6</f>
        <v>3.2872474137097554E-2</v>
      </c>
      <c r="N9" s="108">
        <f>N8/'Restructuration cap'!M6</f>
        <v>3.1777874028312857E-2</v>
      </c>
      <c r="O9" s="108">
        <f>O8/'Restructuration cap'!N6</f>
        <v>2.8661513870946554E-2</v>
      </c>
      <c r="P9" s="108">
        <f>P8/'Restructuration cap'!O6</f>
        <v>2.7656508742123487E-2</v>
      </c>
      <c r="Q9" s="108">
        <f>Q8/'Restructuration cap'!P6</f>
        <v>2.3208003052011362E-2</v>
      </c>
      <c r="R9" s="108">
        <f>R8/'Restructuration cap'!Q6</f>
        <v>1.8431147757837649E-2</v>
      </c>
      <c r="S9" s="108">
        <f>S8/'Restructuration cap'!R6</f>
        <v>3.7375456866770143E-2</v>
      </c>
      <c r="T9" s="108">
        <f>T8/'Restructuration cap'!S6</f>
        <v>3.3501085454904281E-2</v>
      </c>
      <c r="U9" s="108">
        <f>U8/'Restructuration cap'!T6</f>
        <v>2.630577289067456E-2</v>
      </c>
      <c r="V9" s="115">
        <f>V8/'Restructuration cap'!U6</f>
        <v>2.9763811048839073E-2</v>
      </c>
      <c r="W9" s="108">
        <f>W8/'Restructuration cap'!V6</f>
        <v>2.6704149700448741E-2</v>
      </c>
      <c r="X9" s="108">
        <f>X8/'Restructuration cap'!W6</f>
        <v>2.696645150733774E-2</v>
      </c>
      <c r="Y9" s="108">
        <f>Y8/'Restructuration cap'!X6</f>
        <v>2.7236640357461907E-2</v>
      </c>
      <c r="Z9" s="108">
        <f>Z8/'Restructuration cap'!Y6</f>
        <v>2.7517855547774184E-2</v>
      </c>
      <c r="AA9" s="115">
        <f>AA8/'Restructuration cap'!Z6</f>
        <v>2.7742495717034434E-2</v>
      </c>
    </row>
    <row r="10" spans="1:32" ht="17" thickBot="1">
      <c r="A10" s="1055" t="s">
        <v>171</v>
      </c>
      <c r="B10" s="1056"/>
      <c r="C10" s="1056"/>
      <c r="D10" s="291">
        <f>0</f>
        <v>0</v>
      </c>
      <c r="E10" s="292">
        <f>0</f>
        <v>0</v>
      </c>
      <c r="F10" s="117">
        <f>(F8-E8)/E8</f>
        <v>0.19830508474576272</v>
      </c>
      <c r="G10" s="117">
        <f t="shared" ref="G10:V10" si="12">(G8-F8)/F8</f>
        <v>0.17821782178217821</v>
      </c>
      <c r="H10" s="117">
        <f t="shared" si="12"/>
        <v>-0.39735894357743096</v>
      </c>
      <c r="I10" s="117">
        <f t="shared" si="12"/>
        <v>1.4282868525896415</v>
      </c>
      <c r="J10" s="117">
        <f t="shared" si="12"/>
        <v>-0.25758818703855618</v>
      </c>
      <c r="K10" s="117">
        <f t="shared" si="12"/>
        <v>0.48287292817679556</v>
      </c>
      <c r="L10" s="117">
        <f t="shared" si="12"/>
        <v>-1.564828614008942E-2</v>
      </c>
      <c r="M10" s="117">
        <f t="shared" si="12"/>
        <v>2.9523088569265707E-2</v>
      </c>
      <c r="N10" s="117">
        <f t="shared" si="12"/>
        <v>2.5000000000000001E-2</v>
      </c>
      <c r="O10" s="117">
        <f t="shared" si="12"/>
        <v>-6.097560975609756E-2</v>
      </c>
      <c r="P10" s="117">
        <f t="shared" si="12"/>
        <v>-1.7570664629488159E-2</v>
      </c>
      <c r="Q10" s="117">
        <f t="shared" si="12"/>
        <v>-0.14852255054432348</v>
      </c>
      <c r="R10" s="117">
        <f t="shared" si="12"/>
        <v>-0.23652968036529681</v>
      </c>
      <c r="S10" s="117">
        <f t="shared" si="12"/>
        <v>0.78588516746411485</v>
      </c>
      <c r="T10" s="117">
        <f t="shared" si="12"/>
        <v>-9.0421969189551241E-2</v>
      </c>
      <c r="U10" s="117">
        <f t="shared" si="12"/>
        <v>-8.3946980854197342E-2</v>
      </c>
      <c r="V10" s="118">
        <f t="shared" si="12"/>
        <v>0.19533762057877813</v>
      </c>
      <c r="W10" s="117">
        <f t="shared" ref="W10" si="13">(W8-V8)/V8</f>
        <v>-3.4520177407178734E-2</v>
      </c>
      <c r="X10" s="117">
        <f t="shared" ref="X10" si="14">(X8-W8)/W8</f>
        <v>3.4831982209890019E-2</v>
      </c>
      <c r="Y10" s="117">
        <f t="shared" ref="Y10" si="15">(Y8-X8)/X8</f>
        <v>3.485928707818961E-2</v>
      </c>
      <c r="Z10" s="117">
        <f t="shared" ref="Z10" si="16">(Z8-Y8)/Y8</f>
        <v>3.4886615580463874E-2</v>
      </c>
      <c r="AA10" s="118">
        <f t="shared" ref="AA10" si="17">(AA8-Z8)/Z8</f>
        <v>3.4913966293216817E-2</v>
      </c>
    </row>
    <row r="11" spans="1:32">
      <c r="A11" s="60"/>
      <c r="B11" s="60"/>
      <c r="C11" s="60"/>
    </row>
    <row r="12" spans="1:32">
      <c r="A12" s="60"/>
      <c r="B12" s="60"/>
      <c r="C12" s="60"/>
    </row>
    <row r="13" spans="1:32">
      <c r="A13" s="60"/>
      <c r="B13" s="60"/>
      <c r="C13" s="60"/>
    </row>
    <row r="14" spans="1:32">
      <c r="A14" s="60"/>
      <c r="B14" s="60"/>
      <c r="C14" s="60"/>
    </row>
    <row r="15" spans="1:32">
      <c r="A15" s="60"/>
      <c r="B15" s="60"/>
      <c r="C15" s="60"/>
    </row>
    <row r="16" spans="1:32">
      <c r="A16" s="60"/>
      <c r="B16" s="60"/>
      <c r="C16" s="60"/>
    </row>
    <row r="17" spans="1:3">
      <c r="A17" s="60"/>
      <c r="B17" s="60"/>
      <c r="C17" s="60"/>
    </row>
    <row r="18" spans="1:3">
      <c r="A18" s="60"/>
      <c r="B18" s="60"/>
      <c r="C18" s="60"/>
    </row>
    <row r="19" spans="1:3">
      <c r="A19" s="60"/>
      <c r="B19" s="60"/>
      <c r="C19" s="60"/>
    </row>
    <row r="20" spans="1:3">
      <c r="A20" s="60"/>
      <c r="B20" s="60"/>
      <c r="C20" s="60"/>
    </row>
    <row r="21" spans="1:3">
      <c r="A21" s="60"/>
      <c r="B21" s="60"/>
      <c r="C21" s="60"/>
    </row>
    <row r="22" spans="1:3">
      <c r="A22" s="60"/>
      <c r="B22" s="60"/>
      <c r="C22" s="60"/>
    </row>
    <row r="23" spans="1:3">
      <c r="A23" s="60"/>
      <c r="B23" s="60"/>
      <c r="C23" s="60"/>
    </row>
    <row r="24" spans="1:3">
      <c r="A24" s="60"/>
      <c r="B24" s="60"/>
      <c r="C24" s="60"/>
    </row>
    <row r="25" spans="1:3">
      <c r="A25" s="60"/>
      <c r="B25" s="60"/>
      <c r="C25" s="60"/>
    </row>
    <row r="26" spans="1:3">
      <c r="A26" s="60"/>
      <c r="B26" s="60"/>
      <c r="C26" s="60"/>
    </row>
    <row r="27" spans="1:3">
      <c r="A27" s="60"/>
      <c r="B27" s="60"/>
      <c r="C27" s="60"/>
    </row>
    <row r="28" spans="1:3">
      <c r="A28" s="60"/>
      <c r="B28" s="60"/>
      <c r="C28" s="60"/>
    </row>
  </sheetData>
  <mergeCells count="14">
    <mergeCell ref="A10:C10"/>
    <mergeCell ref="A1:C1"/>
    <mergeCell ref="A2:C2"/>
    <mergeCell ref="A3:C3"/>
    <mergeCell ref="A4:C4"/>
    <mergeCell ref="A6:C6"/>
    <mergeCell ref="A8:C8"/>
    <mergeCell ref="A5:C5"/>
    <mergeCell ref="A7:C7"/>
    <mergeCell ref="AC3:AD3"/>
    <mergeCell ref="AE3:AF3"/>
    <mergeCell ref="AC4:AD4"/>
    <mergeCell ref="AE4:AF4"/>
    <mergeCell ref="A9:C9"/>
  </mergeCells>
  <pageMargins left="0.7" right="0.7" top="0.75" bottom="0.75" header="0.3" footer="0.3"/>
  <ignoredErrors>
    <ignoredError sqref="W5 X5:AA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B05F-387B-3A4B-9EA8-5C72A6FAC525}">
  <dimension ref="A1:AI722"/>
  <sheetViews>
    <sheetView zoomScale="119" workbookViewId="0">
      <selection activeCell="I14" sqref="I14"/>
    </sheetView>
  </sheetViews>
  <sheetFormatPr baseColWidth="10" defaultColWidth="6.1640625" defaultRowHeight="13"/>
  <cols>
    <col min="1" max="1" width="33.5" style="162" bestFit="1" customWidth="1"/>
    <col min="2" max="2" width="14.83203125" style="162" bestFit="1" customWidth="1"/>
    <col min="3" max="3" width="9.5" style="162" bestFit="1" customWidth="1"/>
    <col min="4" max="4" width="15" style="162" bestFit="1" customWidth="1"/>
    <col min="5" max="5" width="19.33203125" style="162" customWidth="1"/>
    <col min="6" max="6" width="12.83203125" style="162" bestFit="1" customWidth="1"/>
    <col min="7" max="7" width="24.5" style="162" customWidth="1"/>
    <col min="8" max="8" width="14" style="162" bestFit="1" customWidth="1"/>
    <col min="9" max="10" width="14.1640625" style="162" bestFit="1" customWidth="1"/>
    <col min="11" max="11" width="15.1640625" style="162" bestFit="1" customWidth="1"/>
    <col min="12" max="12" width="11.33203125" style="162" bestFit="1" customWidth="1"/>
    <col min="13" max="13" width="12.5" style="162" bestFit="1" customWidth="1"/>
    <col min="14" max="14" width="9.33203125" style="162" customWidth="1"/>
    <col min="15" max="15" width="10.1640625" style="162" customWidth="1"/>
    <col min="16" max="17" width="8.6640625" style="162" bestFit="1" customWidth="1"/>
    <col min="18" max="18" width="10.6640625" style="162" bestFit="1" customWidth="1"/>
    <col min="19" max="19" width="6.6640625" style="162" bestFit="1" customWidth="1"/>
    <col min="20" max="20" width="7.33203125" style="162" bestFit="1" customWidth="1"/>
    <col min="21" max="21" width="17.1640625" style="162" bestFit="1" customWidth="1"/>
    <col min="22" max="22" width="6.1640625" style="162"/>
    <col min="23" max="23" width="26.1640625" style="162" bestFit="1" customWidth="1"/>
    <col min="24" max="33" width="9.1640625" style="162" bestFit="1" customWidth="1"/>
    <col min="34" max="34" width="10.1640625" style="162" bestFit="1" customWidth="1"/>
    <col min="35" max="256" width="6.1640625" style="162"/>
    <col min="257" max="257" width="33.5" style="162" bestFit="1" customWidth="1"/>
    <col min="258" max="258" width="12" style="162" bestFit="1" customWidth="1"/>
    <col min="259" max="259" width="9.33203125" style="162" bestFit="1" customWidth="1"/>
    <col min="260" max="260" width="12" style="162" bestFit="1" customWidth="1"/>
    <col min="261" max="268" width="10.83203125" style="162" bestFit="1" customWidth="1"/>
    <col min="269" max="269" width="12" style="162" bestFit="1" customWidth="1"/>
    <col min="270" max="270" width="7.5" style="162" customWidth="1"/>
    <col min="271" max="271" width="7.1640625" style="162" customWidth="1"/>
    <col min="272" max="272" width="6.1640625" style="162"/>
    <col min="273" max="273" width="7.6640625" style="162" bestFit="1" customWidth="1"/>
    <col min="274" max="274" width="10.1640625" style="162" bestFit="1" customWidth="1"/>
    <col min="275" max="275" width="6.6640625" style="162" bestFit="1" customWidth="1"/>
    <col min="276" max="276" width="7.1640625" style="162" bestFit="1" customWidth="1"/>
    <col min="277" max="277" width="17.1640625" style="162" bestFit="1" customWidth="1"/>
    <col min="278" max="278" width="6.1640625" style="162"/>
    <col min="279" max="279" width="26.1640625" style="162" bestFit="1" customWidth="1"/>
    <col min="280" max="289" width="9.1640625" style="162" bestFit="1" customWidth="1"/>
    <col min="290" max="290" width="10.1640625" style="162" bestFit="1" customWidth="1"/>
    <col min="291" max="512" width="6.1640625" style="162"/>
    <col min="513" max="513" width="33.5" style="162" bestFit="1" customWidth="1"/>
    <col min="514" max="514" width="12" style="162" bestFit="1" customWidth="1"/>
    <col min="515" max="515" width="9.33203125" style="162" bestFit="1" customWidth="1"/>
    <col min="516" max="516" width="12" style="162" bestFit="1" customWidth="1"/>
    <col min="517" max="524" width="10.83203125" style="162" bestFit="1" customWidth="1"/>
    <col min="525" max="525" width="12" style="162" bestFit="1" customWidth="1"/>
    <col min="526" max="526" width="7.5" style="162" customWidth="1"/>
    <col min="527" max="527" width="7.1640625" style="162" customWidth="1"/>
    <col min="528" max="528" width="6.1640625" style="162"/>
    <col min="529" max="529" width="7.6640625" style="162" bestFit="1" customWidth="1"/>
    <col min="530" max="530" width="10.1640625" style="162" bestFit="1" customWidth="1"/>
    <col min="531" max="531" width="6.6640625" style="162" bestFit="1" customWidth="1"/>
    <col min="532" max="532" width="7.1640625" style="162" bestFit="1" customWidth="1"/>
    <col min="533" max="533" width="17.1640625" style="162" bestFit="1" customWidth="1"/>
    <col min="534" max="534" width="6.1640625" style="162"/>
    <col min="535" max="535" width="26.1640625" style="162" bestFit="1" customWidth="1"/>
    <col min="536" max="545" width="9.1640625" style="162" bestFit="1" customWidth="1"/>
    <col min="546" max="546" width="10.1640625" style="162" bestFit="1" customWidth="1"/>
    <col min="547" max="768" width="6.1640625" style="162"/>
    <col min="769" max="769" width="33.5" style="162" bestFit="1" customWidth="1"/>
    <col min="770" max="770" width="12" style="162" bestFit="1" customWidth="1"/>
    <col min="771" max="771" width="9.33203125" style="162" bestFit="1" customWidth="1"/>
    <col min="772" max="772" width="12" style="162" bestFit="1" customWidth="1"/>
    <col min="773" max="780" width="10.83203125" style="162" bestFit="1" customWidth="1"/>
    <col min="781" max="781" width="12" style="162" bestFit="1" customWidth="1"/>
    <col min="782" max="782" width="7.5" style="162" customWidth="1"/>
    <col min="783" max="783" width="7.1640625" style="162" customWidth="1"/>
    <col min="784" max="784" width="6.1640625" style="162"/>
    <col min="785" max="785" width="7.6640625" style="162" bestFit="1" customWidth="1"/>
    <col min="786" max="786" width="10.1640625" style="162" bestFit="1" customWidth="1"/>
    <col min="787" max="787" width="6.6640625" style="162" bestFit="1" customWidth="1"/>
    <col min="788" max="788" width="7.1640625" style="162" bestFit="1" customWidth="1"/>
    <col min="789" max="789" width="17.1640625" style="162" bestFit="1" customWidth="1"/>
    <col min="790" max="790" width="6.1640625" style="162"/>
    <col min="791" max="791" width="26.1640625" style="162" bestFit="1" customWidth="1"/>
    <col min="792" max="801" width="9.1640625" style="162" bestFit="1" customWidth="1"/>
    <col min="802" max="802" width="10.1640625" style="162" bestFit="1" customWidth="1"/>
    <col min="803" max="1024" width="6.1640625" style="162"/>
    <col min="1025" max="1025" width="33.5" style="162" bestFit="1" customWidth="1"/>
    <col min="1026" max="1026" width="12" style="162" bestFit="1" customWidth="1"/>
    <col min="1027" max="1027" width="9.33203125" style="162" bestFit="1" customWidth="1"/>
    <col min="1028" max="1028" width="12" style="162" bestFit="1" customWidth="1"/>
    <col min="1029" max="1036" width="10.83203125" style="162" bestFit="1" customWidth="1"/>
    <col min="1037" max="1037" width="12" style="162" bestFit="1" customWidth="1"/>
    <col min="1038" max="1038" width="7.5" style="162" customWidth="1"/>
    <col min="1039" max="1039" width="7.1640625" style="162" customWidth="1"/>
    <col min="1040" max="1040" width="6.1640625" style="162"/>
    <col min="1041" max="1041" width="7.6640625" style="162" bestFit="1" customWidth="1"/>
    <col min="1042" max="1042" width="10.1640625" style="162" bestFit="1" customWidth="1"/>
    <col min="1043" max="1043" width="6.6640625" style="162" bestFit="1" customWidth="1"/>
    <col min="1044" max="1044" width="7.1640625" style="162" bestFit="1" customWidth="1"/>
    <col min="1045" max="1045" width="17.1640625" style="162" bestFit="1" customWidth="1"/>
    <col min="1046" max="1046" width="6.1640625" style="162"/>
    <col min="1047" max="1047" width="26.1640625" style="162" bestFit="1" customWidth="1"/>
    <col min="1048" max="1057" width="9.1640625" style="162" bestFit="1" customWidth="1"/>
    <col min="1058" max="1058" width="10.1640625" style="162" bestFit="1" customWidth="1"/>
    <col min="1059" max="1280" width="6.1640625" style="162"/>
    <col min="1281" max="1281" width="33.5" style="162" bestFit="1" customWidth="1"/>
    <col min="1282" max="1282" width="12" style="162" bestFit="1" customWidth="1"/>
    <col min="1283" max="1283" width="9.33203125" style="162" bestFit="1" customWidth="1"/>
    <col min="1284" max="1284" width="12" style="162" bestFit="1" customWidth="1"/>
    <col min="1285" max="1292" width="10.83203125" style="162" bestFit="1" customWidth="1"/>
    <col min="1293" max="1293" width="12" style="162" bestFit="1" customWidth="1"/>
    <col min="1294" max="1294" width="7.5" style="162" customWidth="1"/>
    <col min="1295" max="1295" width="7.1640625" style="162" customWidth="1"/>
    <col min="1296" max="1296" width="6.1640625" style="162"/>
    <col min="1297" max="1297" width="7.6640625" style="162" bestFit="1" customWidth="1"/>
    <col min="1298" max="1298" width="10.1640625" style="162" bestFit="1" customWidth="1"/>
    <col min="1299" max="1299" width="6.6640625" style="162" bestFit="1" customWidth="1"/>
    <col min="1300" max="1300" width="7.1640625" style="162" bestFit="1" customWidth="1"/>
    <col min="1301" max="1301" width="17.1640625" style="162" bestFit="1" customWidth="1"/>
    <col min="1302" max="1302" width="6.1640625" style="162"/>
    <col min="1303" max="1303" width="26.1640625" style="162" bestFit="1" customWidth="1"/>
    <col min="1304" max="1313" width="9.1640625" style="162" bestFit="1" customWidth="1"/>
    <col min="1314" max="1314" width="10.1640625" style="162" bestFit="1" customWidth="1"/>
    <col min="1315" max="1536" width="6.1640625" style="162"/>
    <col min="1537" max="1537" width="33.5" style="162" bestFit="1" customWidth="1"/>
    <col min="1538" max="1538" width="12" style="162" bestFit="1" customWidth="1"/>
    <col min="1539" max="1539" width="9.33203125" style="162" bestFit="1" customWidth="1"/>
    <col min="1540" max="1540" width="12" style="162" bestFit="1" customWidth="1"/>
    <col min="1541" max="1548" width="10.83203125" style="162" bestFit="1" customWidth="1"/>
    <col min="1549" max="1549" width="12" style="162" bestFit="1" customWidth="1"/>
    <col min="1550" max="1550" width="7.5" style="162" customWidth="1"/>
    <col min="1551" max="1551" width="7.1640625" style="162" customWidth="1"/>
    <col min="1552" max="1552" width="6.1640625" style="162"/>
    <col min="1553" max="1553" width="7.6640625" style="162" bestFit="1" customWidth="1"/>
    <col min="1554" max="1554" width="10.1640625" style="162" bestFit="1" customWidth="1"/>
    <col min="1555" max="1555" width="6.6640625" style="162" bestFit="1" customWidth="1"/>
    <col min="1556" max="1556" width="7.1640625" style="162" bestFit="1" customWidth="1"/>
    <col min="1557" max="1557" width="17.1640625" style="162" bestFit="1" customWidth="1"/>
    <col min="1558" max="1558" width="6.1640625" style="162"/>
    <col min="1559" max="1559" width="26.1640625" style="162" bestFit="1" customWidth="1"/>
    <col min="1560" max="1569" width="9.1640625" style="162" bestFit="1" customWidth="1"/>
    <col min="1570" max="1570" width="10.1640625" style="162" bestFit="1" customWidth="1"/>
    <col min="1571" max="1792" width="6.1640625" style="162"/>
    <col min="1793" max="1793" width="33.5" style="162" bestFit="1" customWidth="1"/>
    <col min="1794" max="1794" width="12" style="162" bestFit="1" customWidth="1"/>
    <col min="1795" max="1795" width="9.33203125" style="162" bestFit="1" customWidth="1"/>
    <col min="1796" max="1796" width="12" style="162" bestFit="1" customWidth="1"/>
    <col min="1797" max="1804" width="10.83203125" style="162" bestFit="1" customWidth="1"/>
    <col min="1805" max="1805" width="12" style="162" bestFit="1" customWidth="1"/>
    <col min="1806" max="1806" width="7.5" style="162" customWidth="1"/>
    <col min="1807" max="1807" width="7.1640625" style="162" customWidth="1"/>
    <col min="1808" max="1808" width="6.1640625" style="162"/>
    <col min="1809" max="1809" width="7.6640625" style="162" bestFit="1" customWidth="1"/>
    <col min="1810" max="1810" width="10.1640625" style="162" bestFit="1" customWidth="1"/>
    <col min="1811" max="1811" width="6.6640625" style="162" bestFit="1" customWidth="1"/>
    <col min="1812" max="1812" width="7.1640625" style="162" bestFit="1" customWidth="1"/>
    <col min="1813" max="1813" width="17.1640625" style="162" bestFit="1" customWidth="1"/>
    <col min="1814" max="1814" width="6.1640625" style="162"/>
    <col min="1815" max="1815" width="26.1640625" style="162" bestFit="1" customWidth="1"/>
    <col min="1816" max="1825" width="9.1640625" style="162" bestFit="1" customWidth="1"/>
    <col min="1826" max="1826" width="10.1640625" style="162" bestFit="1" customWidth="1"/>
    <col min="1827" max="2048" width="6.1640625" style="162"/>
    <col min="2049" max="2049" width="33.5" style="162" bestFit="1" customWidth="1"/>
    <col min="2050" max="2050" width="12" style="162" bestFit="1" customWidth="1"/>
    <col min="2051" max="2051" width="9.33203125" style="162" bestFit="1" customWidth="1"/>
    <col min="2052" max="2052" width="12" style="162" bestFit="1" customWidth="1"/>
    <col min="2053" max="2060" width="10.83203125" style="162" bestFit="1" customWidth="1"/>
    <col min="2061" max="2061" width="12" style="162" bestFit="1" customWidth="1"/>
    <col min="2062" max="2062" width="7.5" style="162" customWidth="1"/>
    <col min="2063" max="2063" width="7.1640625" style="162" customWidth="1"/>
    <col min="2064" max="2064" width="6.1640625" style="162"/>
    <col min="2065" max="2065" width="7.6640625" style="162" bestFit="1" customWidth="1"/>
    <col min="2066" max="2066" width="10.1640625" style="162" bestFit="1" customWidth="1"/>
    <col min="2067" max="2067" width="6.6640625" style="162" bestFit="1" customWidth="1"/>
    <col min="2068" max="2068" width="7.1640625" style="162" bestFit="1" customWidth="1"/>
    <col min="2069" max="2069" width="17.1640625" style="162" bestFit="1" customWidth="1"/>
    <col min="2070" max="2070" width="6.1640625" style="162"/>
    <col min="2071" max="2071" width="26.1640625" style="162" bestFit="1" customWidth="1"/>
    <col min="2072" max="2081" width="9.1640625" style="162" bestFit="1" customWidth="1"/>
    <col min="2082" max="2082" width="10.1640625" style="162" bestFit="1" customWidth="1"/>
    <col min="2083" max="2304" width="6.1640625" style="162"/>
    <col min="2305" max="2305" width="33.5" style="162" bestFit="1" customWidth="1"/>
    <col min="2306" max="2306" width="12" style="162" bestFit="1" customWidth="1"/>
    <col min="2307" max="2307" width="9.33203125" style="162" bestFit="1" customWidth="1"/>
    <col min="2308" max="2308" width="12" style="162" bestFit="1" customWidth="1"/>
    <col min="2309" max="2316" width="10.83203125" style="162" bestFit="1" customWidth="1"/>
    <col min="2317" max="2317" width="12" style="162" bestFit="1" customWidth="1"/>
    <col min="2318" max="2318" width="7.5" style="162" customWidth="1"/>
    <col min="2319" max="2319" width="7.1640625" style="162" customWidth="1"/>
    <col min="2320" max="2320" width="6.1640625" style="162"/>
    <col min="2321" max="2321" width="7.6640625" style="162" bestFit="1" customWidth="1"/>
    <col min="2322" max="2322" width="10.1640625" style="162" bestFit="1" customWidth="1"/>
    <col min="2323" max="2323" width="6.6640625" style="162" bestFit="1" customWidth="1"/>
    <col min="2324" max="2324" width="7.1640625" style="162" bestFit="1" customWidth="1"/>
    <col min="2325" max="2325" width="17.1640625" style="162" bestFit="1" customWidth="1"/>
    <col min="2326" max="2326" width="6.1640625" style="162"/>
    <col min="2327" max="2327" width="26.1640625" style="162" bestFit="1" customWidth="1"/>
    <col min="2328" max="2337" width="9.1640625" style="162" bestFit="1" customWidth="1"/>
    <col min="2338" max="2338" width="10.1640625" style="162" bestFit="1" customWidth="1"/>
    <col min="2339" max="2560" width="6.1640625" style="162"/>
    <col min="2561" max="2561" width="33.5" style="162" bestFit="1" customWidth="1"/>
    <col min="2562" max="2562" width="12" style="162" bestFit="1" customWidth="1"/>
    <col min="2563" max="2563" width="9.33203125" style="162" bestFit="1" customWidth="1"/>
    <col min="2564" max="2564" width="12" style="162" bestFit="1" customWidth="1"/>
    <col min="2565" max="2572" width="10.83203125" style="162" bestFit="1" customWidth="1"/>
    <col min="2573" max="2573" width="12" style="162" bestFit="1" customWidth="1"/>
    <col min="2574" max="2574" width="7.5" style="162" customWidth="1"/>
    <col min="2575" max="2575" width="7.1640625" style="162" customWidth="1"/>
    <col min="2576" max="2576" width="6.1640625" style="162"/>
    <col min="2577" max="2577" width="7.6640625" style="162" bestFit="1" customWidth="1"/>
    <col min="2578" max="2578" width="10.1640625" style="162" bestFit="1" customWidth="1"/>
    <col min="2579" max="2579" width="6.6640625" style="162" bestFit="1" customWidth="1"/>
    <col min="2580" max="2580" width="7.1640625" style="162" bestFit="1" customWidth="1"/>
    <col min="2581" max="2581" width="17.1640625" style="162" bestFit="1" customWidth="1"/>
    <col min="2582" max="2582" width="6.1640625" style="162"/>
    <col min="2583" max="2583" width="26.1640625" style="162" bestFit="1" customWidth="1"/>
    <col min="2584" max="2593" width="9.1640625" style="162" bestFit="1" customWidth="1"/>
    <col min="2594" max="2594" width="10.1640625" style="162" bestFit="1" customWidth="1"/>
    <col min="2595" max="2816" width="6.1640625" style="162"/>
    <col min="2817" max="2817" width="33.5" style="162" bestFit="1" customWidth="1"/>
    <col min="2818" max="2818" width="12" style="162" bestFit="1" customWidth="1"/>
    <col min="2819" max="2819" width="9.33203125" style="162" bestFit="1" customWidth="1"/>
    <col min="2820" max="2820" width="12" style="162" bestFit="1" customWidth="1"/>
    <col min="2821" max="2828" width="10.83203125" style="162" bestFit="1" customWidth="1"/>
    <col min="2829" max="2829" width="12" style="162" bestFit="1" customWidth="1"/>
    <col min="2830" max="2830" width="7.5" style="162" customWidth="1"/>
    <col min="2831" max="2831" width="7.1640625" style="162" customWidth="1"/>
    <col min="2832" max="2832" width="6.1640625" style="162"/>
    <col min="2833" max="2833" width="7.6640625" style="162" bestFit="1" customWidth="1"/>
    <col min="2834" max="2834" width="10.1640625" style="162" bestFit="1" customWidth="1"/>
    <col min="2835" max="2835" width="6.6640625" style="162" bestFit="1" customWidth="1"/>
    <col min="2836" max="2836" width="7.1640625" style="162" bestFit="1" customWidth="1"/>
    <col min="2837" max="2837" width="17.1640625" style="162" bestFit="1" customWidth="1"/>
    <col min="2838" max="2838" width="6.1640625" style="162"/>
    <col min="2839" max="2839" width="26.1640625" style="162" bestFit="1" customWidth="1"/>
    <col min="2840" max="2849" width="9.1640625" style="162" bestFit="1" customWidth="1"/>
    <col min="2850" max="2850" width="10.1640625" style="162" bestFit="1" customWidth="1"/>
    <col min="2851" max="3072" width="6.1640625" style="162"/>
    <col min="3073" max="3073" width="33.5" style="162" bestFit="1" customWidth="1"/>
    <col min="3074" max="3074" width="12" style="162" bestFit="1" customWidth="1"/>
    <col min="3075" max="3075" width="9.33203125" style="162" bestFit="1" customWidth="1"/>
    <col min="3076" max="3076" width="12" style="162" bestFit="1" customWidth="1"/>
    <col min="3077" max="3084" width="10.83203125" style="162" bestFit="1" customWidth="1"/>
    <col min="3085" max="3085" width="12" style="162" bestFit="1" customWidth="1"/>
    <col min="3086" max="3086" width="7.5" style="162" customWidth="1"/>
    <col min="3087" max="3087" width="7.1640625" style="162" customWidth="1"/>
    <col min="3088" max="3088" width="6.1640625" style="162"/>
    <col min="3089" max="3089" width="7.6640625" style="162" bestFit="1" customWidth="1"/>
    <col min="3090" max="3090" width="10.1640625" style="162" bestFit="1" customWidth="1"/>
    <col min="3091" max="3091" width="6.6640625" style="162" bestFit="1" customWidth="1"/>
    <col min="3092" max="3092" width="7.1640625" style="162" bestFit="1" customWidth="1"/>
    <col min="3093" max="3093" width="17.1640625" style="162" bestFit="1" customWidth="1"/>
    <col min="3094" max="3094" width="6.1640625" style="162"/>
    <col min="3095" max="3095" width="26.1640625" style="162" bestFit="1" customWidth="1"/>
    <col min="3096" max="3105" width="9.1640625" style="162" bestFit="1" customWidth="1"/>
    <col min="3106" max="3106" width="10.1640625" style="162" bestFit="1" customWidth="1"/>
    <col min="3107" max="3328" width="6.1640625" style="162"/>
    <col min="3329" max="3329" width="33.5" style="162" bestFit="1" customWidth="1"/>
    <col min="3330" max="3330" width="12" style="162" bestFit="1" customWidth="1"/>
    <col min="3331" max="3331" width="9.33203125" style="162" bestFit="1" customWidth="1"/>
    <col min="3332" max="3332" width="12" style="162" bestFit="1" customWidth="1"/>
    <col min="3333" max="3340" width="10.83203125" style="162" bestFit="1" customWidth="1"/>
    <col min="3341" max="3341" width="12" style="162" bestFit="1" customWidth="1"/>
    <col min="3342" max="3342" width="7.5" style="162" customWidth="1"/>
    <col min="3343" max="3343" width="7.1640625" style="162" customWidth="1"/>
    <col min="3344" max="3344" width="6.1640625" style="162"/>
    <col min="3345" max="3345" width="7.6640625" style="162" bestFit="1" customWidth="1"/>
    <col min="3346" max="3346" width="10.1640625" style="162" bestFit="1" customWidth="1"/>
    <col min="3347" max="3347" width="6.6640625" style="162" bestFit="1" customWidth="1"/>
    <col min="3348" max="3348" width="7.1640625" style="162" bestFit="1" customWidth="1"/>
    <col min="3349" max="3349" width="17.1640625" style="162" bestFit="1" customWidth="1"/>
    <col min="3350" max="3350" width="6.1640625" style="162"/>
    <col min="3351" max="3351" width="26.1640625" style="162" bestFit="1" customWidth="1"/>
    <col min="3352" max="3361" width="9.1640625" style="162" bestFit="1" customWidth="1"/>
    <col min="3362" max="3362" width="10.1640625" style="162" bestFit="1" customWidth="1"/>
    <col min="3363" max="3584" width="6.1640625" style="162"/>
    <col min="3585" max="3585" width="33.5" style="162" bestFit="1" customWidth="1"/>
    <col min="3586" max="3586" width="12" style="162" bestFit="1" customWidth="1"/>
    <col min="3587" max="3587" width="9.33203125" style="162" bestFit="1" customWidth="1"/>
    <col min="3588" max="3588" width="12" style="162" bestFit="1" customWidth="1"/>
    <col min="3589" max="3596" width="10.83203125" style="162" bestFit="1" customWidth="1"/>
    <col min="3597" max="3597" width="12" style="162" bestFit="1" customWidth="1"/>
    <col min="3598" max="3598" width="7.5" style="162" customWidth="1"/>
    <col min="3599" max="3599" width="7.1640625" style="162" customWidth="1"/>
    <col min="3600" max="3600" width="6.1640625" style="162"/>
    <col min="3601" max="3601" width="7.6640625" style="162" bestFit="1" customWidth="1"/>
    <col min="3602" max="3602" width="10.1640625" style="162" bestFit="1" customWidth="1"/>
    <col min="3603" max="3603" width="6.6640625" style="162" bestFit="1" customWidth="1"/>
    <col min="3604" max="3604" width="7.1640625" style="162" bestFit="1" customWidth="1"/>
    <col min="3605" max="3605" width="17.1640625" style="162" bestFit="1" customWidth="1"/>
    <col min="3606" max="3606" width="6.1640625" style="162"/>
    <col min="3607" max="3607" width="26.1640625" style="162" bestFit="1" customWidth="1"/>
    <col min="3608" max="3617" width="9.1640625" style="162" bestFit="1" customWidth="1"/>
    <col min="3618" max="3618" width="10.1640625" style="162" bestFit="1" customWidth="1"/>
    <col min="3619" max="3840" width="6.1640625" style="162"/>
    <col min="3841" max="3841" width="33.5" style="162" bestFit="1" customWidth="1"/>
    <col min="3842" max="3842" width="12" style="162" bestFit="1" customWidth="1"/>
    <col min="3843" max="3843" width="9.33203125" style="162" bestFit="1" customWidth="1"/>
    <col min="3844" max="3844" width="12" style="162" bestFit="1" customWidth="1"/>
    <col min="3845" max="3852" width="10.83203125" style="162" bestFit="1" customWidth="1"/>
    <col min="3853" max="3853" width="12" style="162" bestFit="1" customWidth="1"/>
    <col min="3854" max="3854" width="7.5" style="162" customWidth="1"/>
    <col min="3855" max="3855" width="7.1640625" style="162" customWidth="1"/>
    <col min="3856" max="3856" width="6.1640625" style="162"/>
    <col min="3857" max="3857" width="7.6640625" style="162" bestFit="1" customWidth="1"/>
    <col min="3858" max="3858" width="10.1640625" style="162" bestFit="1" customWidth="1"/>
    <col min="3859" max="3859" width="6.6640625" style="162" bestFit="1" customWidth="1"/>
    <col min="3860" max="3860" width="7.1640625" style="162" bestFit="1" customWidth="1"/>
    <col min="3861" max="3861" width="17.1640625" style="162" bestFit="1" customWidth="1"/>
    <col min="3862" max="3862" width="6.1640625" style="162"/>
    <col min="3863" max="3863" width="26.1640625" style="162" bestFit="1" customWidth="1"/>
    <col min="3864" max="3873" width="9.1640625" style="162" bestFit="1" customWidth="1"/>
    <col min="3874" max="3874" width="10.1640625" style="162" bestFit="1" customWidth="1"/>
    <col min="3875" max="4096" width="6.1640625" style="162"/>
    <col min="4097" max="4097" width="33.5" style="162" bestFit="1" customWidth="1"/>
    <col min="4098" max="4098" width="12" style="162" bestFit="1" customWidth="1"/>
    <col min="4099" max="4099" width="9.33203125" style="162" bestFit="1" customWidth="1"/>
    <col min="4100" max="4100" width="12" style="162" bestFit="1" customWidth="1"/>
    <col min="4101" max="4108" width="10.83203125" style="162" bestFit="1" customWidth="1"/>
    <col min="4109" max="4109" width="12" style="162" bestFit="1" customWidth="1"/>
    <col min="4110" max="4110" width="7.5" style="162" customWidth="1"/>
    <col min="4111" max="4111" width="7.1640625" style="162" customWidth="1"/>
    <col min="4112" max="4112" width="6.1640625" style="162"/>
    <col min="4113" max="4113" width="7.6640625" style="162" bestFit="1" customWidth="1"/>
    <col min="4114" max="4114" width="10.1640625" style="162" bestFit="1" customWidth="1"/>
    <col min="4115" max="4115" width="6.6640625" style="162" bestFit="1" customWidth="1"/>
    <col min="4116" max="4116" width="7.1640625" style="162" bestFit="1" customWidth="1"/>
    <col min="4117" max="4117" width="17.1640625" style="162" bestFit="1" customWidth="1"/>
    <col min="4118" max="4118" width="6.1640625" style="162"/>
    <col min="4119" max="4119" width="26.1640625" style="162" bestFit="1" customWidth="1"/>
    <col min="4120" max="4129" width="9.1640625" style="162" bestFit="1" customWidth="1"/>
    <col min="4130" max="4130" width="10.1640625" style="162" bestFit="1" customWidth="1"/>
    <col min="4131" max="4352" width="6.1640625" style="162"/>
    <col min="4353" max="4353" width="33.5" style="162" bestFit="1" customWidth="1"/>
    <col min="4354" max="4354" width="12" style="162" bestFit="1" customWidth="1"/>
    <col min="4355" max="4355" width="9.33203125" style="162" bestFit="1" customWidth="1"/>
    <col min="4356" max="4356" width="12" style="162" bestFit="1" customWidth="1"/>
    <col min="4357" max="4364" width="10.83203125" style="162" bestFit="1" customWidth="1"/>
    <col min="4365" max="4365" width="12" style="162" bestFit="1" customWidth="1"/>
    <col min="4366" max="4366" width="7.5" style="162" customWidth="1"/>
    <col min="4367" max="4367" width="7.1640625" style="162" customWidth="1"/>
    <col min="4368" max="4368" width="6.1640625" style="162"/>
    <col min="4369" max="4369" width="7.6640625" style="162" bestFit="1" customWidth="1"/>
    <col min="4370" max="4370" width="10.1640625" style="162" bestFit="1" customWidth="1"/>
    <col min="4371" max="4371" width="6.6640625" style="162" bestFit="1" customWidth="1"/>
    <col min="4372" max="4372" width="7.1640625" style="162" bestFit="1" customWidth="1"/>
    <col min="4373" max="4373" width="17.1640625" style="162" bestFit="1" customWidth="1"/>
    <col min="4374" max="4374" width="6.1640625" style="162"/>
    <col min="4375" max="4375" width="26.1640625" style="162" bestFit="1" customWidth="1"/>
    <col min="4376" max="4385" width="9.1640625" style="162" bestFit="1" customWidth="1"/>
    <col min="4386" max="4386" width="10.1640625" style="162" bestFit="1" customWidth="1"/>
    <col min="4387" max="4608" width="6.1640625" style="162"/>
    <col min="4609" max="4609" width="33.5" style="162" bestFit="1" customWidth="1"/>
    <col min="4610" max="4610" width="12" style="162" bestFit="1" customWidth="1"/>
    <col min="4611" max="4611" width="9.33203125" style="162" bestFit="1" customWidth="1"/>
    <col min="4612" max="4612" width="12" style="162" bestFit="1" customWidth="1"/>
    <col min="4613" max="4620" width="10.83203125" style="162" bestFit="1" customWidth="1"/>
    <col min="4621" max="4621" width="12" style="162" bestFit="1" customWidth="1"/>
    <col min="4622" max="4622" width="7.5" style="162" customWidth="1"/>
    <col min="4623" max="4623" width="7.1640625" style="162" customWidth="1"/>
    <col min="4624" max="4624" width="6.1640625" style="162"/>
    <col min="4625" max="4625" width="7.6640625" style="162" bestFit="1" customWidth="1"/>
    <col min="4626" max="4626" width="10.1640625" style="162" bestFit="1" customWidth="1"/>
    <col min="4627" max="4627" width="6.6640625" style="162" bestFit="1" customWidth="1"/>
    <col min="4628" max="4628" width="7.1640625" style="162" bestFit="1" customWidth="1"/>
    <col min="4629" max="4629" width="17.1640625" style="162" bestFit="1" customWidth="1"/>
    <col min="4630" max="4630" width="6.1640625" style="162"/>
    <col min="4631" max="4631" width="26.1640625" style="162" bestFit="1" customWidth="1"/>
    <col min="4632" max="4641" width="9.1640625" style="162" bestFit="1" customWidth="1"/>
    <col min="4642" max="4642" width="10.1640625" style="162" bestFit="1" customWidth="1"/>
    <col min="4643" max="4864" width="6.1640625" style="162"/>
    <col min="4865" max="4865" width="33.5" style="162" bestFit="1" customWidth="1"/>
    <col min="4866" max="4866" width="12" style="162" bestFit="1" customWidth="1"/>
    <col min="4867" max="4867" width="9.33203125" style="162" bestFit="1" customWidth="1"/>
    <col min="4868" max="4868" width="12" style="162" bestFit="1" customWidth="1"/>
    <col min="4869" max="4876" width="10.83203125" style="162" bestFit="1" customWidth="1"/>
    <col min="4877" max="4877" width="12" style="162" bestFit="1" customWidth="1"/>
    <col min="4878" max="4878" width="7.5" style="162" customWidth="1"/>
    <col min="4879" max="4879" width="7.1640625" style="162" customWidth="1"/>
    <col min="4880" max="4880" width="6.1640625" style="162"/>
    <col min="4881" max="4881" width="7.6640625" style="162" bestFit="1" customWidth="1"/>
    <col min="4882" max="4882" width="10.1640625" style="162" bestFit="1" customWidth="1"/>
    <col min="4883" max="4883" width="6.6640625" style="162" bestFit="1" customWidth="1"/>
    <col min="4884" max="4884" width="7.1640625" style="162" bestFit="1" customWidth="1"/>
    <col min="4885" max="4885" width="17.1640625" style="162" bestFit="1" customWidth="1"/>
    <col min="4886" max="4886" width="6.1640625" style="162"/>
    <col min="4887" max="4887" width="26.1640625" style="162" bestFit="1" customWidth="1"/>
    <col min="4888" max="4897" width="9.1640625" style="162" bestFit="1" customWidth="1"/>
    <col min="4898" max="4898" width="10.1640625" style="162" bestFit="1" customWidth="1"/>
    <col min="4899" max="5120" width="6.1640625" style="162"/>
    <col min="5121" max="5121" width="33.5" style="162" bestFit="1" customWidth="1"/>
    <col min="5122" max="5122" width="12" style="162" bestFit="1" customWidth="1"/>
    <col min="5123" max="5123" width="9.33203125" style="162" bestFit="1" customWidth="1"/>
    <col min="5124" max="5124" width="12" style="162" bestFit="1" customWidth="1"/>
    <col min="5125" max="5132" width="10.83203125" style="162" bestFit="1" customWidth="1"/>
    <col min="5133" max="5133" width="12" style="162" bestFit="1" customWidth="1"/>
    <col min="5134" max="5134" width="7.5" style="162" customWidth="1"/>
    <col min="5135" max="5135" width="7.1640625" style="162" customWidth="1"/>
    <col min="5136" max="5136" width="6.1640625" style="162"/>
    <col min="5137" max="5137" width="7.6640625" style="162" bestFit="1" customWidth="1"/>
    <col min="5138" max="5138" width="10.1640625" style="162" bestFit="1" customWidth="1"/>
    <col min="5139" max="5139" width="6.6640625" style="162" bestFit="1" customWidth="1"/>
    <col min="5140" max="5140" width="7.1640625" style="162" bestFit="1" customWidth="1"/>
    <col min="5141" max="5141" width="17.1640625" style="162" bestFit="1" customWidth="1"/>
    <col min="5142" max="5142" width="6.1640625" style="162"/>
    <col min="5143" max="5143" width="26.1640625" style="162" bestFit="1" customWidth="1"/>
    <col min="5144" max="5153" width="9.1640625" style="162" bestFit="1" customWidth="1"/>
    <col min="5154" max="5154" width="10.1640625" style="162" bestFit="1" customWidth="1"/>
    <col min="5155" max="5376" width="6.1640625" style="162"/>
    <col min="5377" max="5377" width="33.5" style="162" bestFit="1" customWidth="1"/>
    <col min="5378" max="5378" width="12" style="162" bestFit="1" customWidth="1"/>
    <col min="5379" max="5379" width="9.33203125" style="162" bestFit="1" customWidth="1"/>
    <col min="5380" max="5380" width="12" style="162" bestFit="1" customWidth="1"/>
    <col min="5381" max="5388" width="10.83203125" style="162" bestFit="1" customWidth="1"/>
    <col min="5389" max="5389" width="12" style="162" bestFit="1" customWidth="1"/>
    <col min="5390" max="5390" width="7.5" style="162" customWidth="1"/>
    <col min="5391" max="5391" width="7.1640625" style="162" customWidth="1"/>
    <col min="5392" max="5392" width="6.1640625" style="162"/>
    <col min="5393" max="5393" width="7.6640625" style="162" bestFit="1" customWidth="1"/>
    <col min="5394" max="5394" width="10.1640625" style="162" bestFit="1" customWidth="1"/>
    <col min="5395" max="5395" width="6.6640625" style="162" bestFit="1" customWidth="1"/>
    <col min="5396" max="5396" width="7.1640625" style="162" bestFit="1" customWidth="1"/>
    <col min="5397" max="5397" width="17.1640625" style="162" bestFit="1" customWidth="1"/>
    <col min="5398" max="5398" width="6.1640625" style="162"/>
    <col min="5399" max="5399" width="26.1640625" style="162" bestFit="1" customWidth="1"/>
    <col min="5400" max="5409" width="9.1640625" style="162" bestFit="1" customWidth="1"/>
    <col min="5410" max="5410" width="10.1640625" style="162" bestFit="1" customWidth="1"/>
    <col min="5411" max="5632" width="6.1640625" style="162"/>
    <col min="5633" max="5633" width="33.5" style="162" bestFit="1" customWidth="1"/>
    <col min="5634" max="5634" width="12" style="162" bestFit="1" customWidth="1"/>
    <col min="5635" max="5635" width="9.33203125" style="162" bestFit="1" customWidth="1"/>
    <col min="5636" max="5636" width="12" style="162" bestFit="1" customWidth="1"/>
    <col min="5637" max="5644" width="10.83203125" style="162" bestFit="1" customWidth="1"/>
    <col min="5645" max="5645" width="12" style="162" bestFit="1" customWidth="1"/>
    <col min="5646" max="5646" width="7.5" style="162" customWidth="1"/>
    <col min="5647" max="5647" width="7.1640625" style="162" customWidth="1"/>
    <col min="5648" max="5648" width="6.1640625" style="162"/>
    <col min="5649" max="5649" width="7.6640625" style="162" bestFit="1" customWidth="1"/>
    <col min="5650" max="5650" width="10.1640625" style="162" bestFit="1" customWidth="1"/>
    <col min="5651" max="5651" width="6.6640625" style="162" bestFit="1" customWidth="1"/>
    <col min="5652" max="5652" width="7.1640625" style="162" bestFit="1" customWidth="1"/>
    <col min="5653" max="5653" width="17.1640625" style="162" bestFit="1" customWidth="1"/>
    <col min="5654" max="5654" width="6.1640625" style="162"/>
    <col min="5655" max="5655" width="26.1640625" style="162" bestFit="1" customWidth="1"/>
    <col min="5656" max="5665" width="9.1640625" style="162" bestFit="1" customWidth="1"/>
    <col min="5666" max="5666" width="10.1640625" style="162" bestFit="1" customWidth="1"/>
    <col min="5667" max="5888" width="6.1640625" style="162"/>
    <col min="5889" max="5889" width="33.5" style="162" bestFit="1" customWidth="1"/>
    <col min="5890" max="5890" width="12" style="162" bestFit="1" customWidth="1"/>
    <col min="5891" max="5891" width="9.33203125" style="162" bestFit="1" customWidth="1"/>
    <col min="5892" max="5892" width="12" style="162" bestFit="1" customWidth="1"/>
    <col min="5893" max="5900" width="10.83203125" style="162" bestFit="1" customWidth="1"/>
    <col min="5901" max="5901" width="12" style="162" bestFit="1" customWidth="1"/>
    <col min="5902" max="5902" width="7.5" style="162" customWidth="1"/>
    <col min="5903" max="5903" width="7.1640625" style="162" customWidth="1"/>
    <col min="5904" max="5904" width="6.1640625" style="162"/>
    <col min="5905" max="5905" width="7.6640625" style="162" bestFit="1" customWidth="1"/>
    <col min="5906" max="5906" width="10.1640625" style="162" bestFit="1" customWidth="1"/>
    <col min="5907" max="5907" width="6.6640625" style="162" bestFit="1" customWidth="1"/>
    <col min="5908" max="5908" width="7.1640625" style="162" bestFit="1" customWidth="1"/>
    <col min="5909" max="5909" width="17.1640625" style="162" bestFit="1" customWidth="1"/>
    <col min="5910" max="5910" width="6.1640625" style="162"/>
    <col min="5911" max="5911" width="26.1640625" style="162" bestFit="1" customWidth="1"/>
    <col min="5912" max="5921" width="9.1640625" style="162" bestFit="1" customWidth="1"/>
    <col min="5922" max="5922" width="10.1640625" style="162" bestFit="1" customWidth="1"/>
    <col min="5923" max="6144" width="6.1640625" style="162"/>
    <col min="6145" max="6145" width="33.5" style="162" bestFit="1" customWidth="1"/>
    <col min="6146" max="6146" width="12" style="162" bestFit="1" customWidth="1"/>
    <col min="6147" max="6147" width="9.33203125" style="162" bestFit="1" customWidth="1"/>
    <col min="6148" max="6148" width="12" style="162" bestFit="1" customWidth="1"/>
    <col min="6149" max="6156" width="10.83203125" style="162" bestFit="1" customWidth="1"/>
    <col min="6157" max="6157" width="12" style="162" bestFit="1" customWidth="1"/>
    <col min="6158" max="6158" width="7.5" style="162" customWidth="1"/>
    <col min="6159" max="6159" width="7.1640625" style="162" customWidth="1"/>
    <col min="6160" max="6160" width="6.1640625" style="162"/>
    <col min="6161" max="6161" width="7.6640625" style="162" bestFit="1" customWidth="1"/>
    <col min="6162" max="6162" width="10.1640625" style="162" bestFit="1" customWidth="1"/>
    <col min="6163" max="6163" width="6.6640625" style="162" bestFit="1" customWidth="1"/>
    <col min="6164" max="6164" width="7.1640625" style="162" bestFit="1" customWidth="1"/>
    <col min="6165" max="6165" width="17.1640625" style="162" bestFit="1" customWidth="1"/>
    <col min="6166" max="6166" width="6.1640625" style="162"/>
    <col min="6167" max="6167" width="26.1640625" style="162" bestFit="1" customWidth="1"/>
    <col min="6168" max="6177" width="9.1640625" style="162" bestFit="1" customWidth="1"/>
    <col min="6178" max="6178" width="10.1640625" style="162" bestFit="1" customWidth="1"/>
    <col min="6179" max="6400" width="6.1640625" style="162"/>
    <col min="6401" max="6401" width="33.5" style="162" bestFit="1" customWidth="1"/>
    <col min="6402" max="6402" width="12" style="162" bestFit="1" customWidth="1"/>
    <col min="6403" max="6403" width="9.33203125" style="162" bestFit="1" customWidth="1"/>
    <col min="6404" max="6404" width="12" style="162" bestFit="1" customWidth="1"/>
    <col min="6405" max="6412" width="10.83203125" style="162" bestFit="1" customWidth="1"/>
    <col min="6413" max="6413" width="12" style="162" bestFit="1" customWidth="1"/>
    <col min="6414" max="6414" width="7.5" style="162" customWidth="1"/>
    <col min="6415" max="6415" width="7.1640625" style="162" customWidth="1"/>
    <col min="6416" max="6416" width="6.1640625" style="162"/>
    <col min="6417" max="6417" width="7.6640625" style="162" bestFit="1" customWidth="1"/>
    <col min="6418" max="6418" width="10.1640625" style="162" bestFit="1" customWidth="1"/>
    <col min="6419" max="6419" width="6.6640625" style="162" bestFit="1" customWidth="1"/>
    <col min="6420" max="6420" width="7.1640625" style="162" bestFit="1" customWidth="1"/>
    <col min="6421" max="6421" width="17.1640625" style="162" bestFit="1" customWidth="1"/>
    <col min="6422" max="6422" width="6.1640625" style="162"/>
    <col min="6423" max="6423" width="26.1640625" style="162" bestFit="1" customWidth="1"/>
    <col min="6424" max="6433" width="9.1640625" style="162" bestFit="1" customWidth="1"/>
    <col min="6434" max="6434" width="10.1640625" style="162" bestFit="1" customWidth="1"/>
    <col min="6435" max="6656" width="6.1640625" style="162"/>
    <col min="6657" max="6657" width="33.5" style="162" bestFit="1" customWidth="1"/>
    <col min="6658" max="6658" width="12" style="162" bestFit="1" customWidth="1"/>
    <col min="6659" max="6659" width="9.33203125" style="162" bestFit="1" customWidth="1"/>
    <col min="6660" max="6660" width="12" style="162" bestFit="1" customWidth="1"/>
    <col min="6661" max="6668" width="10.83203125" style="162" bestFit="1" customWidth="1"/>
    <col min="6669" max="6669" width="12" style="162" bestFit="1" customWidth="1"/>
    <col min="6670" max="6670" width="7.5" style="162" customWidth="1"/>
    <col min="6671" max="6671" width="7.1640625" style="162" customWidth="1"/>
    <col min="6672" max="6672" width="6.1640625" style="162"/>
    <col min="6673" max="6673" width="7.6640625" style="162" bestFit="1" customWidth="1"/>
    <col min="6674" max="6674" width="10.1640625" style="162" bestFit="1" customWidth="1"/>
    <col min="6675" max="6675" width="6.6640625" style="162" bestFit="1" customWidth="1"/>
    <col min="6676" max="6676" width="7.1640625" style="162" bestFit="1" customWidth="1"/>
    <col min="6677" max="6677" width="17.1640625" style="162" bestFit="1" customWidth="1"/>
    <col min="6678" max="6678" width="6.1640625" style="162"/>
    <col min="6679" max="6679" width="26.1640625" style="162" bestFit="1" customWidth="1"/>
    <col min="6680" max="6689" width="9.1640625" style="162" bestFit="1" customWidth="1"/>
    <col min="6690" max="6690" width="10.1640625" style="162" bestFit="1" customWidth="1"/>
    <col min="6691" max="6912" width="6.1640625" style="162"/>
    <col min="6913" max="6913" width="33.5" style="162" bestFit="1" customWidth="1"/>
    <col min="6914" max="6914" width="12" style="162" bestFit="1" customWidth="1"/>
    <col min="6915" max="6915" width="9.33203125" style="162" bestFit="1" customWidth="1"/>
    <col min="6916" max="6916" width="12" style="162" bestFit="1" customWidth="1"/>
    <col min="6917" max="6924" width="10.83203125" style="162" bestFit="1" customWidth="1"/>
    <col min="6925" max="6925" width="12" style="162" bestFit="1" customWidth="1"/>
    <col min="6926" max="6926" width="7.5" style="162" customWidth="1"/>
    <col min="6927" max="6927" width="7.1640625" style="162" customWidth="1"/>
    <col min="6928" max="6928" width="6.1640625" style="162"/>
    <col min="6929" max="6929" width="7.6640625" style="162" bestFit="1" customWidth="1"/>
    <col min="6930" max="6930" width="10.1640625" style="162" bestFit="1" customWidth="1"/>
    <col min="6931" max="6931" width="6.6640625" style="162" bestFit="1" customWidth="1"/>
    <col min="6932" max="6932" width="7.1640625" style="162" bestFit="1" customWidth="1"/>
    <col min="6933" max="6933" width="17.1640625" style="162" bestFit="1" customWidth="1"/>
    <col min="6934" max="6934" width="6.1640625" style="162"/>
    <col min="6935" max="6935" width="26.1640625" style="162" bestFit="1" customWidth="1"/>
    <col min="6936" max="6945" width="9.1640625" style="162" bestFit="1" customWidth="1"/>
    <col min="6946" max="6946" width="10.1640625" style="162" bestFit="1" customWidth="1"/>
    <col min="6947" max="7168" width="6.1640625" style="162"/>
    <col min="7169" max="7169" width="33.5" style="162" bestFit="1" customWidth="1"/>
    <col min="7170" max="7170" width="12" style="162" bestFit="1" customWidth="1"/>
    <col min="7171" max="7171" width="9.33203125" style="162" bestFit="1" customWidth="1"/>
    <col min="7172" max="7172" width="12" style="162" bestFit="1" customWidth="1"/>
    <col min="7173" max="7180" width="10.83203125" style="162" bestFit="1" customWidth="1"/>
    <col min="7181" max="7181" width="12" style="162" bestFit="1" customWidth="1"/>
    <col min="7182" max="7182" width="7.5" style="162" customWidth="1"/>
    <col min="7183" max="7183" width="7.1640625" style="162" customWidth="1"/>
    <col min="7184" max="7184" width="6.1640625" style="162"/>
    <col min="7185" max="7185" width="7.6640625" style="162" bestFit="1" customWidth="1"/>
    <col min="7186" max="7186" width="10.1640625" style="162" bestFit="1" customWidth="1"/>
    <col min="7187" max="7187" width="6.6640625" style="162" bestFit="1" customWidth="1"/>
    <col min="7188" max="7188" width="7.1640625" style="162" bestFit="1" customWidth="1"/>
    <col min="7189" max="7189" width="17.1640625" style="162" bestFit="1" customWidth="1"/>
    <col min="7190" max="7190" width="6.1640625" style="162"/>
    <col min="7191" max="7191" width="26.1640625" style="162" bestFit="1" customWidth="1"/>
    <col min="7192" max="7201" width="9.1640625" style="162" bestFit="1" customWidth="1"/>
    <col min="7202" max="7202" width="10.1640625" style="162" bestFit="1" customWidth="1"/>
    <col min="7203" max="7424" width="6.1640625" style="162"/>
    <col min="7425" max="7425" width="33.5" style="162" bestFit="1" customWidth="1"/>
    <col min="7426" max="7426" width="12" style="162" bestFit="1" customWidth="1"/>
    <col min="7427" max="7427" width="9.33203125" style="162" bestFit="1" customWidth="1"/>
    <col min="7428" max="7428" width="12" style="162" bestFit="1" customWidth="1"/>
    <col min="7429" max="7436" width="10.83203125" style="162" bestFit="1" customWidth="1"/>
    <col min="7437" max="7437" width="12" style="162" bestFit="1" customWidth="1"/>
    <col min="7438" max="7438" width="7.5" style="162" customWidth="1"/>
    <col min="7439" max="7439" width="7.1640625" style="162" customWidth="1"/>
    <col min="7440" max="7440" width="6.1640625" style="162"/>
    <col min="7441" max="7441" width="7.6640625" style="162" bestFit="1" customWidth="1"/>
    <col min="7442" max="7442" width="10.1640625" style="162" bestFit="1" customWidth="1"/>
    <col min="7443" max="7443" width="6.6640625" style="162" bestFit="1" customWidth="1"/>
    <col min="7444" max="7444" width="7.1640625" style="162" bestFit="1" customWidth="1"/>
    <col min="7445" max="7445" width="17.1640625" style="162" bestFit="1" customWidth="1"/>
    <col min="7446" max="7446" width="6.1640625" style="162"/>
    <col min="7447" max="7447" width="26.1640625" style="162" bestFit="1" customWidth="1"/>
    <col min="7448" max="7457" width="9.1640625" style="162" bestFit="1" customWidth="1"/>
    <col min="7458" max="7458" width="10.1640625" style="162" bestFit="1" customWidth="1"/>
    <col min="7459" max="7680" width="6.1640625" style="162"/>
    <col min="7681" max="7681" width="33.5" style="162" bestFit="1" customWidth="1"/>
    <col min="7682" max="7682" width="12" style="162" bestFit="1" customWidth="1"/>
    <col min="7683" max="7683" width="9.33203125" style="162" bestFit="1" customWidth="1"/>
    <col min="7684" max="7684" width="12" style="162" bestFit="1" customWidth="1"/>
    <col min="7685" max="7692" width="10.83203125" style="162" bestFit="1" customWidth="1"/>
    <col min="7693" max="7693" width="12" style="162" bestFit="1" customWidth="1"/>
    <col min="7694" max="7694" width="7.5" style="162" customWidth="1"/>
    <col min="7695" max="7695" width="7.1640625" style="162" customWidth="1"/>
    <col min="7696" max="7696" width="6.1640625" style="162"/>
    <col min="7697" max="7697" width="7.6640625" style="162" bestFit="1" customWidth="1"/>
    <col min="7698" max="7698" width="10.1640625" style="162" bestFit="1" customWidth="1"/>
    <col min="7699" max="7699" width="6.6640625" style="162" bestFit="1" customWidth="1"/>
    <col min="7700" max="7700" width="7.1640625" style="162" bestFit="1" customWidth="1"/>
    <col min="7701" max="7701" width="17.1640625" style="162" bestFit="1" customWidth="1"/>
    <col min="7702" max="7702" width="6.1640625" style="162"/>
    <col min="7703" max="7703" width="26.1640625" style="162" bestFit="1" customWidth="1"/>
    <col min="7704" max="7713" width="9.1640625" style="162" bestFit="1" customWidth="1"/>
    <col min="7714" max="7714" width="10.1640625" style="162" bestFit="1" customWidth="1"/>
    <col min="7715" max="7936" width="6.1640625" style="162"/>
    <col min="7937" max="7937" width="33.5" style="162" bestFit="1" customWidth="1"/>
    <col min="7938" max="7938" width="12" style="162" bestFit="1" customWidth="1"/>
    <col min="7939" max="7939" width="9.33203125" style="162" bestFit="1" customWidth="1"/>
    <col min="7940" max="7940" width="12" style="162" bestFit="1" customWidth="1"/>
    <col min="7941" max="7948" width="10.83203125" style="162" bestFit="1" customWidth="1"/>
    <col min="7949" max="7949" width="12" style="162" bestFit="1" customWidth="1"/>
    <col min="7950" max="7950" width="7.5" style="162" customWidth="1"/>
    <col min="7951" max="7951" width="7.1640625" style="162" customWidth="1"/>
    <col min="7952" max="7952" width="6.1640625" style="162"/>
    <col min="7953" max="7953" width="7.6640625" style="162" bestFit="1" customWidth="1"/>
    <col min="7954" max="7954" width="10.1640625" style="162" bestFit="1" customWidth="1"/>
    <col min="7955" max="7955" width="6.6640625" style="162" bestFit="1" customWidth="1"/>
    <col min="7956" max="7956" width="7.1640625" style="162" bestFit="1" customWidth="1"/>
    <col min="7957" max="7957" width="17.1640625" style="162" bestFit="1" customWidth="1"/>
    <col min="7958" max="7958" width="6.1640625" style="162"/>
    <col min="7959" max="7959" width="26.1640625" style="162" bestFit="1" customWidth="1"/>
    <col min="7960" max="7969" width="9.1640625" style="162" bestFit="1" customWidth="1"/>
    <col min="7970" max="7970" width="10.1640625" style="162" bestFit="1" customWidth="1"/>
    <col min="7971" max="8192" width="6.1640625" style="162"/>
    <col min="8193" max="8193" width="33.5" style="162" bestFit="1" customWidth="1"/>
    <col min="8194" max="8194" width="12" style="162" bestFit="1" customWidth="1"/>
    <col min="8195" max="8195" width="9.33203125" style="162" bestFit="1" customWidth="1"/>
    <col min="8196" max="8196" width="12" style="162" bestFit="1" customWidth="1"/>
    <col min="8197" max="8204" width="10.83203125" style="162" bestFit="1" customWidth="1"/>
    <col min="8205" max="8205" width="12" style="162" bestFit="1" customWidth="1"/>
    <col min="8206" max="8206" width="7.5" style="162" customWidth="1"/>
    <col min="8207" max="8207" width="7.1640625" style="162" customWidth="1"/>
    <col min="8208" max="8208" width="6.1640625" style="162"/>
    <col min="8209" max="8209" width="7.6640625" style="162" bestFit="1" customWidth="1"/>
    <col min="8210" max="8210" width="10.1640625" style="162" bestFit="1" customWidth="1"/>
    <col min="8211" max="8211" width="6.6640625" style="162" bestFit="1" customWidth="1"/>
    <col min="8212" max="8212" width="7.1640625" style="162" bestFit="1" customWidth="1"/>
    <col min="8213" max="8213" width="17.1640625" style="162" bestFit="1" customWidth="1"/>
    <col min="8214" max="8214" width="6.1640625" style="162"/>
    <col min="8215" max="8215" width="26.1640625" style="162" bestFit="1" customWidth="1"/>
    <col min="8216" max="8225" width="9.1640625" style="162" bestFit="1" customWidth="1"/>
    <col min="8226" max="8226" width="10.1640625" style="162" bestFit="1" customWidth="1"/>
    <col min="8227" max="8448" width="6.1640625" style="162"/>
    <col min="8449" max="8449" width="33.5" style="162" bestFit="1" customWidth="1"/>
    <col min="8450" max="8450" width="12" style="162" bestFit="1" customWidth="1"/>
    <col min="8451" max="8451" width="9.33203125" style="162" bestFit="1" customWidth="1"/>
    <col min="8452" max="8452" width="12" style="162" bestFit="1" customWidth="1"/>
    <col min="8453" max="8460" width="10.83203125" style="162" bestFit="1" customWidth="1"/>
    <col min="8461" max="8461" width="12" style="162" bestFit="1" customWidth="1"/>
    <col min="8462" max="8462" width="7.5" style="162" customWidth="1"/>
    <col min="8463" max="8463" width="7.1640625" style="162" customWidth="1"/>
    <col min="8464" max="8464" width="6.1640625" style="162"/>
    <col min="8465" max="8465" width="7.6640625" style="162" bestFit="1" customWidth="1"/>
    <col min="8466" max="8466" width="10.1640625" style="162" bestFit="1" customWidth="1"/>
    <col min="8467" max="8467" width="6.6640625" style="162" bestFit="1" customWidth="1"/>
    <col min="8468" max="8468" width="7.1640625" style="162" bestFit="1" customWidth="1"/>
    <col min="8469" max="8469" width="17.1640625" style="162" bestFit="1" customWidth="1"/>
    <col min="8470" max="8470" width="6.1640625" style="162"/>
    <col min="8471" max="8471" width="26.1640625" style="162" bestFit="1" customWidth="1"/>
    <col min="8472" max="8481" width="9.1640625" style="162" bestFit="1" customWidth="1"/>
    <col min="8482" max="8482" width="10.1640625" style="162" bestFit="1" customWidth="1"/>
    <col min="8483" max="8704" width="6.1640625" style="162"/>
    <col min="8705" max="8705" width="33.5" style="162" bestFit="1" customWidth="1"/>
    <col min="8706" max="8706" width="12" style="162" bestFit="1" customWidth="1"/>
    <col min="8707" max="8707" width="9.33203125" style="162" bestFit="1" customWidth="1"/>
    <col min="8708" max="8708" width="12" style="162" bestFit="1" customWidth="1"/>
    <col min="8709" max="8716" width="10.83203125" style="162" bestFit="1" customWidth="1"/>
    <col min="8717" max="8717" width="12" style="162" bestFit="1" customWidth="1"/>
    <col min="8718" max="8718" width="7.5" style="162" customWidth="1"/>
    <col min="8719" max="8719" width="7.1640625" style="162" customWidth="1"/>
    <col min="8720" max="8720" width="6.1640625" style="162"/>
    <col min="8721" max="8721" width="7.6640625" style="162" bestFit="1" customWidth="1"/>
    <col min="8722" max="8722" width="10.1640625" style="162" bestFit="1" customWidth="1"/>
    <col min="8723" max="8723" width="6.6640625" style="162" bestFit="1" customWidth="1"/>
    <col min="8724" max="8724" width="7.1640625" style="162" bestFit="1" customWidth="1"/>
    <col min="8725" max="8725" width="17.1640625" style="162" bestFit="1" customWidth="1"/>
    <col min="8726" max="8726" width="6.1640625" style="162"/>
    <col min="8727" max="8727" width="26.1640625" style="162" bestFit="1" customWidth="1"/>
    <col min="8728" max="8737" width="9.1640625" style="162" bestFit="1" customWidth="1"/>
    <col min="8738" max="8738" width="10.1640625" style="162" bestFit="1" customWidth="1"/>
    <col min="8739" max="8960" width="6.1640625" style="162"/>
    <col min="8961" max="8961" width="33.5" style="162" bestFit="1" customWidth="1"/>
    <col min="8962" max="8962" width="12" style="162" bestFit="1" customWidth="1"/>
    <col min="8963" max="8963" width="9.33203125" style="162" bestFit="1" customWidth="1"/>
    <col min="8964" max="8964" width="12" style="162" bestFit="1" customWidth="1"/>
    <col min="8965" max="8972" width="10.83203125" style="162" bestFit="1" customWidth="1"/>
    <col min="8973" max="8973" width="12" style="162" bestFit="1" customWidth="1"/>
    <col min="8974" max="8974" width="7.5" style="162" customWidth="1"/>
    <col min="8975" max="8975" width="7.1640625" style="162" customWidth="1"/>
    <col min="8976" max="8976" width="6.1640625" style="162"/>
    <col min="8977" max="8977" width="7.6640625" style="162" bestFit="1" customWidth="1"/>
    <col min="8978" max="8978" width="10.1640625" style="162" bestFit="1" customWidth="1"/>
    <col min="8979" max="8979" width="6.6640625" style="162" bestFit="1" customWidth="1"/>
    <col min="8980" max="8980" width="7.1640625" style="162" bestFit="1" customWidth="1"/>
    <col min="8981" max="8981" width="17.1640625" style="162" bestFit="1" customWidth="1"/>
    <col min="8982" max="8982" width="6.1640625" style="162"/>
    <col min="8983" max="8983" width="26.1640625" style="162" bestFit="1" customWidth="1"/>
    <col min="8984" max="8993" width="9.1640625" style="162" bestFit="1" customWidth="1"/>
    <col min="8994" max="8994" width="10.1640625" style="162" bestFit="1" customWidth="1"/>
    <col min="8995" max="9216" width="6.1640625" style="162"/>
    <col min="9217" max="9217" width="33.5" style="162" bestFit="1" customWidth="1"/>
    <col min="9218" max="9218" width="12" style="162" bestFit="1" customWidth="1"/>
    <col min="9219" max="9219" width="9.33203125" style="162" bestFit="1" customWidth="1"/>
    <col min="9220" max="9220" width="12" style="162" bestFit="1" customWidth="1"/>
    <col min="9221" max="9228" width="10.83203125" style="162" bestFit="1" customWidth="1"/>
    <col min="9229" max="9229" width="12" style="162" bestFit="1" customWidth="1"/>
    <col min="9230" max="9230" width="7.5" style="162" customWidth="1"/>
    <col min="9231" max="9231" width="7.1640625" style="162" customWidth="1"/>
    <col min="9232" max="9232" width="6.1640625" style="162"/>
    <col min="9233" max="9233" width="7.6640625" style="162" bestFit="1" customWidth="1"/>
    <col min="9234" max="9234" width="10.1640625" style="162" bestFit="1" customWidth="1"/>
    <col min="9235" max="9235" width="6.6640625" style="162" bestFit="1" customWidth="1"/>
    <col min="9236" max="9236" width="7.1640625" style="162" bestFit="1" customWidth="1"/>
    <col min="9237" max="9237" width="17.1640625" style="162" bestFit="1" customWidth="1"/>
    <col min="9238" max="9238" width="6.1640625" style="162"/>
    <col min="9239" max="9239" width="26.1640625" style="162" bestFit="1" customWidth="1"/>
    <col min="9240" max="9249" width="9.1640625" style="162" bestFit="1" customWidth="1"/>
    <col min="9250" max="9250" width="10.1640625" style="162" bestFit="1" customWidth="1"/>
    <col min="9251" max="9472" width="6.1640625" style="162"/>
    <col min="9473" max="9473" width="33.5" style="162" bestFit="1" customWidth="1"/>
    <col min="9474" max="9474" width="12" style="162" bestFit="1" customWidth="1"/>
    <col min="9475" max="9475" width="9.33203125" style="162" bestFit="1" customWidth="1"/>
    <col min="9476" max="9476" width="12" style="162" bestFit="1" customWidth="1"/>
    <col min="9477" max="9484" width="10.83203125" style="162" bestFit="1" customWidth="1"/>
    <col min="9485" max="9485" width="12" style="162" bestFit="1" customWidth="1"/>
    <col min="9486" max="9486" width="7.5" style="162" customWidth="1"/>
    <col min="9487" max="9487" width="7.1640625" style="162" customWidth="1"/>
    <col min="9488" max="9488" width="6.1640625" style="162"/>
    <col min="9489" max="9489" width="7.6640625" style="162" bestFit="1" customWidth="1"/>
    <col min="9490" max="9490" width="10.1640625" style="162" bestFit="1" customWidth="1"/>
    <col min="9491" max="9491" width="6.6640625" style="162" bestFit="1" customWidth="1"/>
    <col min="9492" max="9492" width="7.1640625" style="162" bestFit="1" customWidth="1"/>
    <col min="9493" max="9493" width="17.1640625" style="162" bestFit="1" customWidth="1"/>
    <col min="9494" max="9494" width="6.1640625" style="162"/>
    <col min="9495" max="9495" width="26.1640625" style="162" bestFit="1" customWidth="1"/>
    <col min="9496" max="9505" width="9.1640625" style="162" bestFit="1" customWidth="1"/>
    <col min="9506" max="9506" width="10.1640625" style="162" bestFit="1" customWidth="1"/>
    <col min="9507" max="9728" width="6.1640625" style="162"/>
    <col min="9729" max="9729" width="33.5" style="162" bestFit="1" customWidth="1"/>
    <col min="9730" max="9730" width="12" style="162" bestFit="1" customWidth="1"/>
    <col min="9731" max="9731" width="9.33203125" style="162" bestFit="1" customWidth="1"/>
    <col min="9732" max="9732" width="12" style="162" bestFit="1" customWidth="1"/>
    <col min="9733" max="9740" width="10.83203125" style="162" bestFit="1" customWidth="1"/>
    <col min="9741" max="9741" width="12" style="162" bestFit="1" customWidth="1"/>
    <col min="9742" max="9742" width="7.5" style="162" customWidth="1"/>
    <col min="9743" max="9743" width="7.1640625" style="162" customWidth="1"/>
    <col min="9744" max="9744" width="6.1640625" style="162"/>
    <col min="9745" max="9745" width="7.6640625" style="162" bestFit="1" customWidth="1"/>
    <col min="9746" max="9746" width="10.1640625" style="162" bestFit="1" customWidth="1"/>
    <col min="9747" max="9747" width="6.6640625" style="162" bestFit="1" customWidth="1"/>
    <col min="9748" max="9748" width="7.1640625" style="162" bestFit="1" customWidth="1"/>
    <col min="9749" max="9749" width="17.1640625" style="162" bestFit="1" customWidth="1"/>
    <col min="9750" max="9750" width="6.1640625" style="162"/>
    <col min="9751" max="9751" width="26.1640625" style="162" bestFit="1" customWidth="1"/>
    <col min="9752" max="9761" width="9.1640625" style="162" bestFit="1" customWidth="1"/>
    <col min="9762" max="9762" width="10.1640625" style="162" bestFit="1" customWidth="1"/>
    <col min="9763" max="9984" width="6.1640625" style="162"/>
    <col min="9985" max="9985" width="33.5" style="162" bestFit="1" customWidth="1"/>
    <col min="9986" max="9986" width="12" style="162" bestFit="1" customWidth="1"/>
    <col min="9987" max="9987" width="9.33203125" style="162" bestFit="1" customWidth="1"/>
    <col min="9988" max="9988" width="12" style="162" bestFit="1" customWidth="1"/>
    <col min="9989" max="9996" width="10.83203125" style="162" bestFit="1" customWidth="1"/>
    <col min="9997" max="9997" width="12" style="162" bestFit="1" customWidth="1"/>
    <col min="9998" max="9998" width="7.5" style="162" customWidth="1"/>
    <col min="9999" max="9999" width="7.1640625" style="162" customWidth="1"/>
    <col min="10000" max="10000" width="6.1640625" style="162"/>
    <col min="10001" max="10001" width="7.6640625" style="162" bestFit="1" customWidth="1"/>
    <col min="10002" max="10002" width="10.1640625" style="162" bestFit="1" customWidth="1"/>
    <col min="10003" max="10003" width="6.6640625" style="162" bestFit="1" customWidth="1"/>
    <col min="10004" max="10004" width="7.1640625" style="162" bestFit="1" customWidth="1"/>
    <col min="10005" max="10005" width="17.1640625" style="162" bestFit="1" customWidth="1"/>
    <col min="10006" max="10006" width="6.1640625" style="162"/>
    <col min="10007" max="10007" width="26.1640625" style="162" bestFit="1" customWidth="1"/>
    <col min="10008" max="10017" width="9.1640625" style="162" bestFit="1" customWidth="1"/>
    <col min="10018" max="10018" width="10.1640625" style="162" bestFit="1" customWidth="1"/>
    <col min="10019" max="10240" width="6.1640625" style="162"/>
    <col min="10241" max="10241" width="33.5" style="162" bestFit="1" customWidth="1"/>
    <col min="10242" max="10242" width="12" style="162" bestFit="1" customWidth="1"/>
    <col min="10243" max="10243" width="9.33203125" style="162" bestFit="1" customWidth="1"/>
    <col min="10244" max="10244" width="12" style="162" bestFit="1" customWidth="1"/>
    <col min="10245" max="10252" width="10.83203125" style="162" bestFit="1" customWidth="1"/>
    <col min="10253" max="10253" width="12" style="162" bestFit="1" customWidth="1"/>
    <col min="10254" max="10254" width="7.5" style="162" customWidth="1"/>
    <col min="10255" max="10255" width="7.1640625" style="162" customWidth="1"/>
    <col min="10256" max="10256" width="6.1640625" style="162"/>
    <col min="10257" max="10257" width="7.6640625" style="162" bestFit="1" customWidth="1"/>
    <col min="10258" max="10258" width="10.1640625" style="162" bestFit="1" customWidth="1"/>
    <col min="10259" max="10259" width="6.6640625" style="162" bestFit="1" customWidth="1"/>
    <col min="10260" max="10260" width="7.1640625" style="162" bestFit="1" customWidth="1"/>
    <col min="10261" max="10261" width="17.1640625" style="162" bestFit="1" customWidth="1"/>
    <col min="10262" max="10262" width="6.1640625" style="162"/>
    <col min="10263" max="10263" width="26.1640625" style="162" bestFit="1" customWidth="1"/>
    <col min="10264" max="10273" width="9.1640625" style="162" bestFit="1" customWidth="1"/>
    <col min="10274" max="10274" width="10.1640625" style="162" bestFit="1" customWidth="1"/>
    <col min="10275" max="10496" width="6.1640625" style="162"/>
    <col min="10497" max="10497" width="33.5" style="162" bestFit="1" customWidth="1"/>
    <col min="10498" max="10498" width="12" style="162" bestFit="1" customWidth="1"/>
    <col min="10499" max="10499" width="9.33203125" style="162" bestFit="1" customWidth="1"/>
    <col min="10500" max="10500" width="12" style="162" bestFit="1" customWidth="1"/>
    <col min="10501" max="10508" width="10.83203125" style="162" bestFit="1" customWidth="1"/>
    <col min="10509" max="10509" width="12" style="162" bestFit="1" customWidth="1"/>
    <col min="10510" max="10510" width="7.5" style="162" customWidth="1"/>
    <col min="10511" max="10511" width="7.1640625" style="162" customWidth="1"/>
    <col min="10512" max="10512" width="6.1640625" style="162"/>
    <col min="10513" max="10513" width="7.6640625" style="162" bestFit="1" customWidth="1"/>
    <col min="10514" max="10514" width="10.1640625" style="162" bestFit="1" customWidth="1"/>
    <col min="10515" max="10515" width="6.6640625" style="162" bestFit="1" customWidth="1"/>
    <col min="10516" max="10516" width="7.1640625" style="162" bestFit="1" customWidth="1"/>
    <col min="10517" max="10517" width="17.1640625" style="162" bestFit="1" customWidth="1"/>
    <col min="10518" max="10518" width="6.1640625" style="162"/>
    <col min="10519" max="10519" width="26.1640625" style="162" bestFit="1" customWidth="1"/>
    <col min="10520" max="10529" width="9.1640625" style="162" bestFit="1" customWidth="1"/>
    <col min="10530" max="10530" width="10.1640625" style="162" bestFit="1" customWidth="1"/>
    <col min="10531" max="10752" width="6.1640625" style="162"/>
    <col min="10753" max="10753" width="33.5" style="162" bestFit="1" customWidth="1"/>
    <col min="10754" max="10754" width="12" style="162" bestFit="1" customWidth="1"/>
    <col min="10755" max="10755" width="9.33203125" style="162" bestFit="1" customWidth="1"/>
    <col min="10756" max="10756" width="12" style="162" bestFit="1" customWidth="1"/>
    <col min="10757" max="10764" width="10.83203125" style="162" bestFit="1" customWidth="1"/>
    <col min="10765" max="10765" width="12" style="162" bestFit="1" customWidth="1"/>
    <col min="10766" max="10766" width="7.5" style="162" customWidth="1"/>
    <col min="10767" max="10767" width="7.1640625" style="162" customWidth="1"/>
    <col min="10768" max="10768" width="6.1640625" style="162"/>
    <col min="10769" max="10769" width="7.6640625" style="162" bestFit="1" customWidth="1"/>
    <col min="10770" max="10770" width="10.1640625" style="162" bestFit="1" customWidth="1"/>
    <col min="10771" max="10771" width="6.6640625" style="162" bestFit="1" customWidth="1"/>
    <col min="10772" max="10772" width="7.1640625" style="162" bestFit="1" customWidth="1"/>
    <col min="10773" max="10773" width="17.1640625" style="162" bestFit="1" customWidth="1"/>
    <col min="10774" max="10774" width="6.1640625" style="162"/>
    <col min="10775" max="10775" width="26.1640625" style="162" bestFit="1" customWidth="1"/>
    <col min="10776" max="10785" width="9.1640625" style="162" bestFit="1" customWidth="1"/>
    <col min="10786" max="10786" width="10.1640625" style="162" bestFit="1" customWidth="1"/>
    <col min="10787" max="11008" width="6.1640625" style="162"/>
    <col min="11009" max="11009" width="33.5" style="162" bestFit="1" customWidth="1"/>
    <col min="11010" max="11010" width="12" style="162" bestFit="1" customWidth="1"/>
    <col min="11011" max="11011" width="9.33203125" style="162" bestFit="1" customWidth="1"/>
    <col min="11012" max="11012" width="12" style="162" bestFit="1" customWidth="1"/>
    <col min="11013" max="11020" width="10.83203125" style="162" bestFit="1" customWidth="1"/>
    <col min="11021" max="11021" width="12" style="162" bestFit="1" customWidth="1"/>
    <col min="11022" max="11022" width="7.5" style="162" customWidth="1"/>
    <col min="11023" max="11023" width="7.1640625" style="162" customWidth="1"/>
    <col min="11024" max="11024" width="6.1640625" style="162"/>
    <col min="11025" max="11025" width="7.6640625" style="162" bestFit="1" customWidth="1"/>
    <col min="11026" max="11026" width="10.1640625" style="162" bestFit="1" customWidth="1"/>
    <col min="11027" max="11027" width="6.6640625" style="162" bestFit="1" customWidth="1"/>
    <col min="11028" max="11028" width="7.1640625" style="162" bestFit="1" customWidth="1"/>
    <col min="11029" max="11029" width="17.1640625" style="162" bestFit="1" customWidth="1"/>
    <col min="11030" max="11030" width="6.1640625" style="162"/>
    <col min="11031" max="11031" width="26.1640625" style="162" bestFit="1" customWidth="1"/>
    <col min="11032" max="11041" width="9.1640625" style="162" bestFit="1" customWidth="1"/>
    <col min="11042" max="11042" width="10.1640625" style="162" bestFit="1" customWidth="1"/>
    <col min="11043" max="11264" width="6.1640625" style="162"/>
    <col min="11265" max="11265" width="33.5" style="162" bestFit="1" customWidth="1"/>
    <col min="11266" max="11266" width="12" style="162" bestFit="1" customWidth="1"/>
    <col min="11267" max="11267" width="9.33203125" style="162" bestFit="1" customWidth="1"/>
    <col min="11268" max="11268" width="12" style="162" bestFit="1" customWidth="1"/>
    <col min="11269" max="11276" width="10.83203125" style="162" bestFit="1" customWidth="1"/>
    <col min="11277" max="11277" width="12" style="162" bestFit="1" customWidth="1"/>
    <col min="11278" max="11278" width="7.5" style="162" customWidth="1"/>
    <col min="11279" max="11279" width="7.1640625" style="162" customWidth="1"/>
    <col min="11280" max="11280" width="6.1640625" style="162"/>
    <col min="11281" max="11281" width="7.6640625" style="162" bestFit="1" customWidth="1"/>
    <col min="11282" max="11282" width="10.1640625" style="162" bestFit="1" customWidth="1"/>
    <col min="11283" max="11283" width="6.6640625" style="162" bestFit="1" customWidth="1"/>
    <col min="11284" max="11284" width="7.1640625" style="162" bestFit="1" customWidth="1"/>
    <col min="11285" max="11285" width="17.1640625" style="162" bestFit="1" customWidth="1"/>
    <col min="11286" max="11286" width="6.1640625" style="162"/>
    <col min="11287" max="11287" width="26.1640625" style="162" bestFit="1" customWidth="1"/>
    <col min="11288" max="11297" width="9.1640625" style="162" bestFit="1" customWidth="1"/>
    <col min="11298" max="11298" width="10.1640625" style="162" bestFit="1" customWidth="1"/>
    <col min="11299" max="11520" width="6.1640625" style="162"/>
    <col min="11521" max="11521" width="33.5" style="162" bestFit="1" customWidth="1"/>
    <col min="11522" max="11522" width="12" style="162" bestFit="1" customWidth="1"/>
    <col min="11523" max="11523" width="9.33203125" style="162" bestFit="1" customWidth="1"/>
    <col min="11524" max="11524" width="12" style="162" bestFit="1" customWidth="1"/>
    <col min="11525" max="11532" width="10.83203125" style="162" bestFit="1" customWidth="1"/>
    <col min="11533" max="11533" width="12" style="162" bestFit="1" customWidth="1"/>
    <col min="11534" max="11534" width="7.5" style="162" customWidth="1"/>
    <col min="11535" max="11535" width="7.1640625" style="162" customWidth="1"/>
    <col min="11536" max="11536" width="6.1640625" style="162"/>
    <col min="11537" max="11537" width="7.6640625" style="162" bestFit="1" customWidth="1"/>
    <col min="11538" max="11538" width="10.1640625" style="162" bestFit="1" customWidth="1"/>
    <col min="11539" max="11539" width="6.6640625" style="162" bestFit="1" customWidth="1"/>
    <col min="11540" max="11540" width="7.1640625" style="162" bestFit="1" customWidth="1"/>
    <col min="11541" max="11541" width="17.1640625" style="162" bestFit="1" customWidth="1"/>
    <col min="11542" max="11542" width="6.1640625" style="162"/>
    <col min="11543" max="11543" width="26.1640625" style="162" bestFit="1" customWidth="1"/>
    <col min="11544" max="11553" width="9.1640625" style="162" bestFit="1" customWidth="1"/>
    <col min="11554" max="11554" width="10.1640625" style="162" bestFit="1" customWidth="1"/>
    <col min="11555" max="11776" width="6.1640625" style="162"/>
    <col min="11777" max="11777" width="33.5" style="162" bestFit="1" customWidth="1"/>
    <col min="11778" max="11778" width="12" style="162" bestFit="1" customWidth="1"/>
    <col min="11779" max="11779" width="9.33203125" style="162" bestFit="1" customWidth="1"/>
    <col min="11780" max="11780" width="12" style="162" bestFit="1" customWidth="1"/>
    <col min="11781" max="11788" width="10.83203125" style="162" bestFit="1" customWidth="1"/>
    <col min="11789" max="11789" width="12" style="162" bestFit="1" customWidth="1"/>
    <col min="11790" max="11790" width="7.5" style="162" customWidth="1"/>
    <col min="11791" max="11791" width="7.1640625" style="162" customWidth="1"/>
    <col min="11792" max="11792" width="6.1640625" style="162"/>
    <col min="11793" max="11793" width="7.6640625" style="162" bestFit="1" customWidth="1"/>
    <col min="11794" max="11794" width="10.1640625" style="162" bestFit="1" customWidth="1"/>
    <col min="11795" max="11795" width="6.6640625" style="162" bestFit="1" customWidth="1"/>
    <col min="11796" max="11796" width="7.1640625" style="162" bestFit="1" customWidth="1"/>
    <col min="11797" max="11797" width="17.1640625" style="162" bestFit="1" customWidth="1"/>
    <col min="11798" max="11798" width="6.1640625" style="162"/>
    <col min="11799" max="11799" width="26.1640625" style="162" bestFit="1" customWidth="1"/>
    <col min="11800" max="11809" width="9.1640625" style="162" bestFit="1" customWidth="1"/>
    <col min="11810" max="11810" width="10.1640625" style="162" bestFit="1" customWidth="1"/>
    <col min="11811" max="12032" width="6.1640625" style="162"/>
    <col min="12033" max="12033" width="33.5" style="162" bestFit="1" customWidth="1"/>
    <col min="12034" max="12034" width="12" style="162" bestFit="1" customWidth="1"/>
    <col min="12035" max="12035" width="9.33203125" style="162" bestFit="1" customWidth="1"/>
    <col min="12036" max="12036" width="12" style="162" bestFit="1" customWidth="1"/>
    <col min="12037" max="12044" width="10.83203125" style="162" bestFit="1" customWidth="1"/>
    <col min="12045" max="12045" width="12" style="162" bestFit="1" customWidth="1"/>
    <col min="12046" max="12046" width="7.5" style="162" customWidth="1"/>
    <col min="12047" max="12047" width="7.1640625" style="162" customWidth="1"/>
    <col min="12048" max="12048" width="6.1640625" style="162"/>
    <col min="12049" max="12049" width="7.6640625" style="162" bestFit="1" customWidth="1"/>
    <col min="12050" max="12050" width="10.1640625" style="162" bestFit="1" customWidth="1"/>
    <col min="12051" max="12051" width="6.6640625" style="162" bestFit="1" customWidth="1"/>
    <col min="12052" max="12052" width="7.1640625" style="162" bestFit="1" customWidth="1"/>
    <col min="12053" max="12053" width="17.1640625" style="162" bestFit="1" customWidth="1"/>
    <col min="12054" max="12054" width="6.1640625" style="162"/>
    <col min="12055" max="12055" width="26.1640625" style="162" bestFit="1" customWidth="1"/>
    <col min="12056" max="12065" width="9.1640625" style="162" bestFit="1" customWidth="1"/>
    <col min="12066" max="12066" width="10.1640625" style="162" bestFit="1" customWidth="1"/>
    <col min="12067" max="12288" width="6.1640625" style="162"/>
    <col min="12289" max="12289" width="33.5" style="162" bestFit="1" customWidth="1"/>
    <col min="12290" max="12290" width="12" style="162" bestFit="1" customWidth="1"/>
    <col min="12291" max="12291" width="9.33203125" style="162" bestFit="1" customWidth="1"/>
    <col min="12292" max="12292" width="12" style="162" bestFit="1" customWidth="1"/>
    <col min="12293" max="12300" width="10.83203125" style="162" bestFit="1" customWidth="1"/>
    <col min="12301" max="12301" width="12" style="162" bestFit="1" customWidth="1"/>
    <col min="12302" max="12302" width="7.5" style="162" customWidth="1"/>
    <col min="12303" max="12303" width="7.1640625" style="162" customWidth="1"/>
    <col min="12304" max="12304" width="6.1640625" style="162"/>
    <col min="12305" max="12305" width="7.6640625" style="162" bestFit="1" customWidth="1"/>
    <col min="12306" max="12306" width="10.1640625" style="162" bestFit="1" customWidth="1"/>
    <col min="12307" max="12307" width="6.6640625" style="162" bestFit="1" customWidth="1"/>
    <col min="12308" max="12308" width="7.1640625" style="162" bestFit="1" customWidth="1"/>
    <col min="12309" max="12309" width="17.1640625" style="162" bestFit="1" customWidth="1"/>
    <col min="12310" max="12310" width="6.1640625" style="162"/>
    <col min="12311" max="12311" width="26.1640625" style="162" bestFit="1" customWidth="1"/>
    <col min="12312" max="12321" width="9.1640625" style="162" bestFit="1" customWidth="1"/>
    <col min="12322" max="12322" width="10.1640625" style="162" bestFit="1" customWidth="1"/>
    <col min="12323" max="12544" width="6.1640625" style="162"/>
    <col min="12545" max="12545" width="33.5" style="162" bestFit="1" customWidth="1"/>
    <col min="12546" max="12546" width="12" style="162" bestFit="1" customWidth="1"/>
    <col min="12547" max="12547" width="9.33203125" style="162" bestFit="1" customWidth="1"/>
    <col min="12548" max="12548" width="12" style="162" bestFit="1" customWidth="1"/>
    <col min="12549" max="12556" width="10.83203125" style="162" bestFit="1" customWidth="1"/>
    <col min="12557" max="12557" width="12" style="162" bestFit="1" customWidth="1"/>
    <col min="12558" max="12558" width="7.5" style="162" customWidth="1"/>
    <col min="12559" max="12559" width="7.1640625" style="162" customWidth="1"/>
    <col min="12560" max="12560" width="6.1640625" style="162"/>
    <col min="12561" max="12561" width="7.6640625" style="162" bestFit="1" customWidth="1"/>
    <col min="12562" max="12562" width="10.1640625" style="162" bestFit="1" customWidth="1"/>
    <col min="12563" max="12563" width="6.6640625" style="162" bestFit="1" customWidth="1"/>
    <col min="12564" max="12564" width="7.1640625" style="162" bestFit="1" customWidth="1"/>
    <col min="12565" max="12565" width="17.1640625" style="162" bestFit="1" customWidth="1"/>
    <col min="12566" max="12566" width="6.1640625" style="162"/>
    <col min="12567" max="12567" width="26.1640625" style="162" bestFit="1" customWidth="1"/>
    <col min="12568" max="12577" width="9.1640625" style="162" bestFit="1" customWidth="1"/>
    <col min="12578" max="12578" width="10.1640625" style="162" bestFit="1" customWidth="1"/>
    <col min="12579" max="12800" width="6.1640625" style="162"/>
    <col min="12801" max="12801" width="33.5" style="162" bestFit="1" customWidth="1"/>
    <col min="12802" max="12802" width="12" style="162" bestFit="1" customWidth="1"/>
    <col min="12803" max="12803" width="9.33203125" style="162" bestFit="1" customWidth="1"/>
    <col min="12804" max="12804" width="12" style="162" bestFit="1" customWidth="1"/>
    <col min="12805" max="12812" width="10.83203125" style="162" bestFit="1" customWidth="1"/>
    <col min="12813" max="12813" width="12" style="162" bestFit="1" customWidth="1"/>
    <col min="12814" max="12814" width="7.5" style="162" customWidth="1"/>
    <col min="12815" max="12815" width="7.1640625" style="162" customWidth="1"/>
    <col min="12816" max="12816" width="6.1640625" style="162"/>
    <col min="12817" max="12817" width="7.6640625" style="162" bestFit="1" customWidth="1"/>
    <col min="12818" max="12818" width="10.1640625" style="162" bestFit="1" customWidth="1"/>
    <col min="12819" max="12819" width="6.6640625" style="162" bestFit="1" customWidth="1"/>
    <col min="12820" max="12820" width="7.1640625" style="162" bestFit="1" customWidth="1"/>
    <col min="12821" max="12821" width="17.1640625" style="162" bestFit="1" customWidth="1"/>
    <col min="12822" max="12822" width="6.1640625" style="162"/>
    <col min="12823" max="12823" width="26.1640625" style="162" bestFit="1" customWidth="1"/>
    <col min="12824" max="12833" width="9.1640625" style="162" bestFit="1" customWidth="1"/>
    <col min="12834" max="12834" width="10.1640625" style="162" bestFit="1" customWidth="1"/>
    <col min="12835" max="13056" width="6.1640625" style="162"/>
    <col min="13057" max="13057" width="33.5" style="162" bestFit="1" customWidth="1"/>
    <col min="13058" max="13058" width="12" style="162" bestFit="1" customWidth="1"/>
    <col min="13059" max="13059" width="9.33203125" style="162" bestFit="1" customWidth="1"/>
    <col min="13060" max="13060" width="12" style="162" bestFit="1" customWidth="1"/>
    <col min="13061" max="13068" width="10.83203125" style="162" bestFit="1" customWidth="1"/>
    <col min="13069" max="13069" width="12" style="162" bestFit="1" customWidth="1"/>
    <col min="13070" max="13070" width="7.5" style="162" customWidth="1"/>
    <col min="13071" max="13071" width="7.1640625" style="162" customWidth="1"/>
    <col min="13072" max="13072" width="6.1640625" style="162"/>
    <col min="13073" max="13073" width="7.6640625" style="162" bestFit="1" customWidth="1"/>
    <col min="13074" max="13074" width="10.1640625" style="162" bestFit="1" customWidth="1"/>
    <col min="13075" max="13075" width="6.6640625" style="162" bestFit="1" customWidth="1"/>
    <col min="13076" max="13076" width="7.1640625" style="162" bestFit="1" customWidth="1"/>
    <col min="13077" max="13077" width="17.1640625" style="162" bestFit="1" customWidth="1"/>
    <col min="13078" max="13078" width="6.1640625" style="162"/>
    <col min="13079" max="13079" width="26.1640625" style="162" bestFit="1" customWidth="1"/>
    <col min="13080" max="13089" width="9.1640625" style="162" bestFit="1" customWidth="1"/>
    <col min="13090" max="13090" width="10.1640625" style="162" bestFit="1" customWidth="1"/>
    <col min="13091" max="13312" width="6.1640625" style="162"/>
    <col min="13313" max="13313" width="33.5" style="162" bestFit="1" customWidth="1"/>
    <col min="13314" max="13314" width="12" style="162" bestFit="1" customWidth="1"/>
    <col min="13315" max="13315" width="9.33203125" style="162" bestFit="1" customWidth="1"/>
    <col min="13316" max="13316" width="12" style="162" bestFit="1" customWidth="1"/>
    <col min="13317" max="13324" width="10.83203125" style="162" bestFit="1" customWidth="1"/>
    <col min="13325" max="13325" width="12" style="162" bestFit="1" customWidth="1"/>
    <col min="13326" max="13326" width="7.5" style="162" customWidth="1"/>
    <col min="13327" max="13327" width="7.1640625" style="162" customWidth="1"/>
    <col min="13328" max="13328" width="6.1640625" style="162"/>
    <col min="13329" max="13329" width="7.6640625" style="162" bestFit="1" customWidth="1"/>
    <col min="13330" max="13330" width="10.1640625" style="162" bestFit="1" customWidth="1"/>
    <col min="13331" max="13331" width="6.6640625" style="162" bestFit="1" customWidth="1"/>
    <col min="13332" max="13332" width="7.1640625" style="162" bestFit="1" customWidth="1"/>
    <col min="13333" max="13333" width="17.1640625" style="162" bestFit="1" customWidth="1"/>
    <col min="13334" max="13334" width="6.1640625" style="162"/>
    <col min="13335" max="13335" width="26.1640625" style="162" bestFit="1" customWidth="1"/>
    <col min="13336" max="13345" width="9.1640625" style="162" bestFit="1" customWidth="1"/>
    <col min="13346" max="13346" width="10.1640625" style="162" bestFit="1" customWidth="1"/>
    <col min="13347" max="13568" width="6.1640625" style="162"/>
    <col min="13569" max="13569" width="33.5" style="162" bestFit="1" customWidth="1"/>
    <col min="13570" max="13570" width="12" style="162" bestFit="1" customWidth="1"/>
    <col min="13571" max="13571" width="9.33203125" style="162" bestFit="1" customWidth="1"/>
    <col min="13572" max="13572" width="12" style="162" bestFit="1" customWidth="1"/>
    <col min="13573" max="13580" width="10.83203125" style="162" bestFit="1" customWidth="1"/>
    <col min="13581" max="13581" width="12" style="162" bestFit="1" customWidth="1"/>
    <col min="13582" max="13582" width="7.5" style="162" customWidth="1"/>
    <col min="13583" max="13583" width="7.1640625" style="162" customWidth="1"/>
    <col min="13584" max="13584" width="6.1640625" style="162"/>
    <col min="13585" max="13585" width="7.6640625" style="162" bestFit="1" customWidth="1"/>
    <col min="13586" max="13586" width="10.1640625" style="162" bestFit="1" customWidth="1"/>
    <col min="13587" max="13587" width="6.6640625" style="162" bestFit="1" customWidth="1"/>
    <col min="13588" max="13588" width="7.1640625" style="162" bestFit="1" customWidth="1"/>
    <col min="13589" max="13589" width="17.1640625" style="162" bestFit="1" customWidth="1"/>
    <col min="13590" max="13590" width="6.1640625" style="162"/>
    <col min="13591" max="13591" width="26.1640625" style="162" bestFit="1" customWidth="1"/>
    <col min="13592" max="13601" width="9.1640625" style="162" bestFit="1" customWidth="1"/>
    <col min="13602" max="13602" width="10.1640625" style="162" bestFit="1" customWidth="1"/>
    <col min="13603" max="13824" width="6.1640625" style="162"/>
    <col min="13825" max="13825" width="33.5" style="162" bestFit="1" customWidth="1"/>
    <col min="13826" max="13826" width="12" style="162" bestFit="1" customWidth="1"/>
    <col min="13827" max="13827" width="9.33203125" style="162" bestFit="1" customWidth="1"/>
    <col min="13828" max="13828" width="12" style="162" bestFit="1" customWidth="1"/>
    <col min="13829" max="13836" width="10.83203125" style="162" bestFit="1" customWidth="1"/>
    <col min="13837" max="13837" width="12" style="162" bestFit="1" customWidth="1"/>
    <col min="13838" max="13838" width="7.5" style="162" customWidth="1"/>
    <col min="13839" max="13839" width="7.1640625" style="162" customWidth="1"/>
    <col min="13840" max="13840" width="6.1640625" style="162"/>
    <col min="13841" max="13841" width="7.6640625" style="162" bestFit="1" customWidth="1"/>
    <col min="13842" max="13842" width="10.1640625" style="162" bestFit="1" customWidth="1"/>
    <col min="13843" max="13843" width="6.6640625" style="162" bestFit="1" customWidth="1"/>
    <col min="13844" max="13844" width="7.1640625" style="162" bestFit="1" customWidth="1"/>
    <col min="13845" max="13845" width="17.1640625" style="162" bestFit="1" customWidth="1"/>
    <col min="13846" max="13846" width="6.1640625" style="162"/>
    <col min="13847" max="13847" width="26.1640625" style="162" bestFit="1" customWidth="1"/>
    <col min="13848" max="13857" width="9.1640625" style="162" bestFit="1" customWidth="1"/>
    <col min="13858" max="13858" width="10.1640625" style="162" bestFit="1" customWidth="1"/>
    <col min="13859" max="14080" width="6.1640625" style="162"/>
    <col min="14081" max="14081" width="33.5" style="162" bestFit="1" customWidth="1"/>
    <col min="14082" max="14082" width="12" style="162" bestFit="1" customWidth="1"/>
    <col min="14083" max="14083" width="9.33203125" style="162" bestFit="1" customWidth="1"/>
    <col min="14084" max="14084" width="12" style="162" bestFit="1" customWidth="1"/>
    <col min="14085" max="14092" width="10.83203125" style="162" bestFit="1" customWidth="1"/>
    <col min="14093" max="14093" width="12" style="162" bestFit="1" customWidth="1"/>
    <col min="14094" max="14094" width="7.5" style="162" customWidth="1"/>
    <col min="14095" max="14095" width="7.1640625" style="162" customWidth="1"/>
    <col min="14096" max="14096" width="6.1640625" style="162"/>
    <col min="14097" max="14097" width="7.6640625" style="162" bestFit="1" customWidth="1"/>
    <col min="14098" max="14098" width="10.1640625" style="162" bestFit="1" customWidth="1"/>
    <col min="14099" max="14099" width="6.6640625" style="162" bestFit="1" customWidth="1"/>
    <col min="14100" max="14100" width="7.1640625" style="162" bestFit="1" customWidth="1"/>
    <col min="14101" max="14101" width="17.1640625" style="162" bestFit="1" customWidth="1"/>
    <col min="14102" max="14102" width="6.1640625" style="162"/>
    <col min="14103" max="14103" width="26.1640625" style="162" bestFit="1" customWidth="1"/>
    <col min="14104" max="14113" width="9.1640625" style="162" bestFit="1" customWidth="1"/>
    <col min="14114" max="14114" width="10.1640625" style="162" bestFit="1" customWidth="1"/>
    <col min="14115" max="14336" width="6.1640625" style="162"/>
    <col min="14337" max="14337" width="33.5" style="162" bestFit="1" customWidth="1"/>
    <col min="14338" max="14338" width="12" style="162" bestFit="1" customWidth="1"/>
    <col min="14339" max="14339" width="9.33203125" style="162" bestFit="1" customWidth="1"/>
    <col min="14340" max="14340" width="12" style="162" bestFit="1" customWidth="1"/>
    <col min="14341" max="14348" width="10.83203125" style="162" bestFit="1" customWidth="1"/>
    <col min="14349" max="14349" width="12" style="162" bestFit="1" customWidth="1"/>
    <col min="14350" max="14350" width="7.5" style="162" customWidth="1"/>
    <col min="14351" max="14351" width="7.1640625" style="162" customWidth="1"/>
    <col min="14352" max="14352" width="6.1640625" style="162"/>
    <col min="14353" max="14353" width="7.6640625" style="162" bestFit="1" customWidth="1"/>
    <col min="14354" max="14354" width="10.1640625" style="162" bestFit="1" customWidth="1"/>
    <col min="14355" max="14355" width="6.6640625" style="162" bestFit="1" customWidth="1"/>
    <col min="14356" max="14356" width="7.1640625" style="162" bestFit="1" customWidth="1"/>
    <col min="14357" max="14357" width="17.1640625" style="162" bestFit="1" customWidth="1"/>
    <col min="14358" max="14358" width="6.1640625" style="162"/>
    <col min="14359" max="14359" width="26.1640625" style="162" bestFit="1" customWidth="1"/>
    <col min="14360" max="14369" width="9.1640625" style="162" bestFit="1" customWidth="1"/>
    <col min="14370" max="14370" width="10.1640625" style="162" bestFit="1" customWidth="1"/>
    <col min="14371" max="14592" width="6.1640625" style="162"/>
    <col min="14593" max="14593" width="33.5" style="162" bestFit="1" customWidth="1"/>
    <col min="14594" max="14594" width="12" style="162" bestFit="1" customWidth="1"/>
    <col min="14595" max="14595" width="9.33203125" style="162" bestFit="1" customWidth="1"/>
    <col min="14596" max="14596" width="12" style="162" bestFit="1" customWidth="1"/>
    <col min="14597" max="14604" width="10.83203125" style="162" bestFit="1" customWidth="1"/>
    <col min="14605" max="14605" width="12" style="162" bestFit="1" customWidth="1"/>
    <col min="14606" max="14606" width="7.5" style="162" customWidth="1"/>
    <col min="14607" max="14607" width="7.1640625" style="162" customWidth="1"/>
    <col min="14608" max="14608" width="6.1640625" style="162"/>
    <col min="14609" max="14609" width="7.6640625" style="162" bestFit="1" customWidth="1"/>
    <col min="14610" max="14610" width="10.1640625" style="162" bestFit="1" customWidth="1"/>
    <col min="14611" max="14611" width="6.6640625" style="162" bestFit="1" customWidth="1"/>
    <col min="14612" max="14612" width="7.1640625" style="162" bestFit="1" customWidth="1"/>
    <col min="14613" max="14613" width="17.1640625" style="162" bestFit="1" customWidth="1"/>
    <col min="14614" max="14614" width="6.1640625" style="162"/>
    <col min="14615" max="14615" width="26.1640625" style="162" bestFit="1" customWidth="1"/>
    <col min="14616" max="14625" width="9.1640625" style="162" bestFit="1" customWidth="1"/>
    <col min="14626" max="14626" width="10.1640625" style="162" bestFit="1" customWidth="1"/>
    <col min="14627" max="14848" width="6.1640625" style="162"/>
    <col min="14849" max="14849" width="33.5" style="162" bestFit="1" customWidth="1"/>
    <col min="14850" max="14850" width="12" style="162" bestFit="1" customWidth="1"/>
    <col min="14851" max="14851" width="9.33203125" style="162" bestFit="1" customWidth="1"/>
    <col min="14852" max="14852" width="12" style="162" bestFit="1" customWidth="1"/>
    <col min="14853" max="14860" width="10.83203125" style="162" bestFit="1" customWidth="1"/>
    <col min="14861" max="14861" width="12" style="162" bestFit="1" customWidth="1"/>
    <col min="14862" max="14862" width="7.5" style="162" customWidth="1"/>
    <col min="14863" max="14863" width="7.1640625" style="162" customWidth="1"/>
    <col min="14864" max="14864" width="6.1640625" style="162"/>
    <col min="14865" max="14865" width="7.6640625" style="162" bestFit="1" customWidth="1"/>
    <col min="14866" max="14866" width="10.1640625" style="162" bestFit="1" customWidth="1"/>
    <col min="14867" max="14867" width="6.6640625" style="162" bestFit="1" customWidth="1"/>
    <col min="14868" max="14868" width="7.1640625" style="162" bestFit="1" customWidth="1"/>
    <col min="14869" max="14869" width="17.1640625" style="162" bestFit="1" customWidth="1"/>
    <col min="14870" max="14870" width="6.1640625" style="162"/>
    <col min="14871" max="14871" width="26.1640625" style="162" bestFit="1" customWidth="1"/>
    <col min="14872" max="14881" width="9.1640625" style="162" bestFit="1" customWidth="1"/>
    <col min="14882" max="14882" width="10.1640625" style="162" bestFit="1" customWidth="1"/>
    <col min="14883" max="15104" width="6.1640625" style="162"/>
    <col min="15105" max="15105" width="33.5" style="162" bestFit="1" customWidth="1"/>
    <col min="15106" max="15106" width="12" style="162" bestFit="1" customWidth="1"/>
    <col min="15107" max="15107" width="9.33203125" style="162" bestFit="1" customWidth="1"/>
    <col min="15108" max="15108" width="12" style="162" bestFit="1" customWidth="1"/>
    <col min="15109" max="15116" width="10.83203125" style="162" bestFit="1" customWidth="1"/>
    <col min="15117" max="15117" width="12" style="162" bestFit="1" customWidth="1"/>
    <col min="15118" max="15118" width="7.5" style="162" customWidth="1"/>
    <col min="15119" max="15119" width="7.1640625" style="162" customWidth="1"/>
    <col min="15120" max="15120" width="6.1640625" style="162"/>
    <col min="15121" max="15121" width="7.6640625" style="162" bestFit="1" customWidth="1"/>
    <col min="15122" max="15122" width="10.1640625" style="162" bestFit="1" customWidth="1"/>
    <col min="15123" max="15123" width="6.6640625" style="162" bestFit="1" customWidth="1"/>
    <col min="15124" max="15124" width="7.1640625" style="162" bestFit="1" customWidth="1"/>
    <col min="15125" max="15125" width="17.1640625" style="162" bestFit="1" customWidth="1"/>
    <col min="15126" max="15126" width="6.1640625" style="162"/>
    <col min="15127" max="15127" width="26.1640625" style="162" bestFit="1" customWidth="1"/>
    <col min="15128" max="15137" width="9.1640625" style="162" bestFit="1" customWidth="1"/>
    <col min="15138" max="15138" width="10.1640625" style="162" bestFit="1" customWidth="1"/>
    <col min="15139" max="15360" width="6.1640625" style="162"/>
    <col min="15361" max="15361" width="33.5" style="162" bestFit="1" customWidth="1"/>
    <col min="15362" max="15362" width="12" style="162" bestFit="1" customWidth="1"/>
    <col min="15363" max="15363" width="9.33203125" style="162" bestFit="1" customWidth="1"/>
    <col min="15364" max="15364" width="12" style="162" bestFit="1" customWidth="1"/>
    <col min="15365" max="15372" width="10.83203125" style="162" bestFit="1" customWidth="1"/>
    <col min="15373" max="15373" width="12" style="162" bestFit="1" customWidth="1"/>
    <col min="15374" max="15374" width="7.5" style="162" customWidth="1"/>
    <col min="15375" max="15375" width="7.1640625" style="162" customWidth="1"/>
    <col min="15376" max="15376" width="6.1640625" style="162"/>
    <col min="15377" max="15377" width="7.6640625" style="162" bestFit="1" customWidth="1"/>
    <col min="15378" max="15378" width="10.1640625" style="162" bestFit="1" customWidth="1"/>
    <col min="15379" max="15379" width="6.6640625" style="162" bestFit="1" customWidth="1"/>
    <col min="15380" max="15380" width="7.1640625" style="162" bestFit="1" customWidth="1"/>
    <col min="15381" max="15381" width="17.1640625" style="162" bestFit="1" customWidth="1"/>
    <col min="15382" max="15382" width="6.1640625" style="162"/>
    <col min="15383" max="15383" width="26.1640625" style="162" bestFit="1" customWidth="1"/>
    <col min="15384" max="15393" width="9.1640625" style="162" bestFit="1" customWidth="1"/>
    <col min="15394" max="15394" width="10.1640625" style="162" bestFit="1" customWidth="1"/>
    <col min="15395" max="15616" width="6.1640625" style="162"/>
    <col min="15617" max="15617" width="33.5" style="162" bestFit="1" customWidth="1"/>
    <col min="15618" max="15618" width="12" style="162" bestFit="1" customWidth="1"/>
    <col min="15619" max="15619" width="9.33203125" style="162" bestFit="1" customWidth="1"/>
    <col min="15620" max="15620" width="12" style="162" bestFit="1" customWidth="1"/>
    <col min="15621" max="15628" width="10.83203125" style="162" bestFit="1" customWidth="1"/>
    <col min="15629" max="15629" width="12" style="162" bestFit="1" customWidth="1"/>
    <col min="15630" max="15630" width="7.5" style="162" customWidth="1"/>
    <col min="15631" max="15631" width="7.1640625" style="162" customWidth="1"/>
    <col min="15632" max="15632" width="6.1640625" style="162"/>
    <col min="15633" max="15633" width="7.6640625" style="162" bestFit="1" customWidth="1"/>
    <col min="15634" max="15634" width="10.1640625" style="162" bestFit="1" customWidth="1"/>
    <col min="15635" max="15635" width="6.6640625" style="162" bestFit="1" customWidth="1"/>
    <col min="15636" max="15636" width="7.1640625" style="162" bestFit="1" customWidth="1"/>
    <col min="15637" max="15637" width="17.1640625" style="162" bestFit="1" customWidth="1"/>
    <col min="15638" max="15638" width="6.1640625" style="162"/>
    <col min="15639" max="15639" width="26.1640625" style="162" bestFit="1" customWidth="1"/>
    <col min="15640" max="15649" width="9.1640625" style="162" bestFit="1" customWidth="1"/>
    <col min="15650" max="15650" width="10.1640625" style="162" bestFit="1" customWidth="1"/>
    <col min="15651" max="15872" width="6.1640625" style="162"/>
    <col min="15873" max="15873" width="33.5" style="162" bestFit="1" customWidth="1"/>
    <col min="15874" max="15874" width="12" style="162" bestFit="1" customWidth="1"/>
    <col min="15875" max="15875" width="9.33203125" style="162" bestFit="1" customWidth="1"/>
    <col min="15876" max="15876" width="12" style="162" bestFit="1" customWidth="1"/>
    <col min="15877" max="15884" width="10.83203125" style="162" bestFit="1" customWidth="1"/>
    <col min="15885" max="15885" width="12" style="162" bestFit="1" customWidth="1"/>
    <col min="15886" max="15886" width="7.5" style="162" customWidth="1"/>
    <col min="15887" max="15887" width="7.1640625" style="162" customWidth="1"/>
    <col min="15888" max="15888" width="6.1640625" style="162"/>
    <col min="15889" max="15889" width="7.6640625" style="162" bestFit="1" customWidth="1"/>
    <col min="15890" max="15890" width="10.1640625" style="162" bestFit="1" customWidth="1"/>
    <col min="15891" max="15891" width="6.6640625" style="162" bestFit="1" customWidth="1"/>
    <col min="15892" max="15892" width="7.1640625" style="162" bestFit="1" customWidth="1"/>
    <col min="15893" max="15893" width="17.1640625" style="162" bestFit="1" customWidth="1"/>
    <col min="15894" max="15894" width="6.1640625" style="162"/>
    <col min="15895" max="15895" width="26.1640625" style="162" bestFit="1" customWidth="1"/>
    <col min="15896" max="15905" width="9.1640625" style="162" bestFit="1" customWidth="1"/>
    <col min="15906" max="15906" width="10.1640625" style="162" bestFit="1" customWidth="1"/>
    <col min="15907" max="16128" width="6.1640625" style="162"/>
    <col min="16129" max="16129" width="33.5" style="162" bestFit="1" customWidth="1"/>
    <col min="16130" max="16130" width="12" style="162" bestFit="1" customWidth="1"/>
    <col min="16131" max="16131" width="9.33203125" style="162" bestFit="1" customWidth="1"/>
    <col min="16132" max="16132" width="12" style="162" bestFit="1" customWidth="1"/>
    <col min="16133" max="16140" width="10.83203125" style="162" bestFit="1" customWidth="1"/>
    <col min="16141" max="16141" width="12" style="162" bestFit="1" customWidth="1"/>
    <col min="16142" max="16142" width="7.5" style="162" customWidth="1"/>
    <col min="16143" max="16143" width="7.1640625" style="162" customWidth="1"/>
    <col min="16144" max="16144" width="6.1640625" style="162"/>
    <col min="16145" max="16145" width="7.6640625" style="162" bestFit="1" customWidth="1"/>
    <col min="16146" max="16146" width="10.1640625" style="162" bestFit="1" customWidth="1"/>
    <col min="16147" max="16147" width="6.6640625" style="162" bestFit="1" customWidth="1"/>
    <col min="16148" max="16148" width="7.1640625" style="162" bestFit="1" customWidth="1"/>
    <col min="16149" max="16149" width="17.1640625" style="162" bestFit="1" customWidth="1"/>
    <col min="16150" max="16150" width="6.1640625" style="162"/>
    <col min="16151" max="16151" width="26.1640625" style="162" bestFit="1" customWidth="1"/>
    <col min="16152" max="16161" width="9.1640625" style="162" bestFit="1" customWidth="1"/>
    <col min="16162" max="16162" width="10.1640625" style="162" bestFit="1" customWidth="1"/>
    <col min="16163" max="16384" width="6.1640625" style="162"/>
  </cols>
  <sheetData>
    <row r="1" spans="1:34" ht="14" thickBot="1">
      <c r="A1" s="1067" t="s">
        <v>94</v>
      </c>
      <c r="B1" s="1068"/>
      <c r="C1" s="213" t="s">
        <v>95</v>
      </c>
      <c r="D1" s="213" t="s">
        <v>96</v>
      </c>
      <c r="E1" s="214" t="s">
        <v>97</v>
      </c>
      <c r="F1" s="212"/>
      <c r="G1" s="215" t="s">
        <v>93</v>
      </c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7"/>
      <c r="S1" s="231"/>
      <c r="T1" s="231"/>
    </row>
    <row r="2" spans="1:34">
      <c r="A2" s="73" t="s">
        <v>109</v>
      </c>
      <c r="B2" s="66" t="s">
        <v>110</v>
      </c>
      <c r="C2" s="68"/>
      <c r="D2" s="68"/>
      <c r="E2" s="113"/>
      <c r="F2" s="212"/>
      <c r="G2" s="218" t="s">
        <v>176</v>
      </c>
      <c r="H2" s="223" t="s">
        <v>98</v>
      </c>
      <c r="I2" s="223" t="s">
        <v>99</v>
      </c>
      <c r="J2" s="223" t="s">
        <v>100</v>
      </c>
      <c r="K2" s="223" t="s">
        <v>101</v>
      </c>
      <c r="L2" s="223" t="s">
        <v>102</v>
      </c>
      <c r="M2" s="223" t="s">
        <v>103</v>
      </c>
      <c r="N2" s="223" t="s">
        <v>104</v>
      </c>
      <c r="O2" s="223" t="s">
        <v>105</v>
      </c>
      <c r="P2" s="223" t="s">
        <v>106</v>
      </c>
      <c r="Q2" s="223" t="s">
        <v>107</v>
      </c>
      <c r="R2" s="224" t="s">
        <v>108</v>
      </c>
      <c r="S2" s="231"/>
      <c r="T2" s="231"/>
      <c r="W2" s="163"/>
    </row>
    <row r="3" spans="1:34">
      <c r="A3" s="73">
        <v>-100000</v>
      </c>
      <c r="B3" s="66">
        <v>0.19999900000000001</v>
      </c>
      <c r="C3" s="66" t="s">
        <v>112</v>
      </c>
      <c r="D3" s="76">
        <v>0.12</v>
      </c>
      <c r="E3" s="77">
        <v>0.9</v>
      </c>
      <c r="F3" s="212"/>
      <c r="G3" s="219" t="s">
        <v>111</v>
      </c>
      <c r="H3" s="166"/>
      <c r="I3" s="74">
        <f>MAX(MIN('Restructuration cap'!$W$31/H7,100000),-100000)</f>
        <v>5.5203459865172482</v>
      </c>
      <c r="J3" s="74">
        <f>MAX(MIN('Restructuration cap'!$W$31/I7,100000),-100000)</f>
        <v>3.525987202030112</v>
      </c>
      <c r="K3" s="74">
        <f>MAX(MIN('Restructuration cap'!$W$31/J7,100000),-100000)</f>
        <v>3.2134293323272156</v>
      </c>
      <c r="L3" s="74">
        <f>MAX(MIN('Restructuration cap'!$W$31/K7,100000),-100000)</f>
        <v>3.2134293323272156</v>
      </c>
      <c r="M3" s="74">
        <f>MAX(MIN('Restructuration cap'!$W$31/L7,100000),-100000)</f>
        <v>3.2134293323272156</v>
      </c>
      <c r="N3" s="74">
        <f>MAX(MIN('Restructuration cap'!$W$31/M7,100000),-100000)</f>
        <v>3.2134293323272156</v>
      </c>
      <c r="O3" s="74">
        <f>MAX(MIN('Restructuration cap'!$W$31/N7,100000),-100000)</f>
        <v>3.2134293323272156</v>
      </c>
      <c r="P3" s="74">
        <f>MAX(MIN('Restructuration cap'!$W$31/O7,100000),-100000)</f>
        <v>3.2134293323272156</v>
      </c>
      <c r="Q3" s="74">
        <f>MAX(MIN('Restructuration cap'!$W$31/P7,100000),-100000)</f>
        <v>3.2134293323272156</v>
      </c>
      <c r="R3" s="75">
        <f>MAX(MIN('Restructuration cap'!$W$31/Q7,100000),-100000)</f>
        <v>3.2134293323272156</v>
      </c>
      <c r="S3" s="764"/>
      <c r="T3" s="764"/>
      <c r="U3" s="164"/>
      <c r="W3" s="163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</row>
    <row r="4" spans="1:34">
      <c r="A4" s="73">
        <v>0.2</v>
      </c>
      <c r="B4" s="66">
        <v>0.64999899999999999</v>
      </c>
      <c r="C4" s="66" t="s">
        <v>114</v>
      </c>
      <c r="D4" s="76">
        <v>0.105</v>
      </c>
      <c r="E4" s="77">
        <v>0.3</v>
      </c>
      <c r="F4" s="212"/>
      <c r="G4" s="219" t="s">
        <v>113</v>
      </c>
      <c r="H4" s="166"/>
      <c r="I4" s="78" t="str">
        <f>VLOOKUP(I3,$A$2:$E$17,3)</f>
        <v>A+</v>
      </c>
      <c r="J4" s="78" t="str">
        <f t="shared" ref="J4:R4" si="0">VLOOKUP(J3,$A$2:$E$17,3)</f>
        <v>A-</v>
      </c>
      <c r="K4" s="78" t="str">
        <f t="shared" si="0"/>
        <v>A-</v>
      </c>
      <c r="L4" s="78" t="str">
        <f t="shared" si="0"/>
        <v>A-</v>
      </c>
      <c r="M4" s="78" t="str">
        <f t="shared" si="0"/>
        <v>A-</v>
      </c>
      <c r="N4" s="78" t="str">
        <f t="shared" si="0"/>
        <v>A-</v>
      </c>
      <c r="O4" s="78" t="str">
        <f t="shared" si="0"/>
        <v>A-</v>
      </c>
      <c r="P4" s="78" t="str">
        <f t="shared" si="0"/>
        <v>A-</v>
      </c>
      <c r="Q4" s="78" t="str">
        <f t="shared" si="0"/>
        <v>A-</v>
      </c>
      <c r="R4" s="79" t="str">
        <f t="shared" si="0"/>
        <v>A-</v>
      </c>
      <c r="S4" s="231"/>
      <c r="T4" s="231"/>
      <c r="W4" s="165"/>
      <c r="X4" s="166"/>
      <c r="Y4" s="74"/>
      <c r="Z4" s="74"/>
      <c r="AA4" s="74"/>
      <c r="AB4" s="74"/>
      <c r="AC4" s="74"/>
      <c r="AD4" s="74"/>
      <c r="AE4" s="74"/>
      <c r="AF4" s="74"/>
      <c r="AG4" s="74"/>
      <c r="AH4" s="74"/>
    </row>
    <row r="5" spans="1:34">
      <c r="A5" s="73">
        <v>0.65</v>
      </c>
      <c r="B5" s="66">
        <v>0.79999900000000002</v>
      </c>
      <c r="C5" s="66" t="s">
        <v>116</v>
      </c>
      <c r="D5" s="76">
        <v>9.5000000000000001E-2</v>
      </c>
      <c r="E5" s="77">
        <v>0.2</v>
      </c>
      <c r="F5" s="212"/>
      <c r="G5" s="219" t="s">
        <v>115</v>
      </c>
      <c r="H5" s="166"/>
      <c r="I5" s="70">
        <f>VLOOKUP(I3,$A$2:$E$17,4)</f>
        <v>1.2999999999999999E-2</v>
      </c>
      <c r="J5" s="70">
        <f t="shared" ref="J5:R5" si="1">VLOOKUP(J3,$A$2:$E$17,4)</f>
        <v>1.6500000000000001E-2</v>
      </c>
      <c r="K5" s="70">
        <f t="shared" si="1"/>
        <v>1.6500000000000001E-2</v>
      </c>
      <c r="L5" s="70">
        <f t="shared" si="1"/>
        <v>1.6500000000000001E-2</v>
      </c>
      <c r="M5" s="70">
        <f t="shared" si="1"/>
        <v>1.6500000000000001E-2</v>
      </c>
      <c r="N5" s="70">
        <f t="shared" si="1"/>
        <v>1.6500000000000001E-2</v>
      </c>
      <c r="O5" s="70">
        <f t="shared" si="1"/>
        <v>1.6500000000000001E-2</v>
      </c>
      <c r="P5" s="70">
        <f t="shared" si="1"/>
        <v>1.6500000000000001E-2</v>
      </c>
      <c r="Q5" s="70">
        <f t="shared" si="1"/>
        <v>1.6500000000000001E-2</v>
      </c>
      <c r="R5" s="80">
        <f t="shared" si="1"/>
        <v>1.6500000000000001E-2</v>
      </c>
      <c r="S5" s="765"/>
      <c r="T5" s="766"/>
      <c r="U5" s="167"/>
      <c r="W5" s="165"/>
      <c r="X5" s="166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pans="1:34">
      <c r="A6" s="73">
        <v>0.8</v>
      </c>
      <c r="B6" s="66">
        <v>1.2499990000000001</v>
      </c>
      <c r="C6" s="66" t="s">
        <v>118</v>
      </c>
      <c r="D6" s="76">
        <v>8.7499999999999994E-2</v>
      </c>
      <c r="E6" s="77">
        <v>9.9000000000000005E-2</v>
      </c>
      <c r="F6" s="212"/>
      <c r="G6" s="219" t="s">
        <v>117</v>
      </c>
      <c r="H6" s="166"/>
      <c r="I6" s="70">
        <f>I5+(Rates!$H$4)</f>
        <v>3.5983744942452267E-2</v>
      </c>
      <c r="J6" s="70">
        <f>J5+(Rates!$H$4)</f>
        <v>3.948374494245227E-2</v>
      </c>
      <c r="K6" s="70">
        <f>K5+(Rates!$H$4)</f>
        <v>3.948374494245227E-2</v>
      </c>
      <c r="L6" s="70">
        <f>L5+(Rates!$H$4)</f>
        <v>3.948374494245227E-2</v>
      </c>
      <c r="M6" s="70">
        <f>M5+(Rates!$H$4)</f>
        <v>3.948374494245227E-2</v>
      </c>
      <c r="N6" s="70">
        <f>N5+(Rates!$H$4)</f>
        <v>3.948374494245227E-2</v>
      </c>
      <c r="O6" s="70">
        <f>O5+(Rates!$H$4)</f>
        <v>3.948374494245227E-2</v>
      </c>
      <c r="P6" s="70">
        <f>P5+(Rates!$H$4)</f>
        <v>3.948374494245227E-2</v>
      </c>
      <c r="Q6" s="70">
        <f>Q5+(Rates!$H$4)</f>
        <v>3.948374494245227E-2</v>
      </c>
      <c r="R6" s="80">
        <f>R5+(Rates!$H$4)</f>
        <v>3.948374494245227E-2</v>
      </c>
      <c r="S6" s="765"/>
      <c r="T6" s="766"/>
      <c r="U6" s="167"/>
      <c r="W6" s="165"/>
      <c r="X6" s="166"/>
      <c r="Y6" s="70"/>
      <c r="Z6" s="70"/>
      <c r="AA6" s="70"/>
      <c r="AB6" s="70"/>
      <c r="AC6" s="70"/>
      <c r="AD6" s="70"/>
      <c r="AE6" s="70"/>
      <c r="AF6" s="70"/>
      <c r="AG6" s="70"/>
      <c r="AH6" s="70"/>
    </row>
    <row r="7" spans="1:34">
      <c r="A7" s="73">
        <v>1.25</v>
      </c>
      <c r="B7" s="66">
        <v>1.4999990000000001</v>
      </c>
      <c r="C7" s="66" t="s">
        <v>119</v>
      </c>
      <c r="D7" s="76">
        <v>6.7500000000000004E-2</v>
      </c>
      <c r="E7" s="77">
        <v>7.0000000000000007E-2</v>
      </c>
      <c r="F7" s="212"/>
      <c r="G7" s="219" t="s">
        <v>201</v>
      </c>
      <c r="H7" s="205">
        <f>'Leverage and Restructuration'!$C$16*(Rates!H4)</f>
        <v>743.80533623107965</v>
      </c>
      <c r="I7" s="205">
        <f>'Leverage and Restructuration'!$C$16*I6</f>
        <v>1164.5143806107005</v>
      </c>
      <c r="J7" s="205">
        <f>'Leverage and Restructuration'!$C$16*J6</f>
        <v>1277.7822002513676</v>
      </c>
      <c r="K7" s="205">
        <f>'Leverage and Restructuration'!$C$16*K6</f>
        <v>1277.7822002513676</v>
      </c>
      <c r="L7" s="205">
        <f>'Leverage and Restructuration'!$C$16*L6</f>
        <v>1277.7822002513676</v>
      </c>
      <c r="M7" s="205">
        <f>'Leverage and Restructuration'!$C$16*M6</f>
        <v>1277.7822002513676</v>
      </c>
      <c r="N7" s="205">
        <f>'Leverage and Restructuration'!$C$16*N6</f>
        <v>1277.7822002513676</v>
      </c>
      <c r="O7" s="205">
        <f>'Leverage and Restructuration'!$C$16*O6</f>
        <v>1277.7822002513676</v>
      </c>
      <c r="P7" s="205">
        <f>'Leverage and Restructuration'!$C$16*P6</f>
        <v>1277.7822002513676</v>
      </c>
      <c r="Q7" s="205">
        <f>'Leverage and Restructuration'!$C$16*Q6</f>
        <v>1277.7822002513676</v>
      </c>
      <c r="R7" s="206">
        <f>'Leverage and Restructuration'!$C$16*R6</f>
        <v>1277.7822002513676</v>
      </c>
      <c r="S7" s="765"/>
      <c r="T7" s="766"/>
      <c r="U7" s="167"/>
      <c r="W7" s="165"/>
      <c r="X7" s="166"/>
      <c r="Y7" s="70"/>
      <c r="Z7" s="70"/>
      <c r="AA7" s="70"/>
      <c r="AB7" s="70"/>
      <c r="AC7" s="70"/>
      <c r="AD7" s="70"/>
      <c r="AE7" s="70"/>
      <c r="AF7" s="70"/>
      <c r="AG7" s="70"/>
      <c r="AH7" s="70"/>
    </row>
    <row r="8" spans="1:34" ht="13" customHeight="1">
      <c r="A8" s="73">
        <v>1.5</v>
      </c>
      <c r="B8" s="66">
        <v>1.7499990000000001</v>
      </c>
      <c r="C8" s="66" t="s">
        <v>121</v>
      </c>
      <c r="D8" s="76">
        <v>0.06</v>
      </c>
      <c r="E8" s="77">
        <v>5.1999999999999998E-2</v>
      </c>
      <c r="F8" s="212"/>
      <c r="G8" s="219" t="s">
        <v>120</v>
      </c>
      <c r="H8" s="81"/>
      <c r="I8" s="70">
        <f>VLOOKUP(I3,$A$2:$E$17,5)</f>
        <v>1.5E-3</v>
      </c>
      <c r="J8" s="70">
        <f t="shared" ref="J8:R8" si="2">VLOOKUP(J3,$A$2:$E$17,5)</f>
        <v>3.0000000000000001E-3</v>
      </c>
      <c r="K8" s="70">
        <f t="shared" si="2"/>
        <v>3.0000000000000001E-3</v>
      </c>
      <c r="L8" s="70">
        <f t="shared" si="2"/>
        <v>3.0000000000000001E-3</v>
      </c>
      <c r="M8" s="70">
        <f t="shared" si="2"/>
        <v>3.0000000000000001E-3</v>
      </c>
      <c r="N8" s="70">
        <f t="shared" si="2"/>
        <v>3.0000000000000001E-3</v>
      </c>
      <c r="O8" s="70">
        <f t="shared" si="2"/>
        <v>3.0000000000000001E-3</v>
      </c>
      <c r="P8" s="70">
        <f t="shared" si="2"/>
        <v>3.0000000000000001E-3</v>
      </c>
      <c r="Q8" s="70">
        <f t="shared" si="2"/>
        <v>3.0000000000000001E-3</v>
      </c>
      <c r="R8" s="80">
        <f t="shared" si="2"/>
        <v>3.0000000000000001E-3</v>
      </c>
      <c r="S8" s="765"/>
      <c r="T8" s="766"/>
      <c r="U8" s="167"/>
      <c r="W8" s="165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ht="13" customHeight="1" thickBot="1">
      <c r="A9" s="73">
        <v>1.75</v>
      </c>
      <c r="B9" s="66">
        <v>1.9999990000000001</v>
      </c>
      <c r="C9" s="66" t="s">
        <v>122</v>
      </c>
      <c r="D9" s="76">
        <v>5.5E-2</v>
      </c>
      <c r="E9" s="77">
        <v>0.03</v>
      </c>
      <c r="F9" s="212"/>
      <c r="G9" s="220" t="s">
        <v>92</v>
      </c>
      <c r="H9" s="82"/>
      <c r="I9" s="83">
        <f>(1-I8+I8*$B$23)*(1+I6) -1</f>
        <v>3.5066899328178192E-2</v>
      </c>
      <c r="J9" s="83">
        <f t="shared" ref="J9:R9" si="3">(1-J8+J8*$B$23)*(1+J6) -1</f>
        <v>3.7643858713904077E-2</v>
      </c>
      <c r="K9" s="83">
        <f t="shared" si="3"/>
        <v>3.7643858713904077E-2</v>
      </c>
      <c r="L9" s="83">
        <f t="shared" si="3"/>
        <v>3.7643858713904077E-2</v>
      </c>
      <c r="M9" s="83">
        <f t="shared" si="3"/>
        <v>3.7643858713904077E-2</v>
      </c>
      <c r="N9" s="83">
        <f t="shared" si="3"/>
        <v>3.7643858713904077E-2</v>
      </c>
      <c r="O9" s="83">
        <f t="shared" si="3"/>
        <v>3.7643858713904077E-2</v>
      </c>
      <c r="P9" s="83">
        <f t="shared" si="3"/>
        <v>3.7643858713904077E-2</v>
      </c>
      <c r="Q9" s="83">
        <f t="shared" si="3"/>
        <v>3.7643858713904077E-2</v>
      </c>
      <c r="R9" s="84">
        <f t="shared" si="3"/>
        <v>3.7643858713904077E-2</v>
      </c>
      <c r="S9" s="765"/>
      <c r="T9" s="766"/>
      <c r="U9" s="167"/>
      <c r="W9" s="165"/>
      <c r="X9" s="81"/>
      <c r="Y9" s="70"/>
      <c r="Z9" s="70"/>
      <c r="AA9" s="70"/>
      <c r="AB9" s="70"/>
      <c r="AC9" s="70"/>
      <c r="AD9" s="70"/>
      <c r="AE9" s="70"/>
      <c r="AF9" s="70"/>
      <c r="AG9" s="70"/>
      <c r="AH9" s="70"/>
    </row>
    <row r="10" spans="1:34">
      <c r="A10" s="73">
        <v>2</v>
      </c>
      <c r="B10" s="66">
        <v>2.2499999000000002</v>
      </c>
      <c r="C10" s="66" t="s">
        <v>123</v>
      </c>
      <c r="D10" s="76">
        <v>4.7500000000000001E-2</v>
      </c>
      <c r="E10" s="77">
        <v>2.1000000000000001E-2</v>
      </c>
      <c r="F10" s="212"/>
      <c r="G10" s="225"/>
      <c r="H10" s="226"/>
      <c r="I10" s="227"/>
      <c r="J10" s="227"/>
      <c r="K10" s="227"/>
      <c r="L10" s="227"/>
      <c r="M10" s="227"/>
      <c r="N10" s="227"/>
      <c r="O10" s="227"/>
      <c r="P10" s="227"/>
      <c r="Q10" s="227"/>
      <c r="R10" s="228"/>
      <c r="S10" s="765"/>
      <c r="T10" s="766"/>
      <c r="U10" s="167"/>
      <c r="W10" s="165"/>
      <c r="X10" s="166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</row>
    <row r="11" spans="1:34" ht="14" thickBot="1">
      <c r="A11" s="73">
        <v>2.25</v>
      </c>
      <c r="B11" s="66">
        <v>2.4999899999999999</v>
      </c>
      <c r="C11" s="66" t="s">
        <v>124</v>
      </c>
      <c r="D11" s="76">
        <v>3.7499999999999999E-2</v>
      </c>
      <c r="E11" s="77">
        <v>0.01</v>
      </c>
      <c r="F11" s="212"/>
      <c r="G11" s="229"/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765"/>
      <c r="T11" s="766"/>
      <c r="U11" s="167"/>
      <c r="W11" s="165"/>
      <c r="X11" s="166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</row>
    <row r="12" spans="1:34">
      <c r="A12" s="73">
        <v>2.5</v>
      </c>
      <c r="B12" s="66">
        <v>2.9999989999999999</v>
      </c>
      <c r="C12" s="66" t="s">
        <v>125</v>
      </c>
      <c r="D12" s="76">
        <v>2.5000000000000001E-2</v>
      </c>
      <c r="E12" s="77">
        <v>4.0000000000000001E-3</v>
      </c>
      <c r="F12" s="212"/>
      <c r="G12" s="215" t="s">
        <v>177</v>
      </c>
      <c r="H12" s="221" t="s">
        <v>98</v>
      </c>
      <c r="I12" s="221" t="s">
        <v>99</v>
      </c>
      <c r="J12" s="221" t="s">
        <v>100</v>
      </c>
      <c r="K12" s="221" t="s">
        <v>101</v>
      </c>
      <c r="L12" s="221" t="s">
        <v>102</v>
      </c>
      <c r="M12" s="221" t="s">
        <v>103</v>
      </c>
      <c r="N12" s="221" t="s">
        <v>104</v>
      </c>
      <c r="O12" s="221" t="s">
        <v>105</v>
      </c>
      <c r="P12" s="221" t="s">
        <v>106</v>
      </c>
      <c r="Q12" s="221" t="s">
        <v>107</v>
      </c>
      <c r="R12" s="222" t="s">
        <v>108</v>
      </c>
      <c r="S12" s="765"/>
      <c r="T12" s="766"/>
      <c r="U12" s="167"/>
      <c r="X12" s="169"/>
    </row>
    <row r="13" spans="1:34">
      <c r="A13" s="73">
        <v>3</v>
      </c>
      <c r="B13" s="66">
        <v>4.2499989999999999</v>
      </c>
      <c r="C13" s="66" t="s">
        <v>126</v>
      </c>
      <c r="D13" s="76">
        <v>1.6500000000000001E-2</v>
      </c>
      <c r="E13" s="77">
        <v>3.0000000000000001E-3</v>
      </c>
      <c r="F13" s="212"/>
      <c r="G13" s="219" t="s">
        <v>111</v>
      </c>
      <c r="H13" s="166"/>
      <c r="I13" s="74">
        <f>MAX(MIN('Restructuration cap'!$X$31/H17,100000),-100000)</f>
        <v>7.6636811794218778</v>
      </c>
      <c r="J13" s="74">
        <f>MAX(MIN('Restructuration cap'!$X$31/I17,100000),-100000)</f>
        <v>4.9819436165745294</v>
      </c>
      <c r="K13" s="74">
        <f>MAX(MIN('Restructuration cap'!$X$31/J17,100000),-100000)</f>
        <v>4.6297522047466648</v>
      </c>
      <c r="L13" s="74">
        <f>MAX(MIN('Restructuration cap'!$X$31/K17,100000),-100000)</f>
        <v>4.6297522047466648</v>
      </c>
      <c r="M13" s="74">
        <f>MAX(MIN('Restructuration cap'!$X$31/L17,100000),-100000)</f>
        <v>4.6297522047466648</v>
      </c>
      <c r="N13" s="74">
        <f>MAX(MIN('Restructuration cap'!$X$31/M17,100000),-100000)</f>
        <v>4.6297522047466648</v>
      </c>
      <c r="O13" s="74">
        <f>MAX(MIN('Restructuration cap'!$X$31/N17,100000),-100000)</f>
        <v>4.6297522047466648</v>
      </c>
      <c r="P13" s="74">
        <f>MAX(MIN('Restructuration cap'!$X$31/O17,100000),-100000)</f>
        <v>4.6297522047466648</v>
      </c>
      <c r="Q13" s="74">
        <f>MAX(MIN('Restructuration cap'!$X$31/P17,100000),-100000)</f>
        <v>4.6297522047466648</v>
      </c>
      <c r="R13" s="75">
        <f>MAX(MIN('Restructuration cap'!$X$31/Q17,100000),-100000)</f>
        <v>4.6297522047466648</v>
      </c>
      <c r="S13" s="765"/>
      <c r="T13" s="766"/>
      <c r="U13" s="167"/>
      <c r="W13" s="163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</row>
    <row r="14" spans="1:34">
      <c r="A14" s="73">
        <v>4.25</v>
      </c>
      <c r="B14" s="66">
        <v>5.4999989999999999</v>
      </c>
      <c r="C14" s="66" t="s">
        <v>127</v>
      </c>
      <c r="D14" s="76">
        <v>1.4E-2</v>
      </c>
      <c r="E14" s="77">
        <v>2E-3</v>
      </c>
      <c r="F14" s="212"/>
      <c r="G14" s="219" t="s">
        <v>113</v>
      </c>
      <c r="H14" s="166"/>
      <c r="I14" s="78" t="str">
        <f>VLOOKUP(I13,$A$2:$E$17,3)</f>
        <v>AA</v>
      </c>
      <c r="J14" s="78" t="str">
        <f t="shared" ref="J14:R14" si="4">VLOOKUP(J13,$A$2:$E$17,3)</f>
        <v>A</v>
      </c>
      <c r="K14" s="78" t="str">
        <f t="shared" si="4"/>
        <v>A</v>
      </c>
      <c r="L14" s="78" t="str">
        <f t="shared" si="4"/>
        <v>A</v>
      </c>
      <c r="M14" s="78" t="str">
        <f t="shared" si="4"/>
        <v>A</v>
      </c>
      <c r="N14" s="78" t="str">
        <f t="shared" si="4"/>
        <v>A</v>
      </c>
      <c r="O14" s="78" t="str">
        <f t="shared" si="4"/>
        <v>A</v>
      </c>
      <c r="P14" s="78" t="str">
        <f t="shared" si="4"/>
        <v>A</v>
      </c>
      <c r="Q14" s="78" t="str">
        <f t="shared" si="4"/>
        <v>A</v>
      </c>
      <c r="R14" s="79" t="str">
        <f t="shared" si="4"/>
        <v>A</v>
      </c>
      <c r="S14" s="765"/>
      <c r="T14" s="766"/>
      <c r="U14" s="167"/>
      <c r="W14" s="165"/>
      <c r="X14" s="166"/>
      <c r="Y14" s="74"/>
      <c r="Z14" s="74"/>
      <c r="AA14" s="74"/>
      <c r="AB14" s="74"/>
      <c r="AC14" s="74"/>
      <c r="AD14" s="74"/>
      <c r="AE14" s="74"/>
      <c r="AF14" s="74"/>
      <c r="AG14" s="74"/>
      <c r="AH14" s="74"/>
    </row>
    <row r="15" spans="1:34">
      <c r="A15" s="73">
        <v>5.5</v>
      </c>
      <c r="B15" s="66">
        <v>6.4999989999999999</v>
      </c>
      <c r="C15" s="66" t="s">
        <v>128</v>
      </c>
      <c r="D15" s="76">
        <v>1.2999999999999999E-2</v>
      </c>
      <c r="E15" s="77">
        <v>1.5E-3</v>
      </c>
      <c r="F15" s="212"/>
      <c r="G15" s="219" t="s">
        <v>115</v>
      </c>
      <c r="H15" s="166"/>
      <c r="I15" s="70">
        <f>VLOOKUP(I13,$A$2:$E$17,4)</f>
        <v>1.15E-2</v>
      </c>
      <c r="J15" s="70">
        <f t="shared" ref="J15:R15" si="5">VLOOKUP(J13,$A$2:$E$17,4)</f>
        <v>1.4E-2</v>
      </c>
      <c r="K15" s="70">
        <f t="shared" si="5"/>
        <v>1.4E-2</v>
      </c>
      <c r="L15" s="70">
        <f t="shared" si="5"/>
        <v>1.4E-2</v>
      </c>
      <c r="M15" s="70">
        <f t="shared" si="5"/>
        <v>1.4E-2</v>
      </c>
      <c r="N15" s="70">
        <f t="shared" si="5"/>
        <v>1.4E-2</v>
      </c>
      <c r="O15" s="70">
        <f t="shared" si="5"/>
        <v>1.4E-2</v>
      </c>
      <c r="P15" s="70">
        <f t="shared" si="5"/>
        <v>1.4E-2</v>
      </c>
      <c r="Q15" s="70">
        <f t="shared" si="5"/>
        <v>1.4E-2</v>
      </c>
      <c r="R15" s="80">
        <f t="shared" si="5"/>
        <v>1.4E-2</v>
      </c>
      <c r="S15" s="765"/>
      <c r="T15" s="766"/>
      <c r="U15" s="167"/>
      <c r="W15" s="165"/>
      <c r="X15" s="166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spans="1:34">
      <c r="A16" s="73">
        <v>6.5</v>
      </c>
      <c r="B16" s="66">
        <v>8.4999990000000007</v>
      </c>
      <c r="C16" s="66" t="s">
        <v>129</v>
      </c>
      <c r="D16" s="76">
        <v>1.15E-2</v>
      </c>
      <c r="E16" s="80">
        <v>5.0000000000000001E-4</v>
      </c>
      <c r="F16" s="212"/>
      <c r="G16" s="219" t="s">
        <v>117</v>
      </c>
      <c r="H16" s="166"/>
      <c r="I16" s="70">
        <f>I15+Rates!$N$4</f>
        <v>3.2863891972254235E-2</v>
      </c>
      <c r="J16" s="70">
        <f>J15+Rates!$N$4</f>
        <v>3.5363891972254237E-2</v>
      </c>
      <c r="K16" s="70">
        <f>K15+Rates!$N$4</f>
        <v>3.5363891972254237E-2</v>
      </c>
      <c r="L16" s="70">
        <f>L15+Rates!$N$4</f>
        <v>3.5363891972254237E-2</v>
      </c>
      <c r="M16" s="70">
        <f>M15+Rates!$N$4</f>
        <v>3.5363891972254237E-2</v>
      </c>
      <c r="N16" s="70">
        <f>N15+Rates!$N$4</f>
        <v>3.5363891972254237E-2</v>
      </c>
      <c r="O16" s="70">
        <f>O15+Rates!$N$4</f>
        <v>3.5363891972254237E-2</v>
      </c>
      <c r="P16" s="70">
        <f>P15+Rates!$N$4</f>
        <v>3.5363891972254237E-2</v>
      </c>
      <c r="Q16" s="70">
        <f>Q15+Rates!$N$4</f>
        <v>3.5363891972254237E-2</v>
      </c>
      <c r="R16" s="80">
        <f>R15+Rates!$N$4</f>
        <v>3.5363891972254237E-2</v>
      </c>
      <c r="S16" s="765"/>
      <c r="T16" s="766"/>
      <c r="U16" s="167"/>
      <c r="W16" s="165"/>
      <c r="X16" s="166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5" ht="14" thickBot="1">
      <c r="A17" s="85">
        <v>8.5</v>
      </c>
      <c r="B17" s="86">
        <v>100000</v>
      </c>
      <c r="C17" s="86" t="s">
        <v>130</v>
      </c>
      <c r="D17" s="87">
        <v>6.4999999999999997E-3</v>
      </c>
      <c r="E17" s="88">
        <v>1E-4</v>
      </c>
      <c r="F17" s="212"/>
      <c r="G17" s="219" t="s">
        <v>202</v>
      </c>
      <c r="H17" s="205">
        <f>'Leverage and Restructuration'!D16*Rates!$N$4</f>
        <v>548.95876729469217</v>
      </c>
      <c r="I17" s="205">
        <f>I16*'Leverage and Restructuration'!$D$16</f>
        <v>844.45856817778167</v>
      </c>
      <c r="J17" s="205">
        <f>J16*'Leverage and Restructuration'!$D$16</f>
        <v>908.69765532627935</v>
      </c>
      <c r="K17" s="205">
        <f>K16*'Leverage and Restructuration'!$D$16</f>
        <v>908.69765532627935</v>
      </c>
      <c r="L17" s="205">
        <f>L16*'Leverage and Restructuration'!$D$16</f>
        <v>908.69765532627935</v>
      </c>
      <c r="M17" s="205">
        <f>M16*'Leverage and Restructuration'!$D$16</f>
        <v>908.69765532627935</v>
      </c>
      <c r="N17" s="205">
        <f>N16*'Leverage and Restructuration'!$D$16</f>
        <v>908.69765532627935</v>
      </c>
      <c r="O17" s="205">
        <f>O16*'Leverage and Restructuration'!$D$16</f>
        <v>908.69765532627935</v>
      </c>
      <c r="P17" s="205">
        <f>P16*'Leverage and Restructuration'!$D$16</f>
        <v>908.69765532627935</v>
      </c>
      <c r="Q17" s="205">
        <f>Q16*'Leverage and Restructuration'!$D$16</f>
        <v>908.69765532627935</v>
      </c>
      <c r="R17" s="206">
        <f>R16*'Leverage and Restructuration'!$D$16</f>
        <v>908.69765532627935</v>
      </c>
      <c r="S17" s="765"/>
      <c r="T17" s="766"/>
      <c r="U17" s="167"/>
      <c r="W17" s="165"/>
      <c r="X17" s="166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5">
      <c r="A18" s="64"/>
      <c r="B18" s="64"/>
      <c r="C18" s="64"/>
      <c r="D18" s="64"/>
      <c r="E18" s="64"/>
      <c r="F18" s="212"/>
      <c r="G18" s="219" t="s">
        <v>120</v>
      </c>
      <c r="H18" s="81"/>
      <c r="I18" s="70">
        <f>VLOOKUP(I13,$A$2:$E$17,5)</f>
        <v>5.0000000000000001E-4</v>
      </c>
      <c r="J18" s="70">
        <f t="shared" ref="J18:R18" si="6">VLOOKUP(J13,$A$2:$E$17,5)</f>
        <v>2E-3</v>
      </c>
      <c r="K18" s="70">
        <f t="shared" si="6"/>
        <v>2E-3</v>
      </c>
      <c r="L18" s="70">
        <f t="shared" si="6"/>
        <v>2E-3</v>
      </c>
      <c r="M18" s="70">
        <f t="shared" si="6"/>
        <v>2E-3</v>
      </c>
      <c r="N18" s="70">
        <f t="shared" si="6"/>
        <v>2E-3</v>
      </c>
      <c r="O18" s="70">
        <f t="shared" si="6"/>
        <v>2E-3</v>
      </c>
      <c r="P18" s="70">
        <f t="shared" si="6"/>
        <v>2E-3</v>
      </c>
      <c r="Q18" s="70">
        <f t="shared" si="6"/>
        <v>2E-3</v>
      </c>
      <c r="R18" s="80">
        <f t="shared" si="6"/>
        <v>2E-3</v>
      </c>
      <c r="S18" s="765"/>
      <c r="T18" s="766"/>
      <c r="U18" s="70"/>
      <c r="W18" s="165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5" ht="14" thickBot="1">
      <c r="A19" s="64"/>
      <c r="B19" s="64"/>
      <c r="C19" s="64"/>
      <c r="D19" s="64"/>
      <c r="E19" s="64"/>
      <c r="F19" s="212"/>
      <c r="G19" s="220" t="s">
        <v>92</v>
      </c>
      <c r="H19" s="82"/>
      <c r="I19" s="83">
        <f>(1-I18+$B$23*I18)*(1+I16)-1</f>
        <v>3.2559197124122363E-2</v>
      </c>
      <c r="J19" s="83">
        <f t="shared" ref="J19:R19" si="7">(1-J18+$B$23*J18)*(1+J16)-1</f>
        <v>3.4142162579727131E-2</v>
      </c>
      <c r="K19" s="83">
        <f t="shared" si="7"/>
        <v>3.4142162579727131E-2</v>
      </c>
      <c r="L19" s="83">
        <f t="shared" si="7"/>
        <v>3.4142162579727131E-2</v>
      </c>
      <c r="M19" s="83">
        <f t="shared" si="7"/>
        <v>3.4142162579727131E-2</v>
      </c>
      <c r="N19" s="83">
        <f t="shared" si="7"/>
        <v>3.4142162579727131E-2</v>
      </c>
      <c r="O19" s="83">
        <f t="shared" si="7"/>
        <v>3.4142162579727131E-2</v>
      </c>
      <c r="P19" s="83">
        <f t="shared" si="7"/>
        <v>3.4142162579727131E-2</v>
      </c>
      <c r="Q19" s="83">
        <f t="shared" si="7"/>
        <v>3.4142162579727131E-2</v>
      </c>
      <c r="R19" s="84">
        <f t="shared" si="7"/>
        <v>3.4142162579727131E-2</v>
      </c>
      <c r="S19" s="765"/>
      <c r="T19" s="766"/>
      <c r="U19" s="70"/>
      <c r="W19" s="165"/>
      <c r="X19" s="81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5">
      <c r="A20" s="64"/>
      <c r="B20" s="64"/>
      <c r="C20" s="64"/>
      <c r="D20" s="64"/>
      <c r="E20" s="64"/>
      <c r="F20" s="212"/>
      <c r="G20" s="225"/>
      <c r="H20" s="226"/>
      <c r="I20" s="227"/>
      <c r="J20" s="227"/>
      <c r="K20" s="227"/>
      <c r="L20" s="227"/>
      <c r="M20" s="227"/>
      <c r="N20" s="227"/>
      <c r="O20" s="227"/>
      <c r="P20" s="227"/>
      <c r="Q20" s="227"/>
      <c r="R20" s="228"/>
      <c r="S20" s="233"/>
      <c r="T20" s="233"/>
      <c r="U20" s="165"/>
      <c r="W20" s="165"/>
      <c r="X20" s="166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</row>
    <row r="21" spans="1:35" ht="14" thickBot="1">
      <c r="A21" s="64"/>
      <c r="B21" s="64"/>
      <c r="C21" s="64"/>
      <c r="D21" s="64"/>
      <c r="E21" s="64"/>
      <c r="F21" s="211"/>
      <c r="G21" s="229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2"/>
      <c r="S21" s="233"/>
      <c r="T21" s="233"/>
      <c r="U21" s="165"/>
      <c r="V21" s="165"/>
      <c r="X21" s="169"/>
      <c r="AI21" s="165"/>
    </row>
    <row r="22" spans="1:35" ht="14" thickBot="1">
      <c r="A22" s="64"/>
      <c r="B22" s="64"/>
      <c r="C22" s="64"/>
      <c r="D22" s="64"/>
      <c r="E22" s="64"/>
      <c r="F22" s="211"/>
      <c r="G22" s="215" t="s">
        <v>178</v>
      </c>
      <c r="H22" s="221" t="s">
        <v>98</v>
      </c>
      <c r="I22" s="221" t="s">
        <v>99</v>
      </c>
      <c r="J22" s="221" t="s">
        <v>100</v>
      </c>
      <c r="K22" s="221" t="s">
        <v>101</v>
      </c>
      <c r="L22" s="221" t="s">
        <v>102</v>
      </c>
      <c r="M22" s="221" t="s">
        <v>103</v>
      </c>
      <c r="N22" s="221" t="s">
        <v>104</v>
      </c>
      <c r="O22" s="221" t="s">
        <v>105</v>
      </c>
      <c r="P22" s="221" t="s">
        <v>106</v>
      </c>
      <c r="Q22" s="221" t="s">
        <v>107</v>
      </c>
      <c r="R22" s="222" t="s">
        <v>108</v>
      </c>
      <c r="S22" s="233"/>
      <c r="T22" s="233"/>
      <c r="U22" s="165"/>
      <c r="V22" s="165"/>
      <c r="AI22" s="165"/>
    </row>
    <row r="23" spans="1:35" ht="14" thickBot="1">
      <c r="A23" s="208" t="s">
        <v>199</v>
      </c>
      <c r="B23" s="207">
        <v>0.41</v>
      </c>
      <c r="C23" s="64"/>
      <c r="D23" s="64"/>
      <c r="E23" s="64"/>
      <c r="F23" s="211"/>
      <c r="G23" s="219" t="s">
        <v>111</v>
      </c>
      <c r="H23" s="166"/>
      <c r="I23" s="74">
        <f>MAX(MIN('Restructuration cap'!$Y$31/H27,100000),-100000)</f>
        <v>8.1671409850229892</v>
      </c>
      <c r="J23" s="74">
        <f>MAX(MIN('Restructuration cap'!$Y$31/I27,100000),-100000)</f>
        <v>5.207523716440849</v>
      </c>
      <c r="K23" s="74">
        <f>MAX(MIN('Restructuration cap'!$Y$31/J27,100000),-100000)</f>
        <v>4.8272409494122464</v>
      </c>
      <c r="L23" s="74">
        <f>MAX(MIN('Restructuration cap'!$Y$31/K27,100000),-100000)</f>
        <v>4.8272409494122464</v>
      </c>
      <c r="M23" s="74">
        <f>MAX(MIN('Restructuration cap'!$Y$31/L27,100000),-100000)</f>
        <v>4.8272409494122464</v>
      </c>
      <c r="N23" s="74">
        <f>MAX(MIN('Restructuration cap'!$Y$31/M27,100000),-100000)</f>
        <v>4.8272409494122464</v>
      </c>
      <c r="O23" s="74">
        <f>MAX(MIN('Restructuration cap'!$Y$31/N27,100000),-100000)</f>
        <v>4.8272409494122464</v>
      </c>
      <c r="P23" s="74">
        <f>MAX(MIN('Restructuration cap'!$Y$31/O27,100000),-100000)</f>
        <v>4.8272409494122464</v>
      </c>
      <c r="Q23" s="74">
        <f>MAX(MIN('Restructuration cap'!$Y$31/P27,100000),-100000)</f>
        <v>4.8272409494122464</v>
      </c>
      <c r="R23" s="75">
        <f>MAX(MIN('Restructuration cap'!$Y$31/Q27,100000),-100000)</f>
        <v>4.8272409494122464</v>
      </c>
      <c r="S23" s="233"/>
      <c r="T23" s="233"/>
      <c r="U23" s="165"/>
      <c r="V23" s="165"/>
      <c r="W23" s="163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</row>
    <row r="24" spans="1:35" ht="14" thickBot="1">
      <c r="A24" s="209" t="s">
        <v>200</v>
      </c>
      <c r="B24" s="210">
        <f>48.9%</f>
        <v>0.48899999999999999</v>
      </c>
      <c r="C24" s="64"/>
      <c r="D24" s="64"/>
      <c r="E24" s="64"/>
      <c r="F24" s="211"/>
      <c r="G24" s="219" t="s">
        <v>113</v>
      </c>
      <c r="H24" s="166"/>
      <c r="I24" s="78" t="str">
        <f>VLOOKUP(I23,$A$2:$E$17,3)</f>
        <v>AA</v>
      </c>
      <c r="J24" s="78" t="str">
        <f t="shared" ref="J24:R24" si="8">VLOOKUP(J23,$A$2:$E$17,3)</f>
        <v>A</v>
      </c>
      <c r="K24" s="78" t="str">
        <f t="shared" si="8"/>
        <v>A</v>
      </c>
      <c r="L24" s="78" t="str">
        <f t="shared" si="8"/>
        <v>A</v>
      </c>
      <c r="M24" s="78" t="str">
        <f t="shared" si="8"/>
        <v>A</v>
      </c>
      <c r="N24" s="78" t="str">
        <f t="shared" si="8"/>
        <v>A</v>
      </c>
      <c r="O24" s="78" t="str">
        <f t="shared" si="8"/>
        <v>A</v>
      </c>
      <c r="P24" s="78" t="str">
        <f t="shared" si="8"/>
        <v>A</v>
      </c>
      <c r="Q24" s="78" t="str">
        <f t="shared" si="8"/>
        <v>A</v>
      </c>
      <c r="R24" s="79" t="str">
        <f t="shared" si="8"/>
        <v>A</v>
      </c>
      <c r="S24" s="233"/>
      <c r="T24" s="233"/>
      <c r="U24" s="165"/>
      <c r="V24" s="165"/>
      <c r="W24" s="165"/>
      <c r="X24" s="166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165"/>
    </row>
    <row r="25" spans="1:35">
      <c r="A25" s="64"/>
      <c r="B25" s="64"/>
      <c r="C25" s="64"/>
      <c r="D25" s="64"/>
      <c r="E25" s="64"/>
      <c r="F25" s="211"/>
      <c r="G25" s="219" t="s">
        <v>115</v>
      </c>
      <c r="H25" s="166"/>
      <c r="I25" s="70">
        <f>VLOOKUP(I23,$A$2:$E$17,4)</f>
        <v>1.15E-2</v>
      </c>
      <c r="J25" s="70">
        <f t="shared" ref="J25:R25" si="9">VLOOKUP(J23,$A$2:$E$17,4)</f>
        <v>1.4E-2</v>
      </c>
      <c r="K25" s="70">
        <f t="shared" si="9"/>
        <v>1.4E-2</v>
      </c>
      <c r="L25" s="70">
        <f t="shared" si="9"/>
        <v>1.4E-2</v>
      </c>
      <c r="M25" s="70">
        <f t="shared" si="9"/>
        <v>1.4E-2</v>
      </c>
      <c r="N25" s="70">
        <f t="shared" si="9"/>
        <v>1.4E-2</v>
      </c>
      <c r="O25" s="70">
        <f t="shared" si="9"/>
        <v>1.4E-2</v>
      </c>
      <c r="P25" s="70">
        <f t="shared" si="9"/>
        <v>1.4E-2</v>
      </c>
      <c r="Q25" s="70">
        <f t="shared" si="9"/>
        <v>1.4E-2</v>
      </c>
      <c r="R25" s="80">
        <f t="shared" si="9"/>
        <v>1.4E-2</v>
      </c>
      <c r="S25" s="233"/>
      <c r="T25" s="233"/>
      <c r="U25" s="165"/>
      <c r="V25" s="165"/>
      <c r="W25" s="165"/>
      <c r="X25" s="166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165"/>
    </row>
    <row r="26" spans="1:35">
      <c r="A26" s="64"/>
      <c r="B26" s="64"/>
      <c r="C26" s="64"/>
      <c r="D26" s="64"/>
      <c r="E26" s="64"/>
      <c r="F26" s="211"/>
      <c r="G26" s="219" t="s">
        <v>117</v>
      </c>
      <c r="H26" s="166"/>
      <c r="I26" s="70">
        <f>I25+Rates!$T$4</f>
        <v>3.1734549708435623E-2</v>
      </c>
      <c r="J26" s="70">
        <f>J25+Rates!$T$4</f>
        <v>3.4234549708435626E-2</v>
      </c>
      <c r="K26" s="70">
        <f>K25+Rates!$T$4</f>
        <v>3.4234549708435626E-2</v>
      </c>
      <c r="L26" s="70">
        <f>L25+Rates!$T$4</f>
        <v>3.4234549708435626E-2</v>
      </c>
      <c r="M26" s="70">
        <f>M25+Rates!$T$4</f>
        <v>3.4234549708435626E-2</v>
      </c>
      <c r="N26" s="70">
        <f>N25+Rates!$T$4</f>
        <v>3.4234549708435626E-2</v>
      </c>
      <c r="O26" s="70">
        <f>O25+Rates!$T$4</f>
        <v>3.4234549708435626E-2</v>
      </c>
      <c r="P26" s="70">
        <f>P25+Rates!$T$4</f>
        <v>3.4234549708435626E-2</v>
      </c>
      <c r="Q26" s="70">
        <f>Q25+Rates!$T$4</f>
        <v>3.4234549708435626E-2</v>
      </c>
      <c r="R26" s="80">
        <f>R25+Rates!$T$4</f>
        <v>3.4234549708435626E-2</v>
      </c>
      <c r="S26" s="233"/>
      <c r="T26" s="233"/>
      <c r="U26" s="165"/>
      <c r="V26" s="165"/>
      <c r="W26" s="165"/>
      <c r="X26" s="166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165"/>
    </row>
    <row r="27" spans="1:35">
      <c r="A27" s="64"/>
      <c r="B27" s="64"/>
      <c r="C27" s="64"/>
      <c r="D27" s="64"/>
      <c r="E27" s="64"/>
      <c r="F27" s="211"/>
      <c r="G27" s="219" t="s">
        <v>202</v>
      </c>
      <c r="H27" s="205">
        <f>'Leverage and Restructuration'!$E$16*Rates!$T$4</f>
        <v>527.64134883822783</v>
      </c>
      <c r="I27" s="205">
        <f>I26*'Leverage and Restructuration'!$E$16</f>
        <v>827.51832159388903</v>
      </c>
      <c r="J27" s="205">
        <f>J26*'Leverage and Restructuration'!$E$16</f>
        <v>892.70896784511979</v>
      </c>
      <c r="K27" s="205">
        <f>K26*'Leverage and Restructuration'!$E$16</f>
        <v>892.70896784511979</v>
      </c>
      <c r="L27" s="205">
        <f>L26*'Leverage and Restructuration'!$E$16</f>
        <v>892.70896784511979</v>
      </c>
      <c r="M27" s="205">
        <f>M26*'Leverage and Restructuration'!$E$16</f>
        <v>892.70896784511979</v>
      </c>
      <c r="N27" s="205">
        <f>N26*'Leverage and Restructuration'!$E$16</f>
        <v>892.70896784511979</v>
      </c>
      <c r="O27" s="205">
        <f>O26*'Leverage and Restructuration'!$E$16</f>
        <v>892.70896784511979</v>
      </c>
      <c r="P27" s="205">
        <f>P26*'Leverage and Restructuration'!$E$16</f>
        <v>892.70896784511979</v>
      </c>
      <c r="Q27" s="205">
        <f>Q26*'Leverage and Restructuration'!$E$16</f>
        <v>892.70896784511979</v>
      </c>
      <c r="R27" s="206">
        <f>R26*'Leverage and Restructuration'!$E$16</f>
        <v>892.70896784511979</v>
      </c>
      <c r="S27" s="233"/>
      <c r="T27" s="233"/>
      <c r="U27" s="165"/>
      <c r="V27" s="165"/>
      <c r="W27" s="165"/>
      <c r="X27" s="166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165"/>
    </row>
    <row r="28" spans="1:35">
      <c r="A28" s="64"/>
      <c r="B28" s="64"/>
      <c r="C28" s="64"/>
      <c r="D28" s="64"/>
      <c r="E28" s="64"/>
      <c r="F28" s="211"/>
      <c r="G28" s="219" t="s">
        <v>120</v>
      </c>
      <c r="H28" s="81"/>
      <c r="I28" s="70">
        <f>VLOOKUP(I23,$A$2:$E$17,5)</f>
        <v>5.0000000000000001E-4</v>
      </c>
      <c r="J28" s="70">
        <f t="shared" ref="J28:R28" si="10">VLOOKUP(J23,$A$2:$E$17,5)</f>
        <v>2E-3</v>
      </c>
      <c r="K28" s="70">
        <f t="shared" si="10"/>
        <v>2E-3</v>
      </c>
      <c r="L28" s="70">
        <f t="shared" si="10"/>
        <v>2E-3</v>
      </c>
      <c r="M28" s="70">
        <f t="shared" si="10"/>
        <v>2E-3</v>
      </c>
      <c r="N28" s="70">
        <f t="shared" si="10"/>
        <v>2E-3</v>
      </c>
      <c r="O28" s="70">
        <f t="shared" si="10"/>
        <v>2E-3</v>
      </c>
      <c r="P28" s="70">
        <f t="shared" si="10"/>
        <v>2E-3</v>
      </c>
      <c r="Q28" s="70">
        <f t="shared" si="10"/>
        <v>2E-3</v>
      </c>
      <c r="R28" s="80">
        <f t="shared" si="10"/>
        <v>2E-3</v>
      </c>
      <c r="S28" s="233"/>
      <c r="T28" s="233"/>
      <c r="U28" s="165"/>
      <c r="V28" s="165"/>
      <c r="W28" s="165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165"/>
    </row>
    <row r="29" spans="1:35" ht="14" thickBot="1">
      <c r="A29" s="64"/>
      <c r="B29" s="64"/>
      <c r="C29" s="64"/>
      <c r="D29" s="64"/>
      <c r="E29" s="64"/>
      <c r="F29" s="211"/>
      <c r="G29" s="220" t="s">
        <v>92</v>
      </c>
      <c r="H29" s="82"/>
      <c r="I29" s="83">
        <f>(1-I28+I28*$B$23)*(1+I26)-1</f>
        <v>3.1430188016271732E-2</v>
      </c>
      <c r="J29" s="83">
        <f t="shared" ref="J29:R29" si="11">(1-J28+J28*$B$23)*(1+J26)-1</f>
        <v>3.3014152939779606E-2</v>
      </c>
      <c r="K29" s="83">
        <f t="shared" si="11"/>
        <v>3.3014152939779606E-2</v>
      </c>
      <c r="L29" s="83">
        <f t="shared" si="11"/>
        <v>3.3014152939779606E-2</v>
      </c>
      <c r="M29" s="83">
        <f t="shared" si="11"/>
        <v>3.3014152939779606E-2</v>
      </c>
      <c r="N29" s="83">
        <f t="shared" si="11"/>
        <v>3.3014152939779606E-2</v>
      </c>
      <c r="O29" s="83">
        <f t="shared" si="11"/>
        <v>3.3014152939779606E-2</v>
      </c>
      <c r="P29" s="83">
        <f t="shared" si="11"/>
        <v>3.3014152939779606E-2</v>
      </c>
      <c r="Q29" s="83">
        <f t="shared" si="11"/>
        <v>3.3014152939779606E-2</v>
      </c>
      <c r="R29" s="84">
        <f t="shared" si="11"/>
        <v>3.3014152939779606E-2</v>
      </c>
      <c r="S29" s="233"/>
      <c r="T29" s="233"/>
      <c r="U29" s="165"/>
      <c r="V29" s="165"/>
      <c r="W29" s="165"/>
      <c r="X29" s="81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165"/>
    </row>
    <row r="30" spans="1:35">
      <c r="A30" s="64"/>
      <c r="B30" s="64"/>
      <c r="C30" s="64"/>
      <c r="D30" s="64"/>
      <c r="E30" s="64"/>
      <c r="F30" s="211"/>
      <c r="G30" s="225"/>
      <c r="H30" s="233"/>
      <c r="I30" s="233"/>
      <c r="J30" s="233"/>
      <c r="K30" s="233"/>
      <c r="L30" s="233"/>
      <c r="M30" s="233"/>
      <c r="N30" s="233"/>
      <c r="O30" s="233"/>
      <c r="P30" s="233"/>
      <c r="Q30" s="233"/>
      <c r="R30" s="234"/>
      <c r="S30" s="233"/>
      <c r="T30" s="233"/>
      <c r="U30" s="165"/>
      <c r="V30" s="165"/>
      <c r="W30" s="165"/>
      <c r="X30" s="166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5"/>
    </row>
    <row r="31" spans="1:35" ht="14" thickBot="1">
      <c r="A31" s="64"/>
      <c r="B31" s="64"/>
      <c r="C31" s="64"/>
      <c r="D31" s="64"/>
      <c r="E31" s="64"/>
      <c r="F31" s="211"/>
      <c r="G31" s="225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4"/>
      <c r="S31" s="233"/>
      <c r="T31" s="233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</row>
    <row r="32" spans="1:35">
      <c r="A32" s="64"/>
      <c r="B32" s="64"/>
      <c r="C32" s="64"/>
      <c r="D32" s="64"/>
      <c r="E32" s="64"/>
      <c r="F32" s="211"/>
      <c r="G32" s="215" t="s">
        <v>179</v>
      </c>
      <c r="H32" s="221" t="s">
        <v>98</v>
      </c>
      <c r="I32" s="221" t="s">
        <v>99</v>
      </c>
      <c r="J32" s="221" t="s">
        <v>100</v>
      </c>
      <c r="K32" s="221" t="s">
        <v>101</v>
      </c>
      <c r="L32" s="221" t="s">
        <v>102</v>
      </c>
      <c r="M32" s="221" t="s">
        <v>103</v>
      </c>
      <c r="N32" s="221" t="s">
        <v>104</v>
      </c>
      <c r="O32" s="221" t="s">
        <v>105</v>
      </c>
      <c r="P32" s="221" t="s">
        <v>106</v>
      </c>
      <c r="Q32" s="221" t="s">
        <v>107</v>
      </c>
      <c r="R32" s="222" t="s">
        <v>108</v>
      </c>
      <c r="S32" s="233"/>
      <c r="T32" s="233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</row>
    <row r="33" spans="1:35">
      <c r="A33" s="64"/>
      <c r="B33" s="64"/>
      <c r="C33" s="64"/>
      <c r="D33" s="64"/>
      <c r="E33" s="64"/>
      <c r="F33" s="211"/>
      <c r="G33" s="219" t="s">
        <v>111</v>
      </c>
      <c r="H33" s="166"/>
      <c r="I33" s="74">
        <f>MAX(MIN('Restructuration cap'!$Z$31/H37,100000),-100000)</f>
        <v>9.4089135078889914</v>
      </c>
      <c r="J33" s="74">
        <f>MAX(MIN('Restructuration cap'!$Z$31/I37,100000),-100000)</f>
        <v>7.0567905301175378</v>
      </c>
      <c r="K33" s="74">
        <f>MAX(MIN('Restructuration cap'!$Z$31/J37,100000),-100000)</f>
        <v>5.9186412839480598</v>
      </c>
      <c r="L33" s="74">
        <f>MAX(MIN('Restructuration cap'!$Z$31/K37,100000),-100000)</f>
        <v>5.6454830169194459</v>
      </c>
      <c r="M33" s="74">
        <f>MAX(MIN('Restructuration cap'!$Z$31/L37,100000),-100000)</f>
        <v>5.6454830169194459</v>
      </c>
      <c r="N33" s="74">
        <f>MAX(MIN('Restructuration cap'!$Z$31/M37,100000),-100000)</f>
        <v>5.6454830169194459</v>
      </c>
      <c r="O33" s="74">
        <f>MAX(MIN('Restructuration cap'!$Z$31/N37,100000),-100000)</f>
        <v>5.6454830169194459</v>
      </c>
      <c r="P33" s="74">
        <f>MAX(MIN('Restructuration cap'!$Z$31/O37,100000),-100000)</f>
        <v>5.6454830169194459</v>
      </c>
      <c r="Q33" s="74">
        <f>MAX(MIN('Restructuration cap'!$Z$31/P37,100000),-100000)</f>
        <v>5.6454830169194459</v>
      </c>
      <c r="R33" s="75">
        <f>MAX(MIN('Restructuration cap'!$Z$31/Q37,100000),-100000)</f>
        <v>5.6454830169194459</v>
      </c>
      <c r="S33" s="233"/>
      <c r="T33" s="233"/>
      <c r="U33" s="165"/>
      <c r="V33" s="165"/>
      <c r="W33" s="163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</row>
    <row r="34" spans="1:35">
      <c r="A34" s="64"/>
      <c r="B34" s="64"/>
      <c r="C34" s="64"/>
      <c r="D34" s="64"/>
      <c r="E34" s="64"/>
      <c r="F34" s="211"/>
      <c r="G34" s="219" t="s">
        <v>113</v>
      </c>
      <c r="H34" s="166"/>
      <c r="I34" s="78" t="str">
        <f>VLOOKUP(I33,$A$2:$E$17,3)</f>
        <v>AAA</v>
      </c>
      <c r="J34" s="78" t="str">
        <f t="shared" ref="J34:R34" si="12">VLOOKUP(J33,$A$2:$E$17,3)</f>
        <v>AA</v>
      </c>
      <c r="K34" s="78" t="str">
        <f t="shared" si="12"/>
        <v>A+</v>
      </c>
      <c r="L34" s="78" t="str">
        <f t="shared" si="12"/>
        <v>A+</v>
      </c>
      <c r="M34" s="78" t="str">
        <f t="shared" si="12"/>
        <v>A+</v>
      </c>
      <c r="N34" s="78" t="str">
        <f t="shared" si="12"/>
        <v>A+</v>
      </c>
      <c r="O34" s="78" t="str">
        <f t="shared" si="12"/>
        <v>A+</v>
      </c>
      <c r="P34" s="78" t="str">
        <f t="shared" si="12"/>
        <v>A+</v>
      </c>
      <c r="Q34" s="78" t="str">
        <f t="shared" si="12"/>
        <v>A+</v>
      </c>
      <c r="R34" s="79" t="str">
        <f t="shared" si="12"/>
        <v>A+</v>
      </c>
      <c r="S34" s="233"/>
      <c r="T34" s="233"/>
      <c r="U34" s="165"/>
      <c r="V34" s="165"/>
      <c r="W34" s="165"/>
      <c r="X34" s="166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165"/>
    </row>
    <row r="35" spans="1:35">
      <c r="A35" s="64"/>
      <c r="B35" s="64"/>
      <c r="C35" s="64"/>
      <c r="D35" s="64"/>
      <c r="E35" s="64"/>
      <c r="F35" s="211"/>
      <c r="G35" s="219" t="s">
        <v>115</v>
      </c>
      <c r="H35" s="166"/>
      <c r="I35" s="70">
        <f>VLOOKUP(I33,$A$2:$E$17,4)</f>
        <v>6.4999999999999997E-3</v>
      </c>
      <c r="J35" s="70">
        <f t="shared" ref="J35:R35" si="13">VLOOKUP(J33,$A$2:$E$17,4)</f>
        <v>1.15E-2</v>
      </c>
      <c r="K35" s="70">
        <f t="shared" si="13"/>
        <v>1.2999999999999999E-2</v>
      </c>
      <c r="L35" s="70">
        <f t="shared" si="13"/>
        <v>1.2999999999999999E-2</v>
      </c>
      <c r="M35" s="70">
        <f t="shared" si="13"/>
        <v>1.2999999999999999E-2</v>
      </c>
      <c r="N35" s="70">
        <f t="shared" si="13"/>
        <v>1.2999999999999999E-2</v>
      </c>
      <c r="O35" s="70">
        <f t="shared" si="13"/>
        <v>1.2999999999999999E-2</v>
      </c>
      <c r="P35" s="70">
        <f t="shared" si="13"/>
        <v>1.2999999999999999E-2</v>
      </c>
      <c r="Q35" s="70">
        <f t="shared" si="13"/>
        <v>1.2999999999999999E-2</v>
      </c>
      <c r="R35" s="80">
        <f t="shared" si="13"/>
        <v>1.2999999999999999E-2</v>
      </c>
      <c r="S35" s="233"/>
      <c r="T35" s="233"/>
      <c r="U35" s="165"/>
      <c r="V35" s="165"/>
      <c r="W35" s="165"/>
      <c r="X35" s="166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165"/>
    </row>
    <row r="36" spans="1:35">
      <c r="A36" s="64"/>
      <c r="B36" s="64"/>
      <c r="C36" s="64"/>
      <c r="D36" s="64"/>
      <c r="E36" s="64"/>
      <c r="F36" s="211"/>
      <c r="G36" s="219" t="s">
        <v>117</v>
      </c>
      <c r="H36" s="166"/>
      <c r="I36" s="70">
        <f>I35+Rates!$Z$4</f>
        <v>2.600116506630246E-2</v>
      </c>
      <c r="J36" s="70">
        <f>J35+Rates!$Z$4</f>
        <v>3.1001165066302461E-2</v>
      </c>
      <c r="K36" s="70">
        <f>K35+Rates!$Z$4</f>
        <v>3.2501165066302462E-2</v>
      </c>
      <c r="L36" s="70">
        <f>L35+Rates!$Z$4</f>
        <v>3.2501165066302462E-2</v>
      </c>
      <c r="M36" s="70">
        <f>M35+Rates!$Z$4</f>
        <v>3.2501165066302462E-2</v>
      </c>
      <c r="N36" s="70">
        <f>N35+Rates!$Z$4</f>
        <v>3.2501165066302462E-2</v>
      </c>
      <c r="O36" s="70">
        <f>O35+Rates!$Z$4</f>
        <v>3.2501165066302462E-2</v>
      </c>
      <c r="P36" s="70">
        <f>P35+Rates!$Z$4</f>
        <v>3.2501165066302462E-2</v>
      </c>
      <c r="Q36" s="70">
        <f>Q35+Rates!$Z$4</f>
        <v>3.2501165066302462E-2</v>
      </c>
      <c r="R36" s="80">
        <f>R35+Rates!$Z$4</f>
        <v>3.2501165066302462E-2</v>
      </c>
      <c r="S36" s="233"/>
      <c r="T36" s="233"/>
      <c r="U36" s="165"/>
      <c r="V36" s="165"/>
      <c r="W36" s="165"/>
      <c r="X36" s="166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165"/>
    </row>
    <row r="37" spans="1:35">
      <c r="A37" s="64"/>
      <c r="B37" s="64"/>
      <c r="C37" s="64"/>
      <c r="D37" s="64"/>
      <c r="E37" s="64"/>
      <c r="F37" s="211"/>
      <c r="G37" s="219" t="s">
        <v>202</v>
      </c>
      <c r="H37" s="205">
        <f>Rates!$Z$4*'Leverage and Restructuration'!$F$16</f>
        <v>470.1567817898441</v>
      </c>
      <c r="I37" s="205">
        <f>I36*'Leverage and Restructuration'!$F$16</f>
        <v>626.86634612837236</v>
      </c>
      <c r="J37" s="205">
        <f>J36*'Leverage and Restructuration'!$F$16</f>
        <v>747.41216485031725</v>
      </c>
      <c r="K37" s="205">
        <f>K36*'Leverage and Restructuration'!$F$16</f>
        <v>783.57591046690084</v>
      </c>
      <c r="L37" s="205">
        <f>L36*'Leverage and Restructuration'!$F$16</f>
        <v>783.57591046690084</v>
      </c>
      <c r="M37" s="205">
        <f>M36*'Leverage and Restructuration'!$F$16</f>
        <v>783.57591046690084</v>
      </c>
      <c r="N37" s="205">
        <f>N36*'Leverage and Restructuration'!$F$16</f>
        <v>783.57591046690084</v>
      </c>
      <c r="O37" s="205">
        <f>O36*'Leverage and Restructuration'!$F$16</f>
        <v>783.57591046690084</v>
      </c>
      <c r="P37" s="205">
        <f>P36*'Leverage and Restructuration'!$F$16</f>
        <v>783.57591046690084</v>
      </c>
      <c r="Q37" s="205">
        <f>Q36*'Leverage and Restructuration'!$F$16</f>
        <v>783.57591046690084</v>
      </c>
      <c r="R37" s="206">
        <f>R36*'Leverage and Restructuration'!$F$16</f>
        <v>783.57591046690084</v>
      </c>
      <c r="S37" s="233"/>
      <c r="T37" s="233"/>
      <c r="U37" s="165"/>
      <c r="V37" s="165"/>
      <c r="W37" s="165"/>
      <c r="X37" s="166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165"/>
    </row>
    <row r="38" spans="1:35">
      <c r="A38" s="64"/>
      <c r="B38" s="64"/>
      <c r="C38" s="64"/>
      <c r="D38" s="64"/>
      <c r="E38" s="64"/>
      <c r="F38" s="211"/>
      <c r="G38" s="219" t="s">
        <v>120</v>
      </c>
      <c r="H38" s="81"/>
      <c r="I38" s="70">
        <f>VLOOKUP(I23,$A$2:$E$17,5)</f>
        <v>5.0000000000000001E-4</v>
      </c>
      <c r="J38" s="70">
        <f t="shared" ref="J38:R38" si="14">VLOOKUP(J23,$A$2:$E$17,5)</f>
        <v>2E-3</v>
      </c>
      <c r="K38" s="70">
        <f t="shared" si="14"/>
        <v>2E-3</v>
      </c>
      <c r="L38" s="70">
        <f t="shared" si="14"/>
        <v>2E-3</v>
      </c>
      <c r="M38" s="70">
        <f t="shared" si="14"/>
        <v>2E-3</v>
      </c>
      <c r="N38" s="70">
        <f t="shared" si="14"/>
        <v>2E-3</v>
      </c>
      <c r="O38" s="70">
        <f t="shared" si="14"/>
        <v>2E-3</v>
      </c>
      <c r="P38" s="70">
        <f t="shared" si="14"/>
        <v>2E-3</v>
      </c>
      <c r="Q38" s="70">
        <f t="shared" si="14"/>
        <v>2E-3</v>
      </c>
      <c r="R38" s="80">
        <f t="shared" si="14"/>
        <v>2E-3</v>
      </c>
      <c r="S38" s="233"/>
      <c r="T38" s="233"/>
      <c r="U38" s="165"/>
      <c r="V38" s="165"/>
      <c r="W38" s="165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165"/>
    </row>
    <row r="39" spans="1:35" ht="14" thickBot="1">
      <c r="A39" s="64"/>
      <c r="B39" s="64"/>
      <c r="C39" s="64"/>
      <c r="D39" s="64"/>
      <c r="E39" s="64"/>
      <c r="F39" s="211"/>
      <c r="G39" s="220" t="s">
        <v>92</v>
      </c>
      <c r="H39" s="82"/>
      <c r="I39" s="83">
        <f>(1-I38+I38*$B$23)*(1+I36)-1</f>
        <v>2.569849472260799E-2</v>
      </c>
      <c r="J39" s="83">
        <f t="shared" ref="J39:R39" si="15">(1-J38+J38*$B$23)*(1+J36)-1</f>
        <v>2.9784583691524258E-2</v>
      </c>
      <c r="K39" s="83">
        <f t="shared" si="15"/>
        <v>3.1282813691524414E-2</v>
      </c>
      <c r="L39" s="83">
        <f t="shared" si="15"/>
        <v>3.1282813691524414E-2</v>
      </c>
      <c r="M39" s="83">
        <f t="shared" si="15"/>
        <v>3.1282813691524414E-2</v>
      </c>
      <c r="N39" s="83">
        <f t="shared" si="15"/>
        <v>3.1282813691524414E-2</v>
      </c>
      <c r="O39" s="83">
        <f t="shared" si="15"/>
        <v>3.1282813691524414E-2</v>
      </c>
      <c r="P39" s="83">
        <f t="shared" si="15"/>
        <v>3.1282813691524414E-2</v>
      </c>
      <c r="Q39" s="83">
        <f t="shared" si="15"/>
        <v>3.1282813691524414E-2</v>
      </c>
      <c r="R39" s="84">
        <f t="shared" si="15"/>
        <v>3.1282813691524414E-2</v>
      </c>
      <c r="S39" s="233"/>
      <c r="T39" s="233"/>
      <c r="U39" s="165"/>
      <c r="V39" s="165"/>
      <c r="W39" s="165"/>
      <c r="X39" s="81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165"/>
    </row>
    <row r="40" spans="1:35">
      <c r="A40" s="64"/>
      <c r="B40" s="64"/>
      <c r="C40" s="64"/>
      <c r="D40" s="64"/>
      <c r="E40" s="64"/>
      <c r="F40" s="211"/>
      <c r="G40" s="225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4"/>
      <c r="S40" s="233"/>
      <c r="T40" s="233"/>
      <c r="U40" s="165"/>
      <c r="V40" s="165"/>
      <c r="W40" s="165"/>
      <c r="X40" s="166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5"/>
    </row>
    <row r="41" spans="1:35" ht="14" thickBot="1">
      <c r="A41" s="64"/>
      <c r="B41" s="64"/>
      <c r="C41" s="64"/>
      <c r="D41" s="64"/>
      <c r="E41" s="64"/>
      <c r="F41" s="211"/>
      <c r="G41" s="225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4"/>
      <c r="S41" s="233"/>
      <c r="T41" s="233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</row>
    <row r="42" spans="1:35">
      <c r="A42" s="64"/>
      <c r="B42" s="64"/>
      <c r="C42" s="64"/>
      <c r="D42" s="64"/>
      <c r="E42" s="64"/>
      <c r="F42" s="211"/>
      <c r="G42" s="215" t="s">
        <v>198</v>
      </c>
      <c r="H42" s="221" t="s">
        <v>98</v>
      </c>
      <c r="I42" s="221" t="s">
        <v>99</v>
      </c>
      <c r="J42" s="221" t="s">
        <v>100</v>
      </c>
      <c r="K42" s="221" t="s">
        <v>101</v>
      </c>
      <c r="L42" s="221" t="s">
        <v>102</v>
      </c>
      <c r="M42" s="221" t="s">
        <v>103</v>
      </c>
      <c r="N42" s="221" t="s">
        <v>104</v>
      </c>
      <c r="O42" s="221" t="s">
        <v>105</v>
      </c>
      <c r="P42" s="221" t="s">
        <v>106</v>
      </c>
      <c r="Q42" s="221" t="s">
        <v>107</v>
      </c>
      <c r="R42" s="222" t="s">
        <v>108</v>
      </c>
      <c r="S42" s="233"/>
      <c r="T42" s="233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</row>
    <row r="43" spans="1:35">
      <c r="A43" s="64"/>
      <c r="B43" s="64"/>
      <c r="C43" s="64"/>
      <c r="D43" s="64"/>
      <c r="E43" s="64"/>
      <c r="F43" s="211"/>
      <c r="G43" s="219" t="s">
        <v>111</v>
      </c>
      <c r="H43" s="166"/>
      <c r="I43" s="74">
        <f>MAX(MIN('Restructuration cap'!$AA$31/H47,100000),-100000)</f>
        <v>10.639257782959922</v>
      </c>
      <c r="J43" s="74">
        <f>MAX(MIN('Restructuration cap'!$AA$31/I47,100000),-100000)</f>
        <v>7.9203108564644191</v>
      </c>
      <c r="K43" s="74">
        <f>MAX(MIN('Restructuration cap'!$AA$31/J47,100000),-100000)</f>
        <v>6.6191067341654888</v>
      </c>
      <c r="L43" s="74">
        <f>MAX(MIN('Restructuration cap'!$AA$31/K47,100000),-100000)</f>
        <v>6.6191067341654888</v>
      </c>
      <c r="M43" s="74">
        <f>MAX(MIN('Restructuration cap'!$AA$31/L47,100000),-100000)</f>
        <v>6.6191067341654888</v>
      </c>
      <c r="N43" s="74">
        <f>MAX(MIN('Restructuration cap'!$AA$31/M47,100000),-100000)</f>
        <v>6.6191067341654888</v>
      </c>
      <c r="O43" s="74">
        <f>MAX(MIN('Restructuration cap'!$AA$31/N47,100000),-100000)</f>
        <v>6.6191067341654888</v>
      </c>
      <c r="P43" s="74">
        <f>MAX(MIN('Restructuration cap'!$AA$31/O47,100000),-100000)</f>
        <v>6.6191067341654888</v>
      </c>
      <c r="Q43" s="74">
        <f>MAX(MIN('Restructuration cap'!$AA$31/P47,100000),-100000)</f>
        <v>6.6191067341654888</v>
      </c>
      <c r="R43" s="75">
        <f>MAX(MIN('Restructuration cap'!$AA$31/Q47,100000),-100000)</f>
        <v>6.6191067341654888</v>
      </c>
      <c r="S43" s="233"/>
      <c r="T43" s="233"/>
      <c r="U43" s="165"/>
      <c r="V43" s="165"/>
      <c r="W43" s="163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</row>
    <row r="44" spans="1:35">
      <c r="A44" s="64"/>
      <c r="B44" s="64"/>
      <c r="C44" s="64"/>
      <c r="D44" s="64"/>
      <c r="E44" s="64"/>
      <c r="F44" s="211"/>
      <c r="G44" s="219" t="s">
        <v>113</v>
      </c>
      <c r="H44" s="166"/>
      <c r="I44" s="78" t="str">
        <f>VLOOKUP(I43,$A$2:$E$17,3)</f>
        <v>AAA</v>
      </c>
      <c r="J44" s="78" t="str">
        <f t="shared" ref="J44:R44" si="16">VLOOKUP(J43,$A$2:$E$17,3)</f>
        <v>AA</v>
      </c>
      <c r="K44" s="78" t="str">
        <f t="shared" si="16"/>
        <v>AA</v>
      </c>
      <c r="L44" s="78" t="str">
        <f t="shared" si="16"/>
        <v>AA</v>
      </c>
      <c r="M44" s="78" t="str">
        <f t="shared" si="16"/>
        <v>AA</v>
      </c>
      <c r="N44" s="78" t="str">
        <f t="shared" si="16"/>
        <v>AA</v>
      </c>
      <c r="O44" s="78" t="str">
        <f t="shared" si="16"/>
        <v>AA</v>
      </c>
      <c r="P44" s="78" t="str">
        <f t="shared" si="16"/>
        <v>AA</v>
      </c>
      <c r="Q44" s="78" t="str">
        <f t="shared" si="16"/>
        <v>AA</v>
      </c>
      <c r="R44" s="79" t="str">
        <f t="shared" si="16"/>
        <v>AA</v>
      </c>
      <c r="S44" s="233"/>
      <c r="T44" s="233"/>
      <c r="U44" s="165"/>
      <c r="V44" s="165"/>
      <c r="W44" s="165"/>
      <c r="X44" s="166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165"/>
    </row>
    <row r="45" spans="1:35">
      <c r="A45" s="64"/>
      <c r="B45" s="64"/>
      <c r="C45" s="64"/>
      <c r="D45" s="64"/>
      <c r="E45" s="64"/>
      <c r="F45" s="211"/>
      <c r="G45" s="219" t="s">
        <v>115</v>
      </c>
      <c r="H45" s="166"/>
      <c r="I45" s="70">
        <f>VLOOKUP(I43,$A$2:$E$17,4)</f>
        <v>6.4999999999999997E-3</v>
      </c>
      <c r="J45" s="70">
        <f t="shared" ref="J45:R45" si="17">VLOOKUP(J43,$A$2:$E$17,4)</f>
        <v>1.15E-2</v>
      </c>
      <c r="K45" s="70">
        <f t="shared" si="17"/>
        <v>1.15E-2</v>
      </c>
      <c r="L45" s="70">
        <f t="shared" si="17"/>
        <v>1.15E-2</v>
      </c>
      <c r="M45" s="70">
        <f t="shared" si="17"/>
        <v>1.15E-2</v>
      </c>
      <c r="N45" s="70">
        <f t="shared" si="17"/>
        <v>1.15E-2</v>
      </c>
      <c r="O45" s="70">
        <f t="shared" si="17"/>
        <v>1.15E-2</v>
      </c>
      <c r="P45" s="70">
        <f t="shared" si="17"/>
        <v>1.15E-2</v>
      </c>
      <c r="Q45" s="70">
        <f t="shared" si="17"/>
        <v>1.15E-2</v>
      </c>
      <c r="R45" s="80">
        <f t="shared" si="17"/>
        <v>1.15E-2</v>
      </c>
      <c r="S45" s="233"/>
      <c r="T45" s="233"/>
      <c r="U45" s="165"/>
      <c r="V45" s="165"/>
      <c r="W45" s="165"/>
      <c r="X45" s="166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165"/>
    </row>
    <row r="46" spans="1:35">
      <c r="A46" s="64"/>
      <c r="B46" s="64"/>
      <c r="C46" s="64"/>
      <c r="D46" s="64"/>
      <c r="E46" s="64"/>
      <c r="F46" s="211"/>
      <c r="G46" s="219" t="s">
        <v>117</v>
      </c>
      <c r="H46" s="166"/>
      <c r="I46" s="70">
        <f>I45+Rates!$AF$4</f>
        <v>2.5434544130059494E-2</v>
      </c>
      <c r="J46" s="70">
        <f>J45+Rates!$AF$4</f>
        <v>3.0434544130059495E-2</v>
      </c>
      <c r="K46" s="70">
        <f>K45+Rates!$AF$4</f>
        <v>3.0434544130059495E-2</v>
      </c>
      <c r="L46" s="70">
        <f>L45+Rates!$AF$4</f>
        <v>3.0434544130059495E-2</v>
      </c>
      <c r="M46" s="70">
        <f>M45+Rates!$AF$4</f>
        <v>3.0434544130059495E-2</v>
      </c>
      <c r="N46" s="70">
        <f>N45+Rates!$AF$4</f>
        <v>3.0434544130059495E-2</v>
      </c>
      <c r="O46" s="70">
        <f>O45+Rates!$AF$4</f>
        <v>3.0434544130059495E-2</v>
      </c>
      <c r="P46" s="70">
        <f>P45+Rates!$AF$4</f>
        <v>3.0434544130059495E-2</v>
      </c>
      <c r="Q46" s="70">
        <f>Q45+Rates!$AF$4</f>
        <v>3.0434544130059495E-2</v>
      </c>
      <c r="R46" s="80">
        <f>R45+Rates!$AF$4</f>
        <v>3.0434544130059495E-2</v>
      </c>
      <c r="S46" s="233"/>
      <c r="T46" s="233"/>
      <c r="U46" s="165"/>
      <c r="V46" s="165"/>
      <c r="W46" s="165"/>
      <c r="X46" s="166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165"/>
    </row>
    <row r="47" spans="1:35">
      <c r="A47" s="64"/>
      <c r="B47" s="64"/>
      <c r="C47" s="64"/>
      <c r="D47" s="64"/>
      <c r="E47" s="64"/>
      <c r="F47" s="211"/>
      <c r="G47" s="219" t="s">
        <v>202</v>
      </c>
      <c r="H47" s="205">
        <f>Rates!$AF$4*'Leverage and Restructuration'!$G$16</f>
        <v>426.53985256422465</v>
      </c>
      <c r="I47" s="205">
        <f>I46*'Leverage and Restructuration'!$G$16</f>
        <v>572.96582525326176</v>
      </c>
      <c r="J47" s="205">
        <f>J46*'Leverage and Restructuration'!$G$16</f>
        <v>685.60118886021348</v>
      </c>
      <c r="K47" s="205">
        <f>K46*'Leverage and Restructuration'!$G$16</f>
        <v>685.60118886021348</v>
      </c>
      <c r="L47" s="205">
        <f>L46*'Leverage and Restructuration'!$G$16</f>
        <v>685.60118886021348</v>
      </c>
      <c r="M47" s="205">
        <f>M46*'Leverage and Restructuration'!$G$16</f>
        <v>685.60118886021348</v>
      </c>
      <c r="N47" s="205">
        <f>N46*'Leverage and Restructuration'!$G$16</f>
        <v>685.60118886021348</v>
      </c>
      <c r="O47" s="205">
        <f>O46*'Leverage and Restructuration'!$G$16</f>
        <v>685.60118886021348</v>
      </c>
      <c r="P47" s="205">
        <f>P46*'Leverage and Restructuration'!$G$16</f>
        <v>685.60118886021348</v>
      </c>
      <c r="Q47" s="205">
        <f>Q46*'Leverage and Restructuration'!$G$16</f>
        <v>685.60118886021348</v>
      </c>
      <c r="R47" s="206">
        <f>R46*'Leverage and Restructuration'!$G$16</f>
        <v>685.60118886021348</v>
      </c>
      <c r="S47" s="233"/>
      <c r="T47" s="233"/>
      <c r="U47" s="165"/>
      <c r="V47" s="165"/>
      <c r="W47" s="165"/>
      <c r="X47" s="166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165"/>
    </row>
    <row r="48" spans="1:35">
      <c r="A48" s="64"/>
      <c r="B48" s="64"/>
      <c r="C48" s="64"/>
      <c r="D48" s="64"/>
      <c r="E48" s="64"/>
      <c r="F48" s="211"/>
      <c r="G48" s="219" t="s">
        <v>120</v>
      </c>
      <c r="H48" s="81"/>
      <c r="I48" s="70">
        <f>VLOOKUP(I43,$A$2:$E$17,5)</f>
        <v>1E-4</v>
      </c>
      <c r="J48" s="70">
        <f t="shared" ref="J48:R48" si="18">VLOOKUP(J43,$A$2:$E$17,5)</f>
        <v>5.0000000000000001E-4</v>
      </c>
      <c r="K48" s="70">
        <f t="shared" si="18"/>
        <v>5.0000000000000001E-4</v>
      </c>
      <c r="L48" s="70">
        <f t="shared" si="18"/>
        <v>5.0000000000000001E-4</v>
      </c>
      <c r="M48" s="70">
        <f t="shared" si="18"/>
        <v>5.0000000000000001E-4</v>
      </c>
      <c r="N48" s="70">
        <f t="shared" si="18"/>
        <v>5.0000000000000001E-4</v>
      </c>
      <c r="O48" s="70">
        <f t="shared" si="18"/>
        <v>5.0000000000000001E-4</v>
      </c>
      <c r="P48" s="70">
        <f t="shared" si="18"/>
        <v>5.0000000000000001E-4</v>
      </c>
      <c r="Q48" s="70">
        <f t="shared" si="18"/>
        <v>5.0000000000000001E-4</v>
      </c>
      <c r="R48" s="80">
        <f t="shared" si="18"/>
        <v>5.0000000000000001E-4</v>
      </c>
      <c r="S48" s="233"/>
      <c r="T48" s="233"/>
      <c r="U48" s="165"/>
      <c r="V48" s="165"/>
      <c r="W48" s="165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165"/>
    </row>
    <row r="49" spans="1:35" ht="14" thickBot="1">
      <c r="A49" s="64"/>
      <c r="B49" s="64"/>
      <c r="C49" s="64"/>
      <c r="D49" s="64"/>
      <c r="E49" s="64"/>
      <c r="F49" s="211"/>
      <c r="G49" s="220" t="s">
        <v>92</v>
      </c>
      <c r="H49" s="82"/>
      <c r="I49" s="83">
        <f>(1-I48+I48*$B$23)*(1+I46)-1</f>
        <v>2.53740434919556E-2</v>
      </c>
      <c r="J49" s="83">
        <f t="shared" ref="J49:R49" si="19">(1-J48+J48*$B$23)*(1+J46)-1</f>
        <v>3.0130565939541221E-2</v>
      </c>
      <c r="K49" s="83">
        <f t="shared" si="19"/>
        <v>3.0130565939541221E-2</v>
      </c>
      <c r="L49" s="83">
        <f t="shared" si="19"/>
        <v>3.0130565939541221E-2</v>
      </c>
      <c r="M49" s="83">
        <f t="shared" si="19"/>
        <v>3.0130565939541221E-2</v>
      </c>
      <c r="N49" s="83">
        <f t="shared" si="19"/>
        <v>3.0130565939541221E-2</v>
      </c>
      <c r="O49" s="83">
        <f t="shared" si="19"/>
        <v>3.0130565939541221E-2</v>
      </c>
      <c r="P49" s="83">
        <f t="shared" si="19"/>
        <v>3.0130565939541221E-2</v>
      </c>
      <c r="Q49" s="83">
        <f t="shared" si="19"/>
        <v>3.0130565939541221E-2</v>
      </c>
      <c r="R49" s="84">
        <f t="shared" si="19"/>
        <v>3.0130565939541221E-2</v>
      </c>
      <c r="S49" s="233"/>
      <c r="T49" s="233"/>
      <c r="U49" s="165"/>
      <c r="V49" s="165"/>
      <c r="W49" s="165"/>
      <c r="X49" s="81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165"/>
    </row>
    <row r="50" spans="1:35">
      <c r="A50" s="163"/>
      <c r="B50" s="165"/>
      <c r="C50" s="165"/>
      <c r="D50" s="165"/>
      <c r="F50" s="231"/>
      <c r="G50" s="233"/>
      <c r="H50" s="763"/>
      <c r="I50" s="763"/>
      <c r="J50" s="763"/>
      <c r="K50" s="763"/>
      <c r="L50" s="763"/>
      <c r="M50" s="763"/>
      <c r="N50" s="763"/>
      <c r="O50" s="763"/>
      <c r="P50" s="233"/>
      <c r="Q50" s="233"/>
      <c r="R50" s="233"/>
      <c r="S50" s="233"/>
      <c r="T50" s="233"/>
      <c r="U50" s="165"/>
      <c r="V50" s="165"/>
      <c r="W50" s="165"/>
      <c r="X50" s="166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5"/>
    </row>
    <row r="51" spans="1:35">
      <c r="A51" s="165"/>
      <c r="B51" s="165"/>
      <c r="C51" s="71"/>
      <c r="D51" s="165"/>
      <c r="F51" s="231"/>
      <c r="G51" s="231"/>
      <c r="H51" s="231"/>
      <c r="I51" s="231"/>
      <c r="J51" s="231"/>
      <c r="K51" s="763"/>
      <c r="L51" s="231"/>
      <c r="M51" s="233"/>
      <c r="N51" s="233"/>
      <c r="O51" s="233"/>
      <c r="P51" s="233"/>
      <c r="Q51" s="233"/>
      <c r="R51" s="233"/>
      <c r="S51" s="233"/>
      <c r="T51" s="233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</row>
    <row r="52" spans="1:35">
      <c r="A52" s="165"/>
      <c r="B52" s="165"/>
      <c r="C52" s="72"/>
      <c r="D52" s="165"/>
      <c r="F52" s="231"/>
      <c r="G52" s="231"/>
      <c r="H52" s="231"/>
      <c r="I52" s="231"/>
      <c r="J52" s="231"/>
      <c r="K52" s="231"/>
      <c r="L52" s="231"/>
      <c r="M52" s="233"/>
      <c r="N52" s="233"/>
      <c r="O52" s="233"/>
      <c r="P52" s="233"/>
      <c r="Q52" s="233"/>
      <c r="R52" s="233"/>
      <c r="S52" s="233"/>
      <c r="T52" s="233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</row>
    <row r="53" spans="1:35">
      <c r="A53" s="165"/>
      <c r="B53" s="165"/>
      <c r="C53" s="69"/>
      <c r="D53" s="165"/>
      <c r="F53" s="231"/>
      <c r="G53" s="231"/>
      <c r="H53" s="231"/>
      <c r="I53" s="231"/>
      <c r="J53" s="231"/>
      <c r="K53" s="231"/>
      <c r="L53" s="231"/>
      <c r="M53" s="233"/>
      <c r="N53" s="233"/>
      <c r="O53" s="233"/>
      <c r="P53" s="233"/>
      <c r="Q53" s="233"/>
      <c r="R53" s="233"/>
      <c r="S53" s="233"/>
      <c r="T53" s="233"/>
      <c r="U53" s="165"/>
      <c r="V53" s="165"/>
      <c r="W53" s="163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</row>
    <row r="54" spans="1:35">
      <c r="A54" s="165"/>
      <c r="B54" s="165"/>
      <c r="C54" s="69"/>
      <c r="D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6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165"/>
    </row>
    <row r="55" spans="1:35">
      <c r="A55" s="165"/>
      <c r="B55" s="165"/>
      <c r="C55" s="71"/>
      <c r="D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6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165"/>
    </row>
    <row r="56" spans="1:35">
      <c r="A56" s="165"/>
      <c r="B56" s="165"/>
      <c r="C56" s="71"/>
      <c r="D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6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165"/>
    </row>
    <row r="57" spans="1:35">
      <c r="A57" s="165"/>
      <c r="B57" s="165"/>
      <c r="C57" s="65"/>
      <c r="D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6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165"/>
    </row>
    <row r="58" spans="1:35">
      <c r="A58" s="165"/>
      <c r="B58" s="67"/>
      <c r="C58" s="71"/>
      <c r="D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165"/>
    </row>
    <row r="59" spans="1:35">
      <c r="A59" s="165"/>
      <c r="C59" s="170"/>
      <c r="D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81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165"/>
    </row>
    <row r="60" spans="1:35">
      <c r="A60" s="165"/>
      <c r="B60" s="165"/>
      <c r="C60" s="165"/>
      <c r="D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6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  <c r="AI60" s="165"/>
    </row>
    <row r="61" spans="1:35">
      <c r="D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</row>
    <row r="62" spans="1:35"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</row>
    <row r="63" spans="1:35"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3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</row>
    <row r="64" spans="1:35">
      <c r="O64" s="165"/>
      <c r="P64" s="165"/>
      <c r="Q64" s="165"/>
      <c r="R64" s="165"/>
      <c r="S64" s="165"/>
      <c r="T64" s="165"/>
      <c r="U64" s="165"/>
      <c r="V64" s="165"/>
      <c r="W64" s="165"/>
      <c r="X64" s="166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165"/>
    </row>
    <row r="65" spans="13:35">
      <c r="O65" s="165"/>
      <c r="P65" s="165"/>
      <c r="Q65" s="165"/>
      <c r="R65" s="165"/>
      <c r="S65" s="165"/>
      <c r="T65" s="165"/>
      <c r="U65" s="165"/>
      <c r="V65" s="165"/>
      <c r="W65" s="165"/>
      <c r="X65" s="166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65"/>
    </row>
    <row r="66" spans="13:35">
      <c r="O66" s="165"/>
      <c r="P66" s="165"/>
      <c r="Q66" s="165"/>
      <c r="R66" s="165"/>
      <c r="S66" s="165"/>
      <c r="T66" s="165"/>
      <c r="U66" s="165"/>
      <c r="V66" s="165"/>
      <c r="W66" s="165"/>
      <c r="X66" s="166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165"/>
    </row>
    <row r="67" spans="13:35">
      <c r="O67" s="165"/>
      <c r="P67" s="165"/>
      <c r="Q67" s="165"/>
      <c r="R67" s="165"/>
      <c r="S67" s="165"/>
      <c r="T67" s="165"/>
      <c r="U67" s="165"/>
      <c r="V67" s="165"/>
      <c r="W67" s="165"/>
      <c r="X67" s="166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165"/>
    </row>
    <row r="68" spans="13:35">
      <c r="O68" s="165"/>
      <c r="P68" s="165"/>
      <c r="Q68" s="165"/>
      <c r="R68" s="165"/>
      <c r="S68" s="165"/>
      <c r="T68" s="165"/>
      <c r="U68" s="165"/>
      <c r="V68" s="165"/>
      <c r="W68" s="165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165"/>
    </row>
    <row r="69" spans="13:35">
      <c r="O69" s="165"/>
      <c r="P69" s="165"/>
      <c r="Q69" s="165"/>
      <c r="R69" s="165"/>
      <c r="S69" s="165"/>
      <c r="T69" s="165"/>
      <c r="U69" s="165"/>
      <c r="V69" s="165"/>
      <c r="W69" s="165"/>
      <c r="X69" s="81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165"/>
    </row>
    <row r="70" spans="13:35">
      <c r="O70" s="165"/>
      <c r="P70" s="165"/>
      <c r="Q70" s="165"/>
      <c r="R70" s="165"/>
      <c r="S70" s="165"/>
      <c r="T70" s="165"/>
      <c r="U70" s="165"/>
      <c r="V70" s="165"/>
      <c r="W70" s="165"/>
      <c r="X70" s="166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5"/>
    </row>
    <row r="71" spans="13:35"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</row>
    <row r="72" spans="13:35"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</row>
    <row r="73" spans="13:35">
      <c r="O73" s="165"/>
      <c r="P73" s="165"/>
      <c r="Q73" s="165"/>
      <c r="R73" s="165"/>
      <c r="S73" s="165"/>
      <c r="T73" s="165"/>
      <c r="U73" s="165"/>
      <c r="V73" s="165"/>
      <c r="W73" s="163"/>
      <c r="X73" s="165"/>
      <c r="Y73" s="165"/>
      <c r="Z73" s="165"/>
      <c r="AA73" s="165"/>
      <c r="AB73" s="165"/>
      <c r="AC73" s="165"/>
      <c r="AD73" s="165"/>
      <c r="AE73" s="165"/>
      <c r="AF73" s="165"/>
      <c r="AG73" s="165"/>
      <c r="AH73" s="165"/>
      <c r="AI73" s="165"/>
    </row>
    <row r="74" spans="13:35">
      <c r="O74" s="165"/>
      <c r="P74" s="165"/>
      <c r="Q74" s="165"/>
      <c r="R74" s="165"/>
      <c r="S74" s="165"/>
      <c r="T74" s="165"/>
      <c r="U74" s="165"/>
      <c r="V74" s="165"/>
      <c r="W74" s="165"/>
      <c r="X74" s="166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165"/>
    </row>
    <row r="75" spans="13:35">
      <c r="O75" s="165"/>
      <c r="P75" s="165"/>
      <c r="Q75" s="165"/>
      <c r="R75" s="165"/>
      <c r="S75" s="165"/>
      <c r="T75" s="165"/>
      <c r="U75" s="165"/>
      <c r="V75" s="165"/>
      <c r="W75" s="165"/>
      <c r="X75" s="166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165"/>
    </row>
    <row r="76" spans="13:35">
      <c r="O76" s="165"/>
      <c r="P76" s="165"/>
      <c r="Q76" s="165"/>
      <c r="R76" s="165"/>
      <c r="S76" s="165"/>
      <c r="T76" s="165"/>
      <c r="U76" s="165"/>
      <c r="V76" s="165"/>
      <c r="W76" s="165"/>
      <c r="X76" s="166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165"/>
    </row>
    <row r="77" spans="13:35">
      <c r="O77" s="165"/>
      <c r="P77" s="165"/>
      <c r="Q77" s="165"/>
      <c r="R77" s="165"/>
      <c r="S77" s="165"/>
      <c r="T77" s="165"/>
      <c r="U77" s="165"/>
      <c r="V77" s="165"/>
      <c r="W77" s="165"/>
      <c r="X77" s="166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165"/>
    </row>
    <row r="78" spans="13:35"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165"/>
    </row>
    <row r="79" spans="13:35"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81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165"/>
    </row>
    <row r="80" spans="13:35"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6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5"/>
    </row>
    <row r="81" spans="13:35"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</row>
    <row r="82" spans="13:35"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</row>
    <row r="83" spans="13:35"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3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</row>
    <row r="84" spans="13:35"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6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165"/>
    </row>
    <row r="85" spans="13:35"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6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165"/>
    </row>
    <row r="86" spans="13:35"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6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165"/>
    </row>
    <row r="87" spans="13:35"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6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165"/>
    </row>
    <row r="88" spans="13:35"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165"/>
    </row>
    <row r="89" spans="13:35"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81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165"/>
    </row>
    <row r="90" spans="13:35"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6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5"/>
    </row>
    <row r="91" spans="13:35"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</row>
    <row r="92" spans="13:35"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</row>
    <row r="93" spans="13:35"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3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</row>
    <row r="94" spans="13:35"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6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165"/>
    </row>
    <row r="95" spans="13:35"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6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165"/>
    </row>
    <row r="96" spans="13:35"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6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165"/>
    </row>
    <row r="97" spans="13:35"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6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165"/>
    </row>
    <row r="98" spans="13:35"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165"/>
    </row>
    <row r="99" spans="13:35"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81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165"/>
    </row>
    <row r="100" spans="13:35"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6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5"/>
    </row>
    <row r="101" spans="13:35"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</row>
    <row r="102" spans="13:35"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</row>
    <row r="103" spans="13:35"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</row>
    <row r="104" spans="13:35"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</row>
    <row r="105" spans="13:35"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</row>
    <row r="106" spans="13:35"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</row>
    <row r="107" spans="13:35"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</row>
    <row r="108" spans="13:35"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</row>
    <row r="109" spans="13:35"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</row>
    <row r="110" spans="13:35"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</row>
    <row r="111" spans="13:35"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</row>
    <row r="112" spans="13:35"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</row>
    <row r="113" spans="13:35"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</row>
    <row r="114" spans="13:35"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</row>
    <row r="115" spans="13:35"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</row>
    <row r="116" spans="13:35"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</row>
    <row r="117" spans="13:35"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</row>
    <row r="118" spans="13:35"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</row>
    <row r="119" spans="13:35"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</row>
    <row r="120" spans="13:35"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</row>
    <row r="121" spans="13:35"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</row>
    <row r="122" spans="13:35"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</row>
    <row r="123" spans="13:35"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</row>
    <row r="124" spans="13:35"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</row>
    <row r="125" spans="13:35"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</row>
    <row r="126" spans="13:35"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</row>
    <row r="127" spans="13:35"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</row>
    <row r="128" spans="13:35"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</row>
    <row r="129" spans="13:35"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</row>
    <row r="130" spans="13:35"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</row>
    <row r="131" spans="13:35"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</row>
    <row r="132" spans="13:35"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</row>
    <row r="133" spans="13:35"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</row>
    <row r="134" spans="13:35"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</row>
    <row r="135" spans="13:35"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</row>
    <row r="136" spans="13:35"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</row>
    <row r="137" spans="13:35"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</row>
    <row r="138" spans="13:35"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</row>
    <row r="139" spans="13:35"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</row>
    <row r="140" spans="13:35"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</row>
    <row r="141" spans="13:35"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</row>
    <row r="142" spans="13:35"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</row>
    <row r="143" spans="13:35"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</row>
    <row r="144" spans="13:35"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</row>
    <row r="145" spans="13:35"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</row>
    <row r="146" spans="13:35"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</row>
    <row r="147" spans="13:35"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</row>
    <row r="148" spans="13:35"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</row>
    <row r="149" spans="13:35"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</row>
    <row r="150" spans="13:35"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</row>
    <row r="151" spans="13:35"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  <c r="AI151" s="165"/>
    </row>
    <row r="152" spans="13:35"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</row>
    <row r="153" spans="13:35"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</row>
    <row r="154" spans="13:35"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  <c r="AI154" s="165"/>
    </row>
    <row r="155" spans="13:35"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</row>
    <row r="156" spans="13:35"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</row>
    <row r="157" spans="13:35"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</row>
    <row r="158" spans="13:35"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  <c r="AI158" s="165"/>
    </row>
    <row r="159" spans="13:35"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</row>
    <row r="160" spans="13:35"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/>
      <c r="AG160" s="165"/>
      <c r="AH160" s="165"/>
      <c r="AI160" s="165"/>
    </row>
    <row r="161" spans="13:35"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  <c r="AI161" s="165"/>
    </row>
    <row r="162" spans="13:35"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  <c r="AI162" s="165"/>
    </row>
    <row r="163" spans="13:35"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65"/>
      <c r="AG163" s="165"/>
      <c r="AH163" s="165"/>
      <c r="AI163" s="165"/>
    </row>
    <row r="164" spans="13:35"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  <c r="AI164" s="165"/>
    </row>
    <row r="165" spans="13:35"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  <c r="AF165" s="165"/>
      <c r="AG165" s="165"/>
      <c r="AH165" s="165"/>
      <c r="AI165" s="165"/>
    </row>
    <row r="166" spans="13:35"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  <c r="AF166" s="165"/>
      <c r="AG166" s="165"/>
      <c r="AH166" s="165"/>
      <c r="AI166" s="165"/>
    </row>
    <row r="167" spans="13:35"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  <c r="AF167" s="165"/>
      <c r="AG167" s="165"/>
      <c r="AH167" s="165"/>
      <c r="AI167" s="165"/>
    </row>
    <row r="168" spans="13:35"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165"/>
      <c r="AG168" s="165"/>
      <c r="AH168" s="165"/>
      <c r="AI168" s="165"/>
    </row>
    <row r="169" spans="13:35"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  <c r="AI169" s="165"/>
    </row>
    <row r="170" spans="13:35"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  <c r="AI170" s="165"/>
    </row>
    <row r="171" spans="13:35"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  <c r="AI171" s="165"/>
    </row>
    <row r="172" spans="13:35"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</row>
    <row r="173" spans="13:35"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  <c r="AI173" s="165"/>
    </row>
    <row r="174" spans="13:35"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  <c r="AI174" s="165"/>
    </row>
    <row r="175" spans="13:35"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  <c r="AI175" s="165"/>
    </row>
    <row r="176" spans="13:35"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  <c r="AI176" s="165"/>
    </row>
    <row r="177" spans="13:35"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</row>
    <row r="178" spans="13:35"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</row>
    <row r="179" spans="13:35"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</row>
    <row r="180" spans="13:35"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</row>
    <row r="181" spans="13:35"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</row>
    <row r="182" spans="13:35"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</row>
    <row r="183" spans="13:35"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</row>
    <row r="184" spans="13:35"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</row>
    <row r="185" spans="13:35"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</row>
    <row r="186" spans="13:35"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</row>
    <row r="187" spans="13:35"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</row>
    <row r="188" spans="13:35"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</row>
    <row r="189" spans="13:35"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</row>
    <row r="190" spans="13:35"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</row>
    <row r="191" spans="13:35"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</row>
    <row r="192" spans="13:35"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</row>
    <row r="193" spans="13:35"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</row>
    <row r="194" spans="13:35"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</row>
    <row r="195" spans="13:35"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</row>
    <row r="196" spans="13:35"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</row>
    <row r="197" spans="13:35"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</row>
    <row r="198" spans="13:35"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</row>
    <row r="199" spans="13:35"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</row>
    <row r="200" spans="13:35"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</row>
    <row r="201" spans="13:35"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</row>
    <row r="202" spans="13:35"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</row>
    <row r="203" spans="13:35"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</row>
    <row r="204" spans="13:35"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</row>
    <row r="205" spans="13:35"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</row>
    <row r="206" spans="13:35"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</row>
    <row r="207" spans="13:35"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</row>
    <row r="208" spans="13:35"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</row>
    <row r="209" spans="13:35"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</row>
    <row r="210" spans="13:35"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</row>
    <row r="211" spans="13:35"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</row>
    <row r="212" spans="13:35"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</row>
    <row r="213" spans="13:35"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</row>
    <row r="214" spans="13:35"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</row>
    <row r="215" spans="13:35"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</row>
    <row r="216" spans="13:35"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</row>
    <row r="217" spans="13:35"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</row>
    <row r="218" spans="13:35"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</row>
    <row r="219" spans="13:35"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</row>
    <row r="220" spans="13:35"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</row>
    <row r="221" spans="13:35"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</row>
    <row r="222" spans="13:35"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</row>
    <row r="223" spans="13:35"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</row>
    <row r="224" spans="13:35"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</row>
    <row r="225" spans="13:35"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</row>
    <row r="226" spans="13:35"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</row>
    <row r="227" spans="13:35"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</row>
    <row r="228" spans="13:35"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</row>
    <row r="229" spans="13:35"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</row>
    <row r="230" spans="13:35"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</row>
    <row r="231" spans="13:35"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</row>
    <row r="232" spans="13:35"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  <c r="AF232" s="165"/>
      <c r="AG232" s="165"/>
      <c r="AH232" s="165"/>
      <c r="AI232" s="165"/>
    </row>
    <row r="233" spans="13:35"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  <c r="AF233" s="165"/>
      <c r="AG233" s="165"/>
      <c r="AH233" s="165"/>
      <c r="AI233" s="165"/>
    </row>
    <row r="234" spans="13:35"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</row>
    <row r="235" spans="13:35"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</row>
    <row r="236" spans="13:35"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  <c r="AF236" s="165"/>
      <c r="AG236" s="165"/>
      <c r="AH236" s="165"/>
      <c r="AI236" s="165"/>
    </row>
    <row r="237" spans="13:35"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  <c r="AF237" s="165"/>
      <c r="AG237" s="165"/>
      <c r="AH237" s="165"/>
      <c r="AI237" s="165"/>
    </row>
    <row r="238" spans="13:35"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</row>
    <row r="239" spans="13:35"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</row>
    <row r="240" spans="13:35"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  <c r="AF240" s="165"/>
      <c r="AG240" s="165"/>
      <c r="AH240" s="165"/>
      <c r="AI240" s="165"/>
    </row>
    <row r="241" spans="13:35"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  <c r="AF241" s="165"/>
      <c r="AG241" s="165"/>
      <c r="AH241" s="165"/>
      <c r="AI241" s="165"/>
    </row>
    <row r="242" spans="13:35"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</row>
    <row r="243" spans="13:35"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</row>
    <row r="244" spans="13:35"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</row>
    <row r="245" spans="13:35"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</row>
    <row r="246" spans="13:35"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</row>
    <row r="247" spans="13:35"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  <c r="AF247" s="165"/>
      <c r="AG247" s="165"/>
      <c r="AH247" s="165"/>
      <c r="AI247" s="165"/>
    </row>
    <row r="248" spans="13:35"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</row>
    <row r="249" spans="13:35"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</row>
    <row r="250" spans="13:35"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  <c r="AF250" s="165"/>
      <c r="AG250" s="165"/>
      <c r="AH250" s="165"/>
      <c r="AI250" s="165"/>
    </row>
    <row r="251" spans="13:35"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  <c r="AF251" s="165"/>
      <c r="AG251" s="165"/>
      <c r="AH251" s="165"/>
      <c r="AI251" s="165"/>
    </row>
    <row r="252" spans="13:35"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  <c r="AF252" s="165"/>
      <c r="AG252" s="165"/>
      <c r="AH252" s="165"/>
      <c r="AI252" s="165"/>
    </row>
    <row r="253" spans="13:35"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  <c r="AF253" s="165"/>
      <c r="AG253" s="165"/>
      <c r="AH253" s="165"/>
      <c r="AI253" s="165"/>
    </row>
    <row r="254" spans="13:35"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  <c r="AF254" s="165"/>
      <c r="AG254" s="165"/>
      <c r="AH254" s="165"/>
      <c r="AI254" s="165"/>
    </row>
    <row r="255" spans="13:35"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  <c r="AF255" s="165"/>
      <c r="AG255" s="165"/>
      <c r="AH255" s="165"/>
      <c r="AI255" s="165"/>
    </row>
    <row r="256" spans="13:35"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  <c r="AF256" s="165"/>
      <c r="AG256" s="165"/>
      <c r="AH256" s="165"/>
      <c r="AI256" s="165"/>
    </row>
    <row r="257" spans="13:35"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  <c r="AF257" s="165"/>
      <c r="AG257" s="165"/>
      <c r="AH257" s="165"/>
      <c r="AI257" s="165"/>
    </row>
    <row r="258" spans="13:35"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  <c r="AF258" s="165"/>
      <c r="AG258" s="165"/>
      <c r="AH258" s="165"/>
      <c r="AI258" s="165"/>
    </row>
    <row r="259" spans="13:35"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  <c r="AF259" s="165"/>
      <c r="AG259" s="165"/>
      <c r="AH259" s="165"/>
      <c r="AI259" s="165"/>
    </row>
    <row r="260" spans="13:35"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  <c r="AF260" s="165"/>
      <c r="AG260" s="165"/>
      <c r="AH260" s="165"/>
      <c r="AI260" s="165"/>
    </row>
    <row r="261" spans="13:35"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  <c r="AF261" s="165"/>
      <c r="AG261" s="165"/>
      <c r="AH261" s="165"/>
      <c r="AI261" s="165"/>
    </row>
    <row r="262" spans="13:35"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  <c r="AF262" s="165"/>
      <c r="AG262" s="165"/>
      <c r="AH262" s="165"/>
      <c r="AI262" s="165"/>
    </row>
    <row r="263" spans="13:35"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  <c r="AF263" s="165"/>
      <c r="AG263" s="165"/>
      <c r="AH263" s="165"/>
      <c r="AI263" s="165"/>
    </row>
    <row r="264" spans="13:35"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  <c r="AF264" s="165"/>
      <c r="AG264" s="165"/>
      <c r="AH264" s="165"/>
      <c r="AI264" s="165"/>
    </row>
    <row r="265" spans="13:35"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  <c r="AG265" s="165"/>
      <c r="AH265" s="165"/>
      <c r="AI265" s="165"/>
    </row>
    <row r="266" spans="13:35"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  <c r="AF266" s="165"/>
      <c r="AG266" s="165"/>
      <c r="AH266" s="165"/>
      <c r="AI266" s="165"/>
    </row>
    <row r="267" spans="13:35"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  <c r="AF267" s="165"/>
      <c r="AG267" s="165"/>
      <c r="AH267" s="165"/>
      <c r="AI267" s="165"/>
    </row>
    <row r="268" spans="13:35"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</row>
    <row r="269" spans="13:35"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</row>
    <row r="270" spans="13:35"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  <c r="AG270" s="165"/>
      <c r="AH270" s="165"/>
      <c r="AI270" s="165"/>
    </row>
    <row r="271" spans="13:35"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  <c r="AF271" s="165"/>
      <c r="AG271" s="165"/>
      <c r="AH271" s="165"/>
      <c r="AI271" s="165"/>
    </row>
    <row r="272" spans="13:35"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</row>
    <row r="273" spans="13:35"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</row>
    <row r="274" spans="13:35"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</row>
    <row r="275" spans="13:35"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</row>
    <row r="276" spans="13:35"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</row>
    <row r="277" spans="13:35"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  <c r="AF277" s="165"/>
      <c r="AG277" s="165"/>
      <c r="AH277" s="165"/>
      <c r="AI277" s="165"/>
    </row>
    <row r="278" spans="13:35"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  <c r="AF278" s="165"/>
      <c r="AG278" s="165"/>
      <c r="AH278" s="165"/>
      <c r="AI278" s="165"/>
    </row>
    <row r="279" spans="13:35"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65"/>
    </row>
    <row r="280" spans="13:35"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65"/>
    </row>
    <row r="281" spans="13:35"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165"/>
    </row>
    <row r="282" spans="13:35"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165"/>
    </row>
    <row r="283" spans="13:35"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  <c r="AF283" s="165"/>
      <c r="AG283" s="165"/>
      <c r="AH283" s="165"/>
      <c r="AI283" s="165"/>
    </row>
    <row r="284" spans="13:35"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  <c r="AF284" s="165"/>
      <c r="AG284" s="165"/>
      <c r="AH284" s="165"/>
      <c r="AI284" s="165"/>
    </row>
    <row r="285" spans="13:35"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  <c r="AF285" s="165"/>
      <c r="AG285" s="165"/>
      <c r="AH285" s="165"/>
      <c r="AI285" s="165"/>
    </row>
    <row r="286" spans="13:35"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</row>
    <row r="287" spans="13:35"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</row>
    <row r="288" spans="13:35"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</row>
    <row r="289" spans="13:35"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</row>
    <row r="290" spans="13:35"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</row>
    <row r="291" spans="13:35"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</row>
    <row r="292" spans="13:35"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</row>
    <row r="293" spans="13:35"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</row>
    <row r="294" spans="13:35"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  <c r="AF294" s="165"/>
      <c r="AG294" s="165"/>
      <c r="AH294" s="165"/>
      <c r="AI294" s="165"/>
    </row>
    <row r="295" spans="13:35"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</row>
    <row r="296" spans="13:35"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</row>
    <row r="297" spans="13:35"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</row>
    <row r="298" spans="13:35"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</row>
    <row r="299" spans="13:35"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</row>
    <row r="300" spans="13:35"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</row>
    <row r="301" spans="13:35"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</row>
    <row r="302" spans="13:35"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</row>
    <row r="303" spans="13:35"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</row>
    <row r="304" spans="13:35"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</row>
    <row r="305" spans="13:35"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</row>
    <row r="306" spans="13:35"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</row>
    <row r="307" spans="13:35"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</row>
    <row r="308" spans="13:35"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</row>
    <row r="309" spans="13:35"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</row>
    <row r="310" spans="13:35"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</row>
    <row r="311" spans="13:35"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</row>
    <row r="312" spans="13:35"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  <c r="AF312" s="165"/>
      <c r="AG312" s="165"/>
      <c r="AH312" s="165"/>
      <c r="AI312" s="165"/>
    </row>
    <row r="313" spans="13:35"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</row>
    <row r="314" spans="13:35"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</row>
    <row r="315" spans="13:35"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</row>
    <row r="316" spans="13:35"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</row>
    <row r="317" spans="13:35"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</row>
    <row r="318" spans="13:35"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</row>
    <row r="319" spans="13:35"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</row>
    <row r="320" spans="13:35"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</row>
    <row r="321" spans="13:35"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</row>
    <row r="322" spans="13:35"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</row>
    <row r="323" spans="13:35"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</row>
    <row r="324" spans="13:35"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</row>
    <row r="325" spans="13:35"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</row>
    <row r="326" spans="13:35"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</row>
    <row r="327" spans="13:35"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</row>
    <row r="328" spans="13:35"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</row>
    <row r="329" spans="13:35"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</row>
    <row r="330" spans="13:35"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</row>
    <row r="331" spans="13:35"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</row>
    <row r="332" spans="13:35"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</row>
    <row r="333" spans="13:35"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</row>
    <row r="334" spans="13:35"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</row>
    <row r="335" spans="13:35"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</row>
    <row r="336" spans="13:35"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</row>
    <row r="337" spans="13:35"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</row>
    <row r="338" spans="13:35"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</row>
    <row r="339" spans="13:35"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</row>
    <row r="340" spans="13:35"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</row>
    <row r="341" spans="13:35"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</row>
    <row r="342" spans="13:35"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</row>
    <row r="343" spans="13:35"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</row>
    <row r="344" spans="13:35"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</row>
    <row r="345" spans="13:35"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</row>
    <row r="346" spans="13:35"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</row>
    <row r="347" spans="13:35"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</row>
    <row r="348" spans="13:35"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</row>
    <row r="349" spans="13:35"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</row>
    <row r="350" spans="13:35"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  <c r="AF350" s="165"/>
      <c r="AG350" s="165"/>
      <c r="AH350" s="165"/>
      <c r="AI350" s="165"/>
    </row>
    <row r="351" spans="13:35"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</row>
    <row r="352" spans="13:35"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</row>
    <row r="353" spans="13:35"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</row>
    <row r="354" spans="13:35"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  <c r="AF354" s="165"/>
      <c r="AG354" s="165"/>
      <c r="AH354" s="165"/>
      <c r="AI354" s="165"/>
    </row>
    <row r="355" spans="13:35"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  <c r="AF355" s="165"/>
      <c r="AG355" s="165"/>
      <c r="AH355" s="165"/>
      <c r="AI355" s="165"/>
    </row>
    <row r="356" spans="13:35"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</row>
    <row r="357" spans="13:35"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</row>
    <row r="358" spans="13:35"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</row>
    <row r="359" spans="13:35"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</row>
    <row r="360" spans="13:35"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</row>
    <row r="361" spans="13:35"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</row>
    <row r="362" spans="13:35"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</row>
    <row r="363" spans="13:35"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</row>
    <row r="364" spans="13:35"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</row>
    <row r="365" spans="13:35"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</row>
    <row r="366" spans="13:35"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</row>
    <row r="367" spans="13:35"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</row>
    <row r="368" spans="13:35"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</row>
    <row r="369" spans="13:35"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</row>
    <row r="370" spans="13:35"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</row>
    <row r="371" spans="13:35"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  <c r="AF371" s="165"/>
      <c r="AG371" s="165"/>
      <c r="AH371" s="165"/>
      <c r="AI371" s="165"/>
    </row>
    <row r="372" spans="13:35"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</row>
    <row r="373" spans="13:35"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</row>
    <row r="374" spans="13:35"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</row>
    <row r="375" spans="13:35"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</row>
    <row r="376" spans="13:35"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</row>
    <row r="377" spans="13:35"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  <c r="AF377" s="165"/>
      <c r="AG377" s="165"/>
      <c r="AH377" s="165"/>
      <c r="AI377" s="165"/>
    </row>
    <row r="378" spans="13:35"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</row>
    <row r="379" spans="13:35"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</row>
    <row r="380" spans="13:35"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</row>
    <row r="381" spans="13:35"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</row>
    <row r="382" spans="13:35"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</row>
    <row r="383" spans="13:35"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</row>
    <row r="384" spans="13:35"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</row>
    <row r="385" spans="13:35"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</row>
    <row r="386" spans="13:35"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</row>
    <row r="387" spans="13:35"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</row>
    <row r="388" spans="13:35"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</row>
    <row r="389" spans="13:35"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</row>
    <row r="390" spans="13:35"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</row>
    <row r="391" spans="13:35"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  <c r="AF391" s="165"/>
      <c r="AG391" s="165"/>
      <c r="AH391" s="165"/>
      <c r="AI391" s="165"/>
    </row>
    <row r="392" spans="13:35"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  <c r="AF392" s="165"/>
      <c r="AG392" s="165"/>
      <c r="AH392" s="165"/>
      <c r="AI392" s="165"/>
    </row>
    <row r="393" spans="13:35"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  <c r="AF393" s="165"/>
      <c r="AG393" s="165"/>
      <c r="AH393" s="165"/>
      <c r="AI393" s="165"/>
    </row>
    <row r="394" spans="13:35"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</row>
    <row r="395" spans="13:35"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</row>
    <row r="396" spans="13:35"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</row>
    <row r="397" spans="13:35"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</row>
    <row r="398" spans="13:35"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</row>
    <row r="399" spans="13:35"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</row>
    <row r="400" spans="13:35"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</row>
    <row r="401" spans="13:35"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</row>
    <row r="402" spans="13:35"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</row>
    <row r="403" spans="13:35"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</row>
    <row r="404" spans="13:35"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</row>
    <row r="405" spans="13:35"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</row>
    <row r="406" spans="13:35"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</row>
    <row r="407" spans="13:35"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</row>
    <row r="408" spans="13:35"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</row>
    <row r="409" spans="13:35"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</row>
    <row r="410" spans="13:35"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  <c r="AF410" s="165"/>
      <c r="AG410" s="165"/>
      <c r="AH410" s="165"/>
      <c r="AI410" s="165"/>
    </row>
    <row r="411" spans="13:35"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  <c r="AF411" s="165"/>
      <c r="AG411" s="165"/>
      <c r="AH411" s="165"/>
      <c r="AI411" s="165"/>
    </row>
    <row r="412" spans="13:35"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  <c r="AF412" s="165"/>
      <c r="AG412" s="165"/>
      <c r="AH412" s="165"/>
      <c r="AI412" s="165"/>
    </row>
    <row r="413" spans="13:35"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  <c r="AF413" s="165"/>
      <c r="AG413" s="165"/>
      <c r="AH413" s="165"/>
      <c r="AI413" s="165"/>
    </row>
    <row r="414" spans="13:35"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  <c r="AF414" s="165"/>
      <c r="AG414" s="165"/>
      <c r="AH414" s="165"/>
      <c r="AI414" s="165"/>
    </row>
    <row r="415" spans="13:35"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  <c r="AF415" s="165"/>
      <c r="AG415" s="165"/>
      <c r="AH415" s="165"/>
      <c r="AI415" s="165"/>
    </row>
    <row r="416" spans="13:35"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  <c r="AF416" s="165"/>
      <c r="AG416" s="165"/>
      <c r="AH416" s="165"/>
      <c r="AI416" s="165"/>
    </row>
    <row r="417" spans="13:35"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  <c r="AF417" s="165"/>
      <c r="AG417" s="165"/>
      <c r="AH417" s="165"/>
      <c r="AI417" s="165"/>
    </row>
    <row r="418" spans="13:35"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  <c r="AF418" s="165"/>
      <c r="AG418" s="165"/>
      <c r="AH418" s="165"/>
      <c r="AI418" s="165"/>
    </row>
    <row r="419" spans="13:35"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  <c r="AF419" s="165"/>
      <c r="AG419" s="165"/>
      <c r="AH419" s="165"/>
      <c r="AI419" s="165"/>
    </row>
    <row r="420" spans="13:35"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  <c r="AF420" s="165"/>
      <c r="AG420" s="165"/>
      <c r="AH420" s="165"/>
      <c r="AI420" s="165"/>
    </row>
    <row r="421" spans="13:35"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  <c r="AF421" s="165"/>
      <c r="AG421" s="165"/>
      <c r="AH421" s="165"/>
      <c r="AI421" s="165"/>
    </row>
    <row r="422" spans="13:35"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  <c r="AF422" s="165"/>
      <c r="AG422" s="165"/>
      <c r="AH422" s="165"/>
      <c r="AI422" s="165"/>
    </row>
    <row r="423" spans="13:35"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  <c r="AF423" s="165"/>
      <c r="AG423" s="165"/>
      <c r="AH423" s="165"/>
      <c r="AI423" s="165"/>
    </row>
    <row r="424" spans="13:35"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  <c r="AF424" s="165"/>
      <c r="AG424" s="165"/>
      <c r="AH424" s="165"/>
      <c r="AI424" s="165"/>
    </row>
    <row r="425" spans="13:35"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  <c r="AF425" s="165"/>
      <c r="AG425" s="165"/>
      <c r="AH425" s="165"/>
      <c r="AI425" s="165"/>
    </row>
    <row r="426" spans="13:35"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  <c r="AF426" s="165"/>
      <c r="AG426" s="165"/>
      <c r="AH426" s="165"/>
      <c r="AI426" s="165"/>
    </row>
    <row r="427" spans="13:35"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</row>
    <row r="428" spans="13:35"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</row>
    <row r="429" spans="13:35"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</row>
    <row r="430" spans="13:35"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  <c r="AF430" s="165"/>
      <c r="AG430" s="165"/>
      <c r="AH430" s="165"/>
      <c r="AI430" s="165"/>
    </row>
    <row r="431" spans="13:35"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</row>
    <row r="432" spans="13:35"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</row>
    <row r="433" spans="13:35"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</row>
    <row r="434" spans="13:35"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  <c r="AF434" s="165"/>
      <c r="AG434" s="165"/>
      <c r="AH434" s="165"/>
      <c r="AI434" s="165"/>
    </row>
    <row r="435" spans="13:35"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  <c r="AF435" s="165"/>
      <c r="AG435" s="165"/>
      <c r="AH435" s="165"/>
      <c r="AI435" s="165"/>
    </row>
    <row r="436" spans="13:35"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  <c r="AF436" s="165"/>
      <c r="AG436" s="165"/>
      <c r="AH436" s="165"/>
      <c r="AI436" s="165"/>
    </row>
    <row r="437" spans="13:35"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  <c r="AF437" s="165"/>
      <c r="AG437" s="165"/>
      <c r="AH437" s="165"/>
      <c r="AI437" s="165"/>
    </row>
    <row r="438" spans="13:35"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  <c r="AF438" s="165"/>
      <c r="AG438" s="165"/>
      <c r="AH438" s="165"/>
      <c r="AI438" s="165"/>
    </row>
    <row r="439" spans="13:35"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  <c r="AF439" s="165"/>
      <c r="AG439" s="165"/>
      <c r="AH439" s="165"/>
      <c r="AI439" s="165"/>
    </row>
    <row r="440" spans="13:35"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</row>
    <row r="441" spans="13:35"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</row>
    <row r="442" spans="13:35"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</row>
    <row r="443" spans="13:35"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</row>
    <row r="444" spans="13:35"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</row>
    <row r="445" spans="13:35"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  <c r="AF445" s="165"/>
      <c r="AG445" s="165"/>
      <c r="AH445" s="165"/>
      <c r="AI445" s="165"/>
    </row>
    <row r="446" spans="13:35"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  <c r="AF446" s="165"/>
      <c r="AG446" s="165"/>
      <c r="AH446" s="165"/>
      <c r="AI446" s="165"/>
    </row>
    <row r="447" spans="13:35"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  <c r="AF447" s="165"/>
      <c r="AG447" s="165"/>
      <c r="AH447" s="165"/>
      <c r="AI447" s="165"/>
    </row>
    <row r="448" spans="13:35"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  <c r="AF448" s="165"/>
      <c r="AG448" s="165"/>
      <c r="AH448" s="165"/>
      <c r="AI448" s="165"/>
    </row>
    <row r="449" spans="13:35"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  <c r="AF449" s="165"/>
      <c r="AG449" s="165"/>
      <c r="AH449" s="165"/>
      <c r="AI449" s="165"/>
    </row>
    <row r="450" spans="13:35"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  <c r="AF450" s="165"/>
      <c r="AG450" s="165"/>
      <c r="AH450" s="165"/>
      <c r="AI450" s="165"/>
    </row>
    <row r="451" spans="13:35"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  <c r="AF451" s="165"/>
      <c r="AG451" s="165"/>
      <c r="AH451" s="165"/>
      <c r="AI451" s="165"/>
    </row>
    <row r="452" spans="13:35"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  <c r="AF452" s="165"/>
      <c r="AG452" s="165"/>
      <c r="AH452" s="165"/>
      <c r="AI452" s="165"/>
    </row>
    <row r="453" spans="13:35"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  <c r="AF453" s="165"/>
      <c r="AG453" s="165"/>
      <c r="AH453" s="165"/>
      <c r="AI453" s="165"/>
    </row>
    <row r="454" spans="13:35"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</row>
    <row r="455" spans="13:35"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</row>
    <row r="456" spans="13:35"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</row>
    <row r="457" spans="13:35"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</row>
    <row r="458" spans="13:35"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</row>
    <row r="459" spans="13:35"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  <c r="AF459" s="165"/>
      <c r="AG459" s="165"/>
      <c r="AH459" s="165"/>
      <c r="AI459" s="165"/>
    </row>
    <row r="460" spans="13:35"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  <c r="AF460" s="165"/>
      <c r="AG460" s="165"/>
      <c r="AH460" s="165"/>
      <c r="AI460" s="165"/>
    </row>
    <row r="461" spans="13:35"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  <c r="AF461" s="165"/>
      <c r="AG461" s="165"/>
      <c r="AH461" s="165"/>
      <c r="AI461" s="165"/>
    </row>
    <row r="462" spans="13:35"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  <c r="AF462" s="165"/>
      <c r="AG462" s="165"/>
      <c r="AH462" s="165"/>
      <c r="AI462" s="165"/>
    </row>
    <row r="463" spans="13:35"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  <c r="AF463" s="165"/>
      <c r="AG463" s="165"/>
      <c r="AH463" s="165"/>
      <c r="AI463" s="165"/>
    </row>
    <row r="464" spans="13:35"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</row>
    <row r="465" spans="13:35"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  <c r="AF465" s="165"/>
      <c r="AG465" s="165"/>
      <c r="AH465" s="165"/>
      <c r="AI465" s="165"/>
    </row>
    <row r="466" spans="13:35"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  <c r="AF466" s="165"/>
      <c r="AG466" s="165"/>
      <c r="AH466" s="165"/>
      <c r="AI466" s="165"/>
    </row>
    <row r="467" spans="13:35"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  <c r="AF467" s="165"/>
      <c r="AG467" s="165"/>
      <c r="AH467" s="165"/>
      <c r="AI467" s="165"/>
    </row>
    <row r="468" spans="13:35"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  <c r="AF468" s="165"/>
      <c r="AG468" s="165"/>
      <c r="AH468" s="165"/>
      <c r="AI468" s="165"/>
    </row>
    <row r="469" spans="13:35"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  <c r="AF469" s="165"/>
      <c r="AG469" s="165"/>
      <c r="AH469" s="165"/>
      <c r="AI469" s="165"/>
    </row>
    <row r="470" spans="13:35"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  <c r="AF470" s="165"/>
      <c r="AG470" s="165"/>
      <c r="AH470" s="165"/>
      <c r="AI470" s="165"/>
    </row>
    <row r="471" spans="13:35"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  <c r="AF471" s="165"/>
      <c r="AG471" s="165"/>
      <c r="AH471" s="165"/>
      <c r="AI471" s="165"/>
    </row>
    <row r="472" spans="13:35"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  <c r="AF472" s="165"/>
      <c r="AG472" s="165"/>
      <c r="AH472" s="165"/>
      <c r="AI472" s="165"/>
    </row>
    <row r="473" spans="13:35"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  <c r="AF473" s="165"/>
      <c r="AG473" s="165"/>
      <c r="AH473" s="165"/>
      <c r="AI473" s="165"/>
    </row>
    <row r="474" spans="13:35"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  <c r="AF474" s="165"/>
      <c r="AG474" s="165"/>
      <c r="AH474" s="165"/>
      <c r="AI474" s="165"/>
    </row>
    <row r="475" spans="13:35"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  <c r="AF475" s="165"/>
      <c r="AG475" s="165"/>
      <c r="AH475" s="165"/>
      <c r="AI475" s="165"/>
    </row>
    <row r="476" spans="13:35"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  <c r="AF476" s="165"/>
      <c r="AG476" s="165"/>
      <c r="AH476" s="165"/>
      <c r="AI476" s="165"/>
    </row>
    <row r="477" spans="13:35"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  <c r="AF477" s="165"/>
      <c r="AG477" s="165"/>
      <c r="AH477" s="165"/>
      <c r="AI477" s="165"/>
    </row>
    <row r="478" spans="13:35"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  <c r="AF478" s="165"/>
      <c r="AG478" s="165"/>
      <c r="AH478" s="165"/>
      <c r="AI478" s="165"/>
    </row>
    <row r="479" spans="13:35"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  <c r="AF479" s="165"/>
      <c r="AG479" s="165"/>
      <c r="AH479" s="165"/>
      <c r="AI479" s="165"/>
    </row>
    <row r="480" spans="13:35"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  <c r="AF480" s="165"/>
      <c r="AG480" s="165"/>
      <c r="AH480" s="165"/>
      <c r="AI480" s="165"/>
    </row>
    <row r="481" spans="13:35"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  <c r="AF481" s="165"/>
      <c r="AG481" s="165"/>
      <c r="AH481" s="165"/>
      <c r="AI481" s="165"/>
    </row>
    <row r="482" spans="13:35"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  <c r="AF482" s="165"/>
      <c r="AG482" s="165"/>
      <c r="AH482" s="165"/>
      <c r="AI482" s="165"/>
    </row>
    <row r="483" spans="13:35"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  <c r="AF483" s="165"/>
      <c r="AG483" s="165"/>
      <c r="AH483" s="165"/>
      <c r="AI483" s="165"/>
    </row>
    <row r="484" spans="13:35"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  <c r="AF484" s="165"/>
      <c r="AG484" s="165"/>
      <c r="AH484" s="165"/>
      <c r="AI484" s="165"/>
    </row>
    <row r="485" spans="13:35"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  <c r="AF485" s="165"/>
      <c r="AG485" s="165"/>
      <c r="AH485" s="165"/>
      <c r="AI485" s="165"/>
    </row>
    <row r="486" spans="13:35"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  <c r="AF486" s="165"/>
      <c r="AG486" s="165"/>
      <c r="AH486" s="165"/>
      <c r="AI486" s="165"/>
    </row>
    <row r="487" spans="13:35"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  <c r="AF487" s="165"/>
      <c r="AG487" s="165"/>
      <c r="AH487" s="165"/>
      <c r="AI487" s="165"/>
    </row>
    <row r="488" spans="13:35"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  <c r="AF488" s="165"/>
      <c r="AG488" s="165"/>
      <c r="AH488" s="165"/>
      <c r="AI488" s="165"/>
    </row>
    <row r="489" spans="13:35"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  <c r="AF489" s="165"/>
      <c r="AG489" s="165"/>
      <c r="AH489" s="165"/>
      <c r="AI489" s="165"/>
    </row>
    <row r="490" spans="13:35"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  <c r="AF490" s="165"/>
      <c r="AG490" s="165"/>
      <c r="AH490" s="165"/>
      <c r="AI490" s="165"/>
    </row>
    <row r="491" spans="13:35"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  <c r="AF491" s="165"/>
      <c r="AG491" s="165"/>
      <c r="AH491" s="165"/>
      <c r="AI491" s="165"/>
    </row>
    <row r="492" spans="13:35"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  <c r="AF492" s="165"/>
      <c r="AG492" s="165"/>
      <c r="AH492" s="165"/>
      <c r="AI492" s="165"/>
    </row>
    <row r="493" spans="13:35"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  <c r="AF493" s="165"/>
      <c r="AG493" s="165"/>
      <c r="AH493" s="165"/>
      <c r="AI493" s="165"/>
    </row>
    <row r="494" spans="13:35"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  <c r="AF494" s="165"/>
      <c r="AG494" s="165"/>
      <c r="AH494" s="165"/>
      <c r="AI494" s="165"/>
    </row>
    <row r="495" spans="13:35"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  <c r="AF495" s="165"/>
      <c r="AG495" s="165"/>
      <c r="AH495" s="165"/>
      <c r="AI495" s="165"/>
    </row>
    <row r="496" spans="13:35"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</row>
    <row r="497" spans="13:35"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</row>
    <row r="498" spans="13:35"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</row>
    <row r="499" spans="13:35"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</row>
    <row r="500" spans="13:35"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</row>
    <row r="501" spans="13:35"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</row>
    <row r="502" spans="13:35"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</row>
    <row r="503" spans="13:35"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</row>
    <row r="504" spans="13:35"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</row>
    <row r="505" spans="13:35"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</row>
    <row r="506" spans="13:35"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</row>
    <row r="507" spans="13:35"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</row>
    <row r="508" spans="13:35"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</row>
    <row r="509" spans="13:35"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</row>
    <row r="510" spans="13:35"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</row>
    <row r="511" spans="13:35"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</row>
    <row r="512" spans="13:35"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  <c r="AF512" s="165"/>
      <c r="AG512" s="165"/>
      <c r="AH512" s="165"/>
      <c r="AI512" s="165"/>
    </row>
    <row r="513" spans="13:35"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  <c r="AF513" s="165"/>
      <c r="AG513" s="165"/>
      <c r="AH513" s="165"/>
      <c r="AI513" s="165"/>
    </row>
    <row r="514" spans="13:35"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  <c r="AF514" s="165"/>
      <c r="AG514" s="165"/>
      <c r="AH514" s="165"/>
      <c r="AI514" s="165"/>
    </row>
    <row r="515" spans="13:35"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  <c r="AF515" s="165"/>
      <c r="AG515" s="165"/>
      <c r="AH515" s="165"/>
      <c r="AI515" s="165"/>
    </row>
    <row r="516" spans="13:35"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  <c r="AF516" s="165"/>
      <c r="AG516" s="165"/>
      <c r="AH516" s="165"/>
      <c r="AI516" s="165"/>
    </row>
    <row r="517" spans="13:35"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  <c r="AF517" s="165"/>
      <c r="AG517" s="165"/>
      <c r="AH517" s="165"/>
      <c r="AI517" s="165"/>
    </row>
    <row r="518" spans="13:35"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  <c r="AF518" s="165"/>
      <c r="AG518" s="165"/>
      <c r="AH518" s="165"/>
      <c r="AI518" s="165"/>
    </row>
    <row r="519" spans="13:35"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  <c r="AF519" s="165"/>
      <c r="AG519" s="165"/>
      <c r="AH519" s="165"/>
      <c r="AI519" s="165"/>
    </row>
    <row r="520" spans="13:35"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  <c r="AF520" s="165"/>
      <c r="AG520" s="165"/>
      <c r="AH520" s="165"/>
      <c r="AI520" s="165"/>
    </row>
    <row r="521" spans="13:35"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  <c r="AF521" s="165"/>
      <c r="AG521" s="165"/>
      <c r="AH521" s="165"/>
      <c r="AI521" s="165"/>
    </row>
    <row r="522" spans="13:35"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  <c r="AF522" s="165"/>
      <c r="AG522" s="165"/>
      <c r="AH522" s="165"/>
      <c r="AI522" s="165"/>
    </row>
    <row r="523" spans="13:35"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  <c r="AF523" s="165"/>
      <c r="AG523" s="165"/>
      <c r="AH523" s="165"/>
      <c r="AI523" s="165"/>
    </row>
    <row r="524" spans="13:35"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  <c r="AF524" s="165"/>
      <c r="AG524" s="165"/>
      <c r="AH524" s="165"/>
      <c r="AI524" s="165"/>
    </row>
    <row r="525" spans="13:35"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  <c r="AF525" s="165"/>
      <c r="AG525" s="165"/>
      <c r="AH525" s="165"/>
      <c r="AI525" s="165"/>
    </row>
    <row r="526" spans="13:35"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  <c r="AF526" s="165"/>
      <c r="AG526" s="165"/>
      <c r="AH526" s="165"/>
      <c r="AI526" s="165"/>
    </row>
    <row r="527" spans="13:35"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  <c r="AF527" s="165"/>
      <c r="AG527" s="165"/>
      <c r="AH527" s="165"/>
      <c r="AI527" s="165"/>
    </row>
    <row r="528" spans="13:35"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  <c r="AF528" s="165"/>
      <c r="AG528" s="165"/>
      <c r="AH528" s="165"/>
      <c r="AI528" s="165"/>
    </row>
    <row r="529" spans="13:35"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  <c r="AF529" s="165"/>
      <c r="AG529" s="165"/>
      <c r="AH529" s="165"/>
      <c r="AI529" s="165"/>
    </row>
    <row r="530" spans="13:35"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  <c r="AF530" s="165"/>
      <c r="AG530" s="165"/>
      <c r="AH530" s="165"/>
      <c r="AI530" s="165"/>
    </row>
    <row r="531" spans="13:35"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  <c r="AF531" s="165"/>
      <c r="AG531" s="165"/>
      <c r="AH531" s="165"/>
      <c r="AI531" s="165"/>
    </row>
    <row r="532" spans="13:35"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  <c r="AF532" s="165"/>
      <c r="AG532" s="165"/>
      <c r="AH532" s="165"/>
      <c r="AI532" s="165"/>
    </row>
    <row r="533" spans="13:35"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</row>
    <row r="534" spans="13:35"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</row>
    <row r="535" spans="13:35"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</row>
    <row r="536" spans="13:35"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</row>
    <row r="537" spans="13:35"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</row>
    <row r="538" spans="13:35"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</row>
    <row r="539" spans="13:35"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</row>
    <row r="540" spans="13:35"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</row>
    <row r="541" spans="13:35"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</row>
    <row r="542" spans="13:35"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</row>
    <row r="543" spans="13:35"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</row>
    <row r="544" spans="13:35"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</row>
    <row r="545" spans="13:35"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</row>
    <row r="546" spans="13:35"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</row>
    <row r="547" spans="13:35"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</row>
    <row r="548" spans="13:35"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</row>
    <row r="549" spans="13:35"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</row>
    <row r="550" spans="13:35"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</row>
    <row r="551" spans="13:35"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</row>
    <row r="552" spans="13:35"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</row>
    <row r="553" spans="13:35"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</row>
    <row r="554" spans="13:35"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  <c r="AF554" s="165"/>
      <c r="AG554" s="165"/>
      <c r="AH554" s="165"/>
      <c r="AI554" s="165"/>
    </row>
    <row r="555" spans="13:35"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  <c r="AF555" s="165"/>
      <c r="AG555" s="165"/>
      <c r="AH555" s="165"/>
      <c r="AI555" s="165"/>
    </row>
    <row r="556" spans="13:35"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  <c r="AF556" s="165"/>
      <c r="AG556" s="165"/>
      <c r="AH556" s="165"/>
      <c r="AI556" s="165"/>
    </row>
    <row r="557" spans="13:35"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</row>
    <row r="558" spans="13:35"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</row>
    <row r="559" spans="13:35"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</row>
    <row r="560" spans="13:35"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</row>
    <row r="561" spans="13:35"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</row>
    <row r="562" spans="13:35"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</row>
    <row r="563" spans="13:35"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</row>
    <row r="564" spans="13:35"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</row>
    <row r="565" spans="13:35"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</row>
    <row r="566" spans="13:35"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</row>
    <row r="567" spans="13:35"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</row>
    <row r="568" spans="13:35"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</row>
    <row r="569" spans="13:35"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</row>
    <row r="570" spans="13:35"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</row>
    <row r="571" spans="13:35"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</row>
    <row r="572" spans="13:35"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</row>
    <row r="573" spans="13:35"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</row>
    <row r="574" spans="13:35"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</row>
    <row r="575" spans="13:35"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  <c r="AF575" s="165"/>
      <c r="AG575" s="165"/>
      <c r="AH575" s="165"/>
      <c r="AI575" s="165"/>
    </row>
    <row r="576" spans="13:35"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</row>
    <row r="577" spans="13:35"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</row>
    <row r="578" spans="13:35"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</row>
    <row r="579" spans="13:35"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  <c r="AF579" s="165"/>
      <c r="AG579" s="165"/>
      <c r="AH579" s="165"/>
      <c r="AI579" s="165"/>
    </row>
    <row r="580" spans="13:35"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  <c r="AF580" s="165"/>
      <c r="AG580" s="165"/>
      <c r="AH580" s="165"/>
      <c r="AI580" s="165"/>
    </row>
    <row r="581" spans="13:35"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</row>
    <row r="582" spans="13:35"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</row>
    <row r="583" spans="13:35"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</row>
    <row r="584" spans="13:35"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</row>
    <row r="585" spans="13:35"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</row>
    <row r="586" spans="13:35"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</row>
    <row r="587" spans="13:35"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</row>
    <row r="588" spans="13:35"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</row>
    <row r="589" spans="13:35"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</row>
    <row r="590" spans="13:35"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</row>
    <row r="591" spans="13:35"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</row>
    <row r="592" spans="13:35"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</row>
    <row r="593" spans="13:35"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</row>
    <row r="594" spans="13:35"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</row>
    <row r="595" spans="13:35"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</row>
    <row r="596" spans="13:35"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</row>
    <row r="597" spans="13:35"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</row>
    <row r="598" spans="13:35"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</row>
    <row r="599" spans="13:35"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</row>
    <row r="600" spans="13:35"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</row>
    <row r="601" spans="13:35"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  <c r="AF601" s="165"/>
      <c r="AG601" s="165"/>
      <c r="AH601" s="165"/>
      <c r="AI601" s="165"/>
    </row>
    <row r="602" spans="13:35"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</row>
    <row r="603" spans="13:35"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</row>
    <row r="604" spans="13:35"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</row>
    <row r="605" spans="13:35"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</row>
    <row r="606" spans="13:35"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</row>
    <row r="607" spans="13:35"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</row>
    <row r="608" spans="13:35"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</row>
    <row r="609" spans="13:35"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</row>
    <row r="610" spans="13:35"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</row>
    <row r="611" spans="13:35"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</row>
    <row r="612" spans="13:35"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</row>
    <row r="613" spans="13:35"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</row>
    <row r="614" spans="13:35"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</row>
    <row r="615" spans="13:35"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</row>
    <row r="616" spans="13:35"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</row>
    <row r="617" spans="13:35"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</row>
    <row r="618" spans="13:35"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</row>
    <row r="619" spans="13:35"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</row>
    <row r="620" spans="13:35"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</row>
    <row r="621" spans="13:35"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</row>
    <row r="622" spans="13:35"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</row>
    <row r="623" spans="13:35"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</row>
    <row r="624" spans="13:35"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</row>
    <row r="625" spans="13:35"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</row>
    <row r="626" spans="13:35"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</row>
    <row r="627" spans="13:35"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</row>
    <row r="628" spans="13:35"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</row>
    <row r="629" spans="13:35"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</row>
    <row r="630" spans="13:35"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</row>
    <row r="631" spans="13:35"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</row>
    <row r="632" spans="13:35"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</row>
    <row r="633" spans="13:35"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</row>
    <row r="634" spans="13:35"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</row>
    <row r="635" spans="13:35"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</row>
    <row r="636" spans="13:35"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</row>
    <row r="637" spans="13:35"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</row>
    <row r="638" spans="13:35"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</row>
    <row r="639" spans="13:35"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</row>
    <row r="640" spans="13:35"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</row>
    <row r="641" spans="13:35"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  <c r="AF641" s="165"/>
      <c r="AG641" s="165"/>
      <c r="AH641" s="165"/>
      <c r="AI641" s="165"/>
    </row>
    <row r="642" spans="13:35"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  <c r="AF642" s="165"/>
      <c r="AG642" s="165"/>
      <c r="AH642" s="165"/>
      <c r="AI642" s="165"/>
    </row>
    <row r="643" spans="13:35"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  <c r="AF643" s="165"/>
      <c r="AG643" s="165"/>
      <c r="AH643" s="165"/>
      <c r="AI643" s="165"/>
    </row>
    <row r="644" spans="13:35"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  <c r="AF644" s="165"/>
      <c r="AG644" s="165"/>
      <c r="AH644" s="165"/>
      <c r="AI644" s="165"/>
    </row>
    <row r="645" spans="13:35"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  <c r="AF645" s="165"/>
      <c r="AG645" s="165"/>
      <c r="AH645" s="165"/>
      <c r="AI645" s="165"/>
    </row>
    <row r="646" spans="13:35"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  <c r="AF646" s="165"/>
      <c r="AG646" s="165"/>
      <c r="AH646" s="165"/>
      <c r="AI646" s="165"/>
    </row>
    <row r="647" spans="13:35"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  <c r="AF647" s="165"/>
      <c r="AG647" s="165"/>
      <c r="AH647" s="165"/>
      <c r="AI647" s="165"/>
    </row>
    <row r="648" spans="13:35"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  <c r="AF648" s="165"/>
      <c r="AG648" s="165"/>
      <c r="AH648" s="165"/>
      <c r="AI648" s="165"/>
    </row>
    <row r="649" spans="13:35"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  <c r="AF649" s="165"/>
      <c r="AG649" s="165"/>
      <c r="AH649" s="165"/>
      <c r="AI649" s="165"/>
    </row>
    <row r="650" spans="13:35"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  <c r="AF650" s="165"/>
      <c r="AG650" s="165"/>
      <c r="AH650" s="165"/>
      <c r="AI650" s="165"/>
    </row>
    <row r="651" spans="13:35"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  <c r="AF651" s="165"/>
      <c r="AG651" s="165"/>
      <c r="AH651" s="165"/>
      <c r="AI651" s="165"/>
    </row>
    <row r="652" spans="13:35"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  <c r="AF652" s="165"/>
      <c r="AG652" s="165"/>
      <c r="AH652" s="165"/>
      <c r="AI652" s="165"/>
    </row>
    <row r="653" spans="13:35"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  <c r="AF653" s="165"/>
      <c r="AG653" s="165"/>
      <c r="AH653" s="165"/>
      <c r="AI653" s="165"/>
    </row>
    <row r="654" spans="13:35"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  <c r="AF654" s="165"/>
      <c r="AG654" s="165"/>
      <c r="AH654" s="165"/>
      <c r="AI654" s="165"/>
    </row>
    <row r="655" spans="13:35"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  <c r="AF655" s="165"/>
      <c r="AG655" s="165"/>
      <c r="AH655" s="165"/>
      <c r="AI655" s="165"/>
    </row>
    <row r="656" spans="13:35"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  <c r="AF656" s="165"/>
      <c r="AG656" s="165"/>
      <c r="AH656" s="165"/>
      <c r="AI656" s="165"/>
    </row>
    <row r="657" spans="13:35"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  <c r="AF657" s="165"/>
      <c r="AG657" s="165"/>
      <c r="AH657" s="165"/>
      <c r="AI657" s="165"/>
    </row>
    <row r="658" spans="13:35"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5"/>
      <c r="AG658" s="165"/>
      <c r="AH658" s="165"/>
      <c r="AI658" s="165"/>
    </row>
    <row r="659" spans="13:35"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  <c r="AF659" s="165"/>
      <c r="AG659" s="165"/>
      <c r="AH659" s="165"/>
      <c r="AI659" s="165"/>
    </row>
    <row r="660" spans="13:35"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  <c r="AF660" s="165"/>
      <c r="AG660" s="165"/>
      <c r="AH660" s="165"/>
      <c r="AI660" s="165"/>
    </row>
    <row r="661" spans="13:35"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  <c r="AF661" s="165"/>
      <c r="AG661" s="165"/>
      <c r="AH661" s="165"/>
      <c r="AI661" s="165"/>
    </row>
    <row r="662" spans="13:35"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5"/>
      <c r="AD662" s="165"/>
      <c r="AE662" s="165"/>
      <c r="AF662" s="165"/>
      <c r="AG662" s="165"/>
      <c r="AH662" s="165"/>
      <c r="AI662" s="165"/>
    </row>
    <row r="663" spans="13:35"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5"/>
      <c r="AD663" s="165"/>
      <c r="AE663" s="165"/>
      <c r="AF663" s="165"/>
      <c r="AG663" s="165"/>
      <c r="AH663" s="165"/>
      <c r="AI663" s="165"/>
    </row>
    <row r="664" spans="13:35"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  <c r="AF664" s="165"/>
      <c r="AG664" s="165"/>
      <c r="AH664" s="165"/>
      <c r="AI664" s="165"/>
    </row>
    <row r="665" spans="13:35"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  <c r="AF665" s="165"/>
      <c r="AG665" s="165"/>
      <c r="AH665" s="165"/>
      <c r="AI665" s="165"/>
    </row>
    <row r="666" spans="13:35"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  <c r="AF666" s="165"/>
      <c r="AG666" s="165"/>
      <c r="AH666" s="165"/>
      <c r="AI666" s="165"/>
    </row>
    <row r="667" spans="13:35"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  <c r="AF667" s="165"/>
      <c r="AG667" s="165"/>
      <c r="AH667" s="165"/>
      <c r="AI667" s="165"/>
    </row>
    <row r="668" spans="13:35"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  <c r="AF668" s="165"/>
      <c r="AG668" s="165"/>
      <c r="AH668" s="165"/>
      <c r="AI668" s="165"/>
    </row>
    <row r="669" spans="13:35"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5"/>
      <c r="AD669" s="165"/>
      <c r="AE669" s="165"/>
      <c r="AF669" s="165"/>
      <c r="AG669" s="165"/>
      <c r="AH669" s="165"/>
      <c r="AI669" s="165"/>
    </row>
    <row r="670" spans="13:35"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5"/>
      <c r="AD670" s="165"/>
      <c r="AE670" s="165"/>
      <c r="AF670" s="165"/>
      <c r="AG670" s="165"/>
      <c r="AH670" s="165"/>
      <c r="AI670" s="165"/>
    </row>
    <row r="671" spans="13:35"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5"/>
      <c r="AD671" s="165"/>
      <c r="AE671" s="165"/>
      <c r="AF671" s="165"/>
      <c r="AG671" s="165"/>
      <c r="AH671" s="165"/>
      <c r="AI671" s="165"/>
    </row>
    <row r="672" spans="13:35"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5"/>
      <c r="AD672" s="165"/>
      <c r="AE672" s="165"/>
      <c r="AF672" s="165"/>
      <c r="AG672" s="165"/>
      <c r="AH672" s="165"/>
      <c r="AI672" s="165"/>
    </row>
    <row r="673" spans="13:35"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5"/>
      <c r="AD673" s="165"/>
      <c r="AE673" s="165"/>
      <c r="AF673" s="165"/>
      <c r="AG673" s="165"/>
      <c r="AH673" s="165"/>
      <c r="AI673" s="165"/>
    </row>
    <row r="674" spans="13:35"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5"/>
      <c r="AD674" s="165"/>
      <c r="AE674" s="165"/>
      <c r="AF674" s="165"/>
      <c r="AG674" s="165"/>
      <c r="AH674" s="165"/>
      <c r="AI674" s="165"/>
    </row>
    <row r="675" spans="13:35"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5"/>
      <c r="AD675" s="165"/>
      <c r="AE675" s="165"/>
      <c r="AF675" s="165"/>
      <c r="AG675" s="165"/>
      <c r="AH675" s="165"/>
      <c r="AI675" s="165"/>
    </row>
    <row r="676" spans="13:35"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5"/>
      <c r="AD676" s="165"/>
      <c r="AE676" s="165"/>
      <c r="AF676" s="165"/>
      <c r="AG676" s="165"/>
      <c r="AH676" s="165"/>
      <c r="AI676" s="165"/>
    </row>
    <row r="677" spans="13:35"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5"/>
      <c r="AD677" s="165"/>
      <c r="AE677" s="165"/>
      <c r="AF677" s="165"/>
      <c r="AG677" s="165"/>
      <c r="AH677" s="165"/>
      <c r="AI677" s="165"/>
    </row>
    <row r="678" spans="13:35"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5"/>
      <c r="AD678" s="165"/>
      <c r="AE678" s="165"/>
      <c r="AF678" s="165"/>
      <c r="AG678" s="165"/>
      <c r="AH678" s="165"/>
      <c r="AI678" s="165"/>
    </row>
    <row r="679" spans="13:35"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5"/>
      <c r="AD679" s="165"/>
      <c r="AE679" s="165"/>
      <c r="AF679" s="165"/>
      <c r="AG679" s="165"/>
      <c r="AH679" s="165"/>
      <c r="AI679" s="165"/>
    </row>
    <row r="680" spans="13:35"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5"/>
      <c r="AD680" s="165"/>
      <c r="AE680" s="165"/>
      <c r="AF680" s="165"/>
      <c r="AG680" s="165"/>
      <c r="AH680" s="165"/>
      <c r="AI680" s="165"/>
    </row>
    <row r="681" spans="13:35"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5"/>
      <c r="AD681" s="165"/>
      <c r="AE681" s="165"/>
      <c r="AF681" s="165"/>
      <c r="AG681" s="165"/>
      <c r="AH681" s="165"/>
      <c r="AI681" s="165"/>
    </row>
    <row r="682" spans="13:35"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5"/>
      <c r="AD682" s="165"/>
      <c r="AE682" s="165"/>
      <c r="AF682" s="165"/>
      <c r="AG682" s="165"/>
      <c r="AH682" s="165"/>
      <c r="AI682" s="165"/>
    </row>
    <row r="683" spans="13:35"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5"/>
      <c r="AD683" s="165"/>
      <c r="AE683" s="165"/>
      <c r="AF683" s="165"/>
      <c r="AG683" s="165"/>
      <c r="AH683" s="165"/>
      <c r="AI683" s="165"/>
    </row>
    <row r="684" spans="13:35"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5"/>
      <c r="AD684" s="165"/>
      <c r="AE684" s="165"/>
      <c r="AF684" s="165"/>
      <c r="AG684" s="165"/>
      <c r="AH684" s="165"/>
      <c r="AI684" s="165"/>
    </row>
    <row r="685" spans="13:35"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5"/>
      <c r="AD685" s="165"/>
      <c r="AE685" s="165"/>
      <c r="AF685" s="165"/>
      <c r="AG685" s="165"/>
      <c r="AH685" s="165"/>
      <c r="AI685" s="165"/>
    </row>
    <row r="686" spans="13:35"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5"/>
      <c r="AD686" s="165"/>
      <c r="AE686" s="165"/>
      <c r="AF686" s="165"/>
      <c r="AG686" s="165"/>
      <c r="AH686" s="165"/>
      <c r="AI686" s="165"/>
    </row>
    <row r="687" spans="13:35"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5"/>
      <c r="AD687" s="165"/>
      <c r="AE687" s="165"/>
      <c r="AF687" s="165"/>
      <c r="AG687" s="165"/>
      <c r="AH687" s="165"/>
      <c r="AI687" s="165"/>
    </row>
    <row r="688" spans="13:35"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5"/>
      <c r="AD688" s="165"/>
      <c r="AE688" s="165"/>
      <c r="AF688" s="165"/>
      <c r="AG688" s="165"/>
      <c r="AH688" s="165"/>
      <c r="AI688" s="165"/>
    </row>
    <row r="689" spans="13:35"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5"/>
      <c r="AD689" s="165"/>
      <c r="AE689" s="165"/>
      <c r="AF689" s="165"/>
      <c r="AG689" s="165"/>
      <c r="AH689" s="165"/>
      <c r="AI689" s="165"/>
    </row>
    <row r="690" spans="13:35"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5"/>
      <c r="AD690" s="165"/>
      <c r="AE690" s="165"/>
      <c r="AF690" s="165"/>
      <c r="AG690" s="165"/>
      <c r="AH690" s="165"/>
      <c r="AI690" s="165"/>
    </row>
    <row r="691" spans="13:35"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5"/>
      <c r="AD691" s="165"/>
      <c r="AE691" s="165"/>
      <c r="AF691" s="165"/>
      <c r="AG691" s="165"/>
      <c r="AH691" s="165"/>
      <c r="AI691" s="165"/>
    </row>
    <row r="692" spans="13:35"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5"/>
      <c r="AD692" s="165"/>
      <c r="AE692" s="165"/>
      <c r="AF692" s="165"/>
      <c r="AG692" s="165"/>
      <c r="AH692" s="165"/>
      <c r="AI692" s="165"/>
    </row>
    <row r="693" spans="13:35"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5"/>
      <c r="AD693" s="165"/>
      <c r="AE693" s="165"/>
      <c r="AF693" s="165"/>
      <c r="AG693" s="165"/>
      <c r="AH693" s="165"/>
      <c r="AI693" s="165"/>
    </row>
    <row r="694" spans="13:35"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5"/>
      <c r="AD694" s="165"/>
      <c r="AE694" s="165"/>
      <c r="AF694" s="165"/>
      <c r="AG694" s="165"/>
      <c r="AH694" s="165"/>
      <c r="AI694" s="165"/>
    </row>
    <row r="695" spans="13:35"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5"/>
      <c r="AD695" s="165"/>
      <c r="AE695" s="165"/>
      <c r="AF695" s="165"/>
      <c r="AG695" s="165"/>
      <c r="AH695" s="165"/>
      <c r="AI695" s="165"/>
    </row>
    <row r="696" spans="13:35"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5"/>
      <c r="AD696" s="165"/>
      <c r="AE696" s="165"/>
      <c r="AF696" s="165"/>
      <c r="AG696" s="165"/>
      <c r="AH696" s="165"/>
      <c r="AI696" s="165"/>
    </row>
    <row r="697" spans="13:35"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5"/>
      <c r="AD697" s="165"/>
      <c r="AE697" s="165"/>
      <c r="AF697" s="165"/>
      <c r="AG697" s="165"/>
      <c r="AH697" s="165"/>
      <c r="AI697" s="165"/>
    </row>
    <row r="698" spans="13:35"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5"/>
      <c r="AD698" s="165"/>
      <c r="AE698" s="165"/>
      <c r="AF698" s="165"/>
      <c r="AG698" s="165"/>
      <c r="AH698" s="165"/>
      <c r="AI698" s="165"/>
    </row>
    <row r="699" spans="13:35"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5"/>
      <c r="AD699" s="165"/>
      <c r="AE699" s="165"/>
      <c r="AF699" s="165"/>
      <c r="AG699" s="165"/>
      <c r="AH699" s="165"/>
      <c r="AI699" s="165"/>
    </row>
    <row r="700" spans="13:35"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5"/>
      <c r="AD700" s="165"/>
      <c r="AE700" s="165"/>
      <c r="AF700" s="165"/>
      <c r="AG700" s="165"/>
      <c r="AH700" s="165"/>
      <c r="AI700" s="165"/>
    </row>
    <row r="701" spans="13:35"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5"/>
      <c r="AD701" s="165"/>
      <c r="AE701" s="165"/>
      <c r="AF701" s="165"/>
      <c r="AG701" s="165"/>
      <c r="AH701" s="165"/>
      <c r="AI701" s="165"/>
    </row>
    <row r="702" spans="13:35"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5"/>
      <c r="AD702" s="165"/>
      <c r="AE702" s="165"/>
      <c r="AF702" s="165"/>
      <c r="AG702" s="165"/>
      <c r="AH702" s="165"/>
      <c r="AI702" s="165"/>
    </row>
    <row r="703" spans="13:35"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5"/>
      <c r="AD703" s="165"/>
      <c r="AE703" s="165"/>
      <c r="AF703" s="165"/>
      <c r="AG703" s="165"/>
      <c r="AH703" s="165"/>
      <c r="AI703" s="165"/>
    </row>
    <row r="704" spans="13:35">
      <c r="M704" s="165"/>
      <c r="N704" s="165"/>
      <c r="O704" s="165"/>
      <c r="P704" s="165"/>
      <c r="V704" s="165"/>
      <c r="W704" s="165"/>
      <c r="X704" s="165"/>
      <c r="Y704" s="165"/>
      <c r="Z704" s="165"/>
      <c r="AA704" s="165"/>
      <c r="AB704" s="165"/>
      <c r="AC704" s="165"/>
      <c r="AD704" s="165"/>
      <c r="AE704" s="165"/>
      <c r="AF704" s="165"/>
      <c r="AG704" s="165"/>
      <c r="AH704" s="165"/>
      <c r="AI704" s="165"/>
    </row>
    <row r="705" spans="23:34">
      <c r="W705" s="165"/>
      <c r="X705" s="165"/>
      <c r="Y705" s="165"/>
      <c r="Z705" s="165"/>
      <c r="AA705" s="165"/>
      <c r="AB705" s="165"/>
      <c r="AC705" s="165"/>
      <c r="AD705" s="165"/>
      <c r="AE705" s="165"/>
      <c r="AF705" s="165"/>
      <c r="AG705" s="165"/>
      <c r="AH705" s="165"/>
    </row>
    <row r="706" spans="23:34">
      <c r="W706" s="165"/>
      <c r="X706" s="165"/>
      <c r="Y706" s="165"/>
      <c r="Z706" s="165"/>
      <c r="AA706" s="165"/>
      <c r="AB706" s="165"/>
      <c r="AC706" s="165"/>
      <c r="AD706" s="165"/>
      <c r="AE706" s="165"/>
      <c r="AF706" s="165"/>
      <c r="AG706" s="165"/>
      <c r="AH706" s="165"/>
    </row>
    <row r="707" spans="23:34">
      <c r="W707" s="165"/>
      <c r="X707" s="165"/>
      <c r="Y707" s="165"/>
      <c r="Z707" s="165"/>
      <c r="AA707" s="165"/>
      <c r="AB707" s="165"/>
      <c r="AC707" s="165"/>
      <c r="AD707" s="165"/>
      <c r="AE707" s="165"/>
      <c r="AF707" s="165"/>
      <c r="AG707" s="165"/>
      <c r="AH707" s="165"/>
    </row>
    <row r="708" spans="23:34">
      <c r="W708" s="165"/>
      <c r="X708" s="165"/>
      <c r="Y708" s="165"/>
      <c r="Z708" s="165"/>
      <c r="AA708" s="165"/>
      <c r="AB708" s="165"/>
      <c r="AC708" s="165"/>
      <c r="AD708" s="165"/>
      <c r="AE708" s="165"/>
      <c r="AF708" s="165"/>
      <c r="AG708" s="165"/>
      <c r="AH708" s="165"/>
    </row>
    <row r="709" spans="23:34">
      <c r="W709" s="165"/>
      <c r="X709" s="165"/>
      <c r="Y709" s="165"/>
      <c r="Z709" s="165"/>
      <c r="AA709" s="165"/>
      <c r="AB709" s="165"/>
      <c r="AC709" s="165"/>
      <c r="AD709" s="165"/>
      <c r="AE709" s="165"/>
      <c r="AF709" s="165"/>
      <c r="AG709" s="165"/>
      <c r="AH709" s="165"/>
    </row>
    <row r="710" spans="23:34">
      <c r="W710" s="165"/>
      <c r="X710" s="165"/>
      <c r="Y710" s="165"/>
      <c r="Z710" s="165"/>
      <c r="AA710" s="165"/>
      <c r="AB710" s="165"/>
      <c r="AC710" s="165"/>
      <c r="AD710" s="165"/>
      <c r="AE710" s="165"/>
      <c r="AF710" s="165"/>
      <c r="AG710" s="165"/>
      <c r="AH710" s="165"/>
    </row>
    <row r="711" spans="23:34">
      <c r="W711" s="165"/>
      <c r="X711" s="165"/>
      <c r="Y711" s="165"/>
      <c r="Z711" s="165"/>
      <c r="AA711" s="165"/>
      <c r="AB711" s="165"/>
      <c r="AC711" s="165"/>
      <c r="AD711" s="165"/>
      <c r="AE711" s="165"/>
      <c r="AF711" s="165"/>
      <c r="AG711" s="165"/>
      <c r="AH711" s="165"/>
    </row>
    <row r="712" spans="23:34">
      <c r="W712" s="165"/>
      <c r="X712" s="165"/>
      <c r="Y712" s="165"/>
      <c r="Z712" s="165"/>
      <c r="AA712" s="165"/>
      <c r="AB712" s="165"/>
      <c r="AC712" s="165"/>
      <c r="AD712" s="165"/>
      <c r="AE712" s="165"/>
      <c r="AF712" s="165"/>
      <c r="AG712" s="165"/>
      <c r="AH712" s="165"/>
    </row>
    <row r="713" spans="23:34">
      <c r="W713" s="165"/>
      <c r="X713" s="165"/>
      <c r="Y713" s="165"/>
      <c r="Z713" s="165"/>
      <c r="AA713" s="165"/>
      <c r="AB713" s="165"/>
      <c r="AC713" s="165"/>
      <c r="AD713" s="165"/>
      <c r="AE713" s="165"/>
      <c r="AF713" s="165"/>
      <c r="AG713" s="165"/>
      <c r="AH713" s="165"/>
    </row>
    <row r="714" spans="23:34">
      <c r="W714" s="165"/>
      <c r="X714" s="165"/>
      <c r="Y714" s="165"/>
      <c r="Z714" s="165"/>
      <c r="AA714" s="165"/>
      <c r="AB714" s="165"/>
      <c r="AC714" s="165"/>
      <c r="AD714" s="165"/>
      <c r="AE714" s="165"/>
      <c r="AF714" s="165"/>
      <c r="AG714" s="165"/>
      <c r="AH714" s="165"/>
    </row>
    <row r="715" spans="23:34">
      <c r="W715" s="165"/>
      <c r="X715" s="165"/>
      <c r="Y715" s="165"/>
      <c r="Z715" s="165"/>
      <c r="AA715" s="165"/>
      <c r="AB715" s="165"/>
      <c r="AC715" s="165"/>
      <c r="AD715" s="165"/>
      <c r="AE715" s="165"/>
      <c r="AF715" s="165"/>
      <c r="AG715" s="165"/>
      <c r="AH715" s="165"/>
    </row>
    <row r="716" spans="23:34">
      <c r="W716" s="165"/>
      <c r="X716" s="165"/>
      <c r="Y716" s="165"/>
      <c r="Z716" s="165"/>
      <c r="AA716" s="165"/>
      <c r="AB716" s="165"/>
      <c r="AC716" s="165"/>
      <c r="AD716" s="165"/>
      <c r="AE716" s="165"/>
      <c r="AF716" s="165"/>
      <c r="AG716" s="165"/>
      <c r="AH716" s="165"/>
    </row>
    <row r="717" spans="23:34">
      <c r="W717" s="165"/>
      <c r="X717" s="165"/>
      <c r="Y717" s="165"/>
      <c r="Z717" s="165"/>
      <c r="AA717" s="165"/>
      <c r="AB717" s="165"/>
      <c r="AC717" s="165"/>
      <c r="AD717" s="165"/>
      <c r="AE717" s="165"/>
      <c r="AF717" s="165"/>
      <c r="AG717" s="165"/>
      <c r="AH717" s="165"/>
    </row>
    <row r="718" spans="23:34">
      <c r="W718" s="165"/>
      <c r="X718" s="165"/>
      <c r="Y718" s="165"/>
      <c r="Z718" s="165"/>
      <c r="AA718" s="165"/>
      <c r="AB718" s="165"/>
      <c r="AC718" s="165"/>
      <c r="AD718" s="165"/>
      <c r="AE718" s="165"/>
      <c r="AF718" s="165"/>
      <c r="AG718" s="165"/>
      <c r="AH718" s="165"/>
    </row>
    <row r="719" spans="23:34">
      <c r="W719" s="165"/>
      <c r="X719" s="165"/>
      <c r="Y719" s="165"/>
      <c r="Z719" s="165"/>
      <c r="AA719" s="165"/>
      <c r="AB719" s="165"/>
      <c r="AC719" s="165"/>
      <c r="AD719" s="165"/>
      <c r="AE719" s="165"/>
      <c r="AF719" s="165"/>
      <c r="AG719" s="165"/>
      <c r="AH719" s="165"/>
    </row>
    <row r="720" spans="23:34">
      <c r="W720" s="165"/>
      <c r="X720" s="165"/>
      <c r="Y720" s="165"/>
      <c r="Z720" s="165"/>
      <c r="AA720" s="165"/>
      <c r="AB720" s="165"/>
      <c r="AC720" s="165"/>
      <c r="AD720" s="165"/>
      <c r="AE720" s="165"/>
      <c r="AF720" s="165"/>
      <c r="AG720" s="165"/>
      <c r="AH720" s="165"/>
    </row>
    <row r="721" spans="23:34">
      <c r="W721" s="165"/>
      <c r="X721" s="165"/>
      <c r="Y721" s="165"/>
      <c r="Z721" s="165"/>
      <c r="AA721" s="165"/>
      <c r="AB721" s="165"/>
      <c r="AC721" s="165"/>
      <c r="AD721" s="165"/>
      <c r="AE721" s="165"/>
      <c r="AF721" s="165"/>
      <c r="AG721" s="165"/>
      <c r="AH721" s="165"/>
    </row>
    <row r="722" spans="23:34">
      <c r="W722" s="165"/>
      <c r="X722" s="165"/>
      <c r="Y722" s="165"/>
      <c r="Z722" s="165"/>
      <c r="AA722" s="165"/>
      <c r="AB722" s="165"/>
      <c r="AC722" s="165"/>
      <c r="AD722" s="165"/>
      <c r="AE722" s="165"/>
      <c r="AF722" s="165"/>
      <c r="AG722" s="165"/>
      <c r="AH722" s="165"/>
    </row>
  </sheetData>
  <mergeCells count="1">
    <mergeCell ref="A1:B1"/>
  </mergeCells>
  <conditionalFormatting sqref="C31:M31">
    <cfRule type="cellIs" dxfId="0" priority="1" stopIfTrue="1" operator="equal">
      <formula>"Yes"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081C-3AFA-9C4E-90ED-B2877EA8BC73}">
  <dimension ref="A1:AF44"/>
  <sheetViews>
    <sheetView zoomScale="93" workbookViewId="0">
      <selection activeCell="K40" sqref="K40"/>
    </sheetView>
  </sheetViews>
  <sheetFormatPr baseColWidth="10" defaultRowHeight="16"/>
  <cols>
    <col min="1" max="1" width="37.6640625" customWidth="1"/>
    <col min="2" max="2" width="32.1640625" customWidth="1"/>
    <col min="3" max="3" width="31.33203125" customWidth="1"/>
    <col min="4" max="4" width="28.6640625" customWidth="1"/>
    <col min="5" max="5" width="28.33203125" customWidth="1"/>
    <col min="6" max="6" width="26.6640625" customWidth="1"/>
    <col min="7" max="7" width="20.33203125" customWidth="1"/>
    <col min="8" max="8" width="27.1640625" customWidth="1"/>
    <col min="15" max="15" width="51.5" customWidth="1"/>
  </cols>
  <sheetData>
    <row r="1" spans="1:32" ht="17" thickBot="1">
      <c r="A1" s="573" t="s">
        <v>413</v>
      </c>
      <c r="B1" s="160"/>
      <c r="C1" s="730">
        <v>43465</v>
      </c>
      <c r="F1" s="573" t="s">
        <v>183</v>
      </c>
      <c r="G1" s="160"/>
      <c r="H1" s="730">
        <v>43466</v>
      </c>
    </row>
    <row r="2" spans="1:32">
      <c r="A2" s="1069" t="s">
        <v>414</v>
      </c>
      <c r="B2" s="1070"/>
      <c r="C2" s="92">
        <f>Competitors!AG40</f>
        <v>14104</v>
      </c>
      <c r="F2" s="1069" t="s">
        <v>184</v>
      </c>
      <c r="G2" s="1070"/>
      <c r="H2" s="175">
        <f>C9*2</f>
        <v>0.26980890559622772</v>
      </c>
    </row>
    <row r="3" spans="1:32">
      <c r="A3" s="1029" t="s">
        <v>415</v>
      </c>
      <c r="B3" s="1071"/>
      <c r="C3" s="92">
        <f>37046</f>
        <v>37046</v>
      </c>
      <c r="F3" s="1029" t="s">
        <v>420</v>
      </c>
      <c r="G3" s="1071"/>
      <c r="H3" s="176">
        <f>H5-H4</f>
        <v>84721.5</v>
      </c>
    </row>
    <row r="4" spans="1:32">
      <c r="A4" s="1029" t="s">
        <v>185</v>
      </c>
      <c r="B4" s="1071"/>
      <c r="C4" s="92">
        <f>Competitors!AF20</f>
        <v>301.5</v>
      </c>
      <c r="F4" s="1029" t="s">
        <v>414</v>
      </c>
      <c r="G4" s="1071"/>
      <c r="H4" s="177">
        <f>(H2*(C6+C2)-C2+C8)/(1-H2)+C2</f>
        <v>32362.234183047753</v>
      </c>
    </row>
    <row r="5" spans="1:32" ht="17" thickBot="1">
      <c r="A5" s="1029" t="s">
        <v>416</v>
      </c>
      <c r="B5" s="1071"/>
      <c r="C5" s="92">
        <f>Competitors!AG20/Competitors!AF20</f>
        <v>281</v>
      </c>
      <c r="F5" s="1031" t="s">
        <v>418</v>
      </c>
      <c r="G5" s="1072"/>
      <c r="H5" s="179">
        <f>B33</f>
        <v>117083.73418304775</v>
      </c>
      <c r="I5" s="171"/>
      <c r="J5" s="171"/>
      <c r="K5" s="171"/>
      <c r="L5" s="171"/>
      <c r="M5" s="172"/>
      <c r="N5" s="172"/>
      <c r="O5" s="90"/>
    </row>
    <row r="6" spans="1:32">
      <c r="A6" s="1029" t="s">
        <v>417</v>
      </c>
      <c r="B6" s="1071"/>
      <c r="C6" s="173">
        <f>Competitors!AG20</f>
        <v>84721.5</v>
      </c>
      <c r="F6" s="89"/>
      <c r="G6" s="89"/>
      <c r="H6" s="89"/>
    </row>
    <row r="7" spans="1:32">
      <c r="A7" s="1029" t="s">
        <v>418</v>
      </c>
      <c r="B7" s="1071"/>
      <c r="C7" s="173">
        <f>Competitors!AH20</f>
        <v>98108.5</v>
      </c>
    </row>
    <row r="8" spans="1:32">
      <c r="A8" s="1029" t="s">
        <v>419</v>
      </c>
      <c r="B8" s="1071"/>
      <c r="C8" s="92">
        <f>Competitors!AJ40</f>
        <v>772</v>
      </c>
    </row>
    <row r="9" spans="1:32" ht="17" thickBot="1">
      <c r="A9" s="1031" t="s">
        <v>184</v>
      </c>
      <c r="B9" s="1072"/>
      <c r="C9" s="174">
        <f>(C2-C8)/(C6+C2)</f>
        <v>0.13490445279811386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</row>
    <row r="10" spans="1:32" ht="17" thickBot="1"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</row>
    <row r="11" spans="1:32" ht="17" customHeight="1" thickBot="1">
      <c r="J11" s="135"/>
      <c r="K11" s="135"/>
      <c r="L11" s="91"/>
      <c r="M11" s="1080" t="s">
        <v>379</v>
      </c>
      <c r="N11" s="1081"/>
      <c r="O11" s="1082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89"/>
      <c r="AF11" s="89"/>
    </row>
    <row r="12" spans="1:32" ht="17" thickBot="1">
      <c r="A12" s="1073" t="s">
        <v>0</v>
      </c>
      <c r="B12" s="1074"/>
      <c r="C12" s="588">
        <v>43466</v>
      </c>
      <c r="D12" s="589">
        <v>43830</v>
      </c>
      <c r="E12" s="589">
        <v>44196</v>
      </c>
      <c r="F12" s="589">
        <v>44561</v>
      </c>
      <c r="G12" s="589">
        <v>44926</v>
      </c>
      <c r="H12" s="590">
        <v>45291</v>
      </c>
      <c r="J12" s="90"/>
      <c r="K12" s="90"/>
      <c r="L12" s="181"/>
      <c r="M12" s="182">
        <v>2000</v>
      </c>
      <c r="N12" s="466">
        <v>1505</v>
      </c>
      <c r="O12" s="1077" t="s">
        <v>188</v>
      </c>
      <c r="P12" s="89"/>
    </row>
    <row r="13" spans="1:32">
      <c r="A13" s="1029" t="s">
        <v>184</v>
      </c>
      <c r="B13" s="1071"/>
      <c r="C13" s="721">
        <f>H2</f>
        <v>0.26980890559622772</v>
      </c>
      <c r="D13" s="542">
        <f>C13+D14</f>
        <v>0.24791423473204413</v>
      </c>
      <c r="E13" s="542">
        <f t="shared" ref="E13:H13" si="0">D13+E14</f>
        <v>0.22601956386786054</v>
      </c>
      <c r="F13" s="542">
        <f t="shared" si="0"/>
        <v>0.20412489300367695</v>
      </c>
      <c r="G13" s="542">
        <f t="shared" si="0"/>
        <v>0.18223022213949336</v>
      </c>
      <c r="H13" s="722">
        <f t="shared" si="0"/>
        <v>0.16033555127530977</v>
      </c>
      <c r="J13" s="90"/>
      <c r="K13" s="90"/>
      <c r="L13" s="181"/>
      <c r="M13" s="182">
        <v>2001</v>
      </c>
      <c r="N13" s="467">
        <v>912</v>
      </c>
      <c r="O13" s="1077"/>
      <c r="P13" s="89"/>
    </row>
    <row r="14" spans="1:32">
      <c r="A14" s="1029" t="s">
        <v>186</v>
      </c>
      <c r="B14" s="1071"/>
      <c r="C14" s="712"/>
      <c r="D14" s="178">
        <f>C23</f>
        <v>-2.1894670864183591E-2</v>
      </c>
      <c r="E14" s="178">
        <f t="shared" ref="E14:H14" si="1">D23</f>
        <v>-2.1894670864183591E-2</v>
      </c>
      <c r="F14" s="178">
        <f t="shared" si="1"/>
        <v>-2.1894670864183591E-2</v>
      </c>
      <c r="G14" s="178">
        <f t="shared" si="1"/>
        <v>-2.1894670864183591E-2</v>
      </c>
      <c r="H14" s="175">
        <f t="shared" si="1"/>
        <v>-2.1894670864183591E-2</v>
      </c>
      <c r="J14" s="90"/>
      <c r="K14" s="90"/>
      <c r="L14" s="181"/>
      <c r="M14" s="182">
        <v>2002</v>
      </c>
      <c r="N14" s="467">
        <v>2738</v>
      </c>
      <c r="O14" s="1077"/>
      <c r="P14" s="89"/>
    </row>
    <row r="15" spans="1:32">
      <c r="A15" s="1029" t="s">
        <v>419</v>
      </c>
      <c r="B15" s="1071"/>
      <c r="C15" s="712">
        <f>$C$8</f>
        <v>772</v>
      </c>
      <c r="D15" s="714">
        <f>N31</f>
        <v>2033.427189060124</v>
      </c>
      <c r="E15" s="714">
        <f>N32</f>
        <v>2030.4707498334051</v>
      </c>
      <c r="F15" s="714">
        <f>N33</f>
        <v>2031.7312072358413</v>
      </c>
      <c r="G15" s="714">
        <f>N34</f>
        <v>2032.2335007495667</v>
      </c>
      <c r="H15" s="713">
        <f>N35</f>
        <v>2028.3949789233843</v>
      </c>
      <c r="L15" s="181"/>
      <c r="M15" s="182">
        <v>2003</v>
      </c>
      <c r="N15" s="467">
        <v>1250</v>
      </c>
      <c r="O15" s="1077"/>
      <c r="P15" s="89"/>
    </row>
    <row r="16" spans="1:32">
      <c r="A16" s="1029" t="s">
        <v>414</v>
      </c>
      <c r="B16" s="1071"/>
      <c r="C16" s="586">
        <f>H4</f>
        <v>32362.234183047753</v>
      </c>
      <c r="D16" s="145">
        <f>(D13*(C28)-C16+D15)/(1-D13)+C16</f>
        <v>25695.634859399084</v>
      </c>
      <c r="E16" s="145">
        <f t="shared" ref="E16:H16" si="2">(E13*(D28)-D16+E15)/(1-E13)+D16</f>
        <v>26076.258500492273</v>
      </c>
      <c r="F16" s="145">
        <f t="shared" si="2"/>
        <v>24109.163744388974</v>
      </c>
      <c r="G16" s="145">
        <f t="shared" si="2"/>
        <v>22527.07272139033</v>
      </c>
      <c r="H16" s="176">
        <f t="shared" si="2"/>
        <v>20775.667110865666</v>
      </c>
      <c r="L16" s="181"/>
      <c r="M16" s="182">
        <v>2004</v>
      </c>
      <c r="N16" s="467">
        <v>1456</v>
      </c>
      <c r="O16" s="1077"/>
      <c r="P16" s="89"/>
    </row>
    <row r="17" spans="1:17" ht="17" thickBot="1">
      <c r="A17" s="1031" t="s">
        <v>417</v>
      </c>
      <c r="B17" s="1072"/>
      <c r="C17" s="587">
        <f>B32</f>
        <v>84721.5</v>
      </c>
      <c r="D17" s="146">
        <f>C32</f>
        <v>69749.50041455582</v>
      </c>
      <c r="E17" s="146">
        <f t="shared" ref="E17:H17" si="3">D32</f>
        <v>80311.822863636582</v>
      </c>
      <c r="F17" s="146">
        <f t="shared" si="3"/>
        <v>84047.329137424545</v>
      </c>
      <c r="G17" s="146">
        <f t="shared" si="3"/>
        <v>89939.668415282373</v>
      </c>
      <c r="H17" s="147">
        <f t="shared" si="3"/>
        <v>96149.568638950179</v>
      </c>
      <c r="L17" s="181"/>
      <c r="M17" s="182">
        <v>2005</v>
      </c>
      <c r="N17" s="467">
        <v>2673</v>
      </c>
      <c r="O17" s="1077"/>
      <c r="P17" s="89"/>
    </row>
    <row r="18" spans="1:17">
      <c r="L18" s="181"/>
      <c r="M18" s="182">
        <v>2006</v>
      </c>
      <c r="N18" s="467">
        <v>2293</v>
      </c>
      <c r="O18" s="1077"/>
      <c r="P18" s="89"/>
    </row>
    <row r="19" spans="1:17">
      <c r="L19" s="181"/>
      <c r="M19" s="182">
        <v>2007</v>
      </c>
      <c r="N19" s="467">
        <v>2981</v>
      </c>
      <c r="O19" s="1077"/>
      <c r="P19" s="89"/>
    </row>
    <row r="20" spans="1:17">
      <c r="L20" s="181"/>
      <c r="M20" s="182">
        <v>2008</v>
      </c>
      <c r="N20" s="467">
        <v>2229</v>
      </c>
      <c r="O20" s="1077"/>
      <c r="P20" s="89"/>
    </row>
    <row r="21" spans="1:17" ht="17" thickBot="1">
      <c r="L21" s="181"/>
      <c r="M21" s="182">
        <v>2009</v>
      </c>
      <c r="N21" s="467">
        <v>2737</v>
      </c>
      <c r="O21" s="1077"/>
      <c r="P21" s="89"/>
    </row>
    <row r="22" spans="1:17" ht="17" thickBot="1">
      <c r="A22" s="1027" t="s">
        <v>0</v>
      </c>
      <c r="B22" s="1028"/>
      <c r="C22" s="589">
        <v>43830</v>
      </c>
      <c r="D22" s="589">
        <v>44196</v>
      </c>
      <c r="E22" s="589">
        <v>44561</v>
      </c>
      <c r="F22" s="589">
        <v>44926</v>
      </c>
      <c r="G22" s="590">
        <v>45291</v>
      </c>
      <c r="H22" s="357"/>
      <c r="L22" s="181"/>
      <c r="M22" s="182">
        <v>2010</v>
      </c>
      <c r="N22" s="467">
        <v>2777</v>
      </c>
      <c r="O22" s="1077"/>
      <c r="P22" s="89"/>
    </row>
    <row r="23" spans="1:17" ht="17" thickBot="1">
      <c r="A23" s="1075" t="s">
        <v>186</v>
      </c>
      <c r="B23" s="1076"/>
      <c r="C23" s="545">
        <f>(Competitors!$AQ$41-$H$2)/COUNT($C$22:$G$22)</f>
        <v>-2.1894670864183591E-2</v>
      </c>
      <c r="D23" s="545">
        <f>(Competitors!$AQ$41-$H$2)/COUNT($C$22:$G$22)</f>
        <v>-2.1894670864183591E-2</v>
      </c>
      <c r="E23" s="545">
        <f>(Competitors!$AQ$41-$H$2)/COUNT($C$22:$G$22)</f>
        <v>-2.1894670864183591E-2</v>
      </c>
      <c r="F23" s="545">
        <f>(Competitors!$AQ$41-$H$2)/COUNT($C$22:$G$22)</f>
        <v>-2.1894670864183591E-2</v>
      </c>
      <c r="G23" s="546">
        <f>(Competitors!$AQ$41-$H$2)/COUNT($C$22:$G$22)</f>
        <v>-2.1894670864183591E-2</v>
      </c>
      <c r="H23" s="362"/>
      <c r="L23" s="181"/>
      <c r="M23" s="182">
        <v>2011</v>
      </c>
      <c r="N23" s="467">
        <v>3582</v>
      </c>
      <c r="O23" s="1077"/>
      <c r="P23" s="89"/>
    </row>
    <row r="24" spans="1:17">
      <c r="H24" s="362"/>
      <c r="L24" s="181"/>
      <c r="M24" s="182">
        <v>2012</v>
      </c>
      <c r="N24" s="467">
        <v>1898</v>
      </c>
      <c r="O24" s="1077"/>
      <c r="P24" s="89"/>
    </row>
    <row r="25" spans="1:17" ht="17" thickBot="1">
      <c r="H25" s="362"/>
      <c r="L25" s="181"/>
      <c r="M25" s="182">
        <v>2013</v>
      </c>
      <c r="N25" s="467">
        <v>2617</v>
      </c>
      <c r="O25" s="1077"/>
      <c r="P25" s="89"/>
    </row>
    <row r="26" spans="1:17" ht="17" thickBot="1">
      <c r="A26" s="734" t="s">
        <v>378</v>
      </c>
      <c r="B26" s="589" t="s">
        <v>401</v>
      </c>
      <c r="C26" s="591">
        <v>43830</v>
      </c>
      <c r="D26" s="591">
        <v>44196</v>
      </c>
      <c r="E26" s="591">
        <v>44561</v>
      </c>
      <c r="F26" s="591">
        <v>44926</v>
      </c>
      <c r="G26" s="592">
        <v>45291</v>
      </c>
      <c r="H26" s="409"/>
      <c r="L26" s="181"/>
      <c r="M26" s="182">
        <v>2014</v>
      </c>
      <c r="N26" s="467">
        <v>1446</v>
      </c>
      <c r="O26" s="1077"/>
      <c r="P26" s="89"/>
    </row>
    <row r="27" spans="1:17">
      <c r="A27" s="708" t="s">
        <v>274</v>
      </c>
      <c r="B27" s="719">
        <f>C13</f>
        <v>0.26980890559622772</v>
      </c>
      <c r="C27" s="386">
        <f t="shared" ref="C27:G27" si="4">D13</f>
        <v>0.24791423473204413</v>
      </c>
      <c r="D27" s="386">
        <f t="shared" si="4"/>
        <v>0.22601956386786054</v>
      </c>
      <c r="E27" s="386">
        <f t="shared" si="4"/>
        <v>0.20412489300367695</v>
      </c>
      <c r="F27" s="386">
        <f t="shared" si="4"/>
        <v>0.18223022213949336</v>
      </c>
      <c r="G27" s="577">
        <f t="shared" si="4"/>
        <v>0.16033555127530977</v>
      </c>
      <c r="H27" s="410"/>
      <c r="L27" s="181"/>
      <c r="M27" s="182">
        <v>2015</v>
      </c>
      <c r="N27" s="467">
        <v>1090</v>
      </c>
      <c r="O27" s="1077"/>
      <c r="P27" s="89"/>
    </row>
    <row r="28" spans="1:17">
      <c r="A28" s="718" t="s">
        <v>275</v>
      </c>
      <c r="B28" s="720" t="s">
        <v>34</v>
      </c>
      <c r="C28" s="387">
        <f>'APV CALCULATION '!E20</f>
        <v>102111.73459760357</v>
      </c>
      <c r="D28" s="387">
        <f>'APV CALCULATION '!F20</f>
        <v>106007.45772303568</v>
      </c>
      <c r="E28" s="387">
        <f>'APV CALCULATION '!G20</f>
        <v>110123.58763791683</v>
      </c>
      <c r="F28" s="387">
        <f>'APV CALCULATION '!H20</f>
        <v>114048.83215967135</v>
      </c>
      <c r="G28" s="578">
        <f>'APV CALCULATION '!I20</f>
        <v>118676.64136034052</v>
      </c>
      <c r="H28" s="411"/>
      <c r="L28" s="181"/>
      <c r="M28" s="182">
        <v>2016</v>
      </c>
      <c r="N28" s="467">
        <v>1837</v>
      </c>
      <c r="O28" s="1077"/>
      <c r="P28" s="89"/>
    </row>
    <row r="29" spans="1:17" ht="17" thickBot="1">
      <c r="A29" s="707" t="s">
        <v>187</v>
      </c>
      <c r="B29" s="526">
        <f>C15</f>
        <v>772</v>
      </c>
      <c r="C29" s="709">
        <f t="shared" ref="C29:G29" si="5">D15</f>
        <v>2033.427189060124</v>
      </c>
      <c r="D29" s="709">
        <f t="shared" si="5"/>
        <v>2030.4707498334051</v>
      </c>
      <c r="E29" s="709">
        <f t="shared" si="5"/>
        <v>2031.7312072358413</v>
      </c>
      <c r="F29" s="709">
        <f t="shared" si="5"/>
        <v>2032.2335007495667</v>
      </c>
      <c r="G29" s="706">
        <f t="shared" si="5"/>
        <v>2028.3949789233843</v>
      </c>
      <c r="H29" s="412"/>
      <c r="L29" s="181"/>
      <c r="M29" s="182">
        <v>2017</v>
      </c>
      <c r="N29" s="467">
        <v>2861</v>
      </c>
      <c r="O29" s="1077"/>
      <c r="P29" s="89"/>
    </row>
    <row r="30" spans="1:17" ht="17" thickBot="1">
      <c r="A30" s="405"/>
      <c r="B30" s="388"/>
      <c r="C30" s="715"/>
      <c r="D30" s="716"/>
      <c r="E30" s="716"/>
      <c r="F30" s="716"/>
      <c r="G30" s="717"/>
      <c r="H30" s="413"/>
      <c r="L30" s="181"/>
      <c r="M30" s="182">
        <v>2018</v>
      </c>
      <c r="N30" s="467">
        <v>772</v>
      </c>
      <c r="O30" s="1078"/>
      <c r="P30" s="89"/>
    </row>
    <row r="31" spans="1:17">
      <c r="A31" s="403" t="s">
        <v>276</v>
      </c>
      <c r="B31" s="585">
        <f>C16</f>
        <v>32362.234183047753</v>
      </c>
      <c r="C31" s="585">
        <f>B31+(C27*(C28)-B31+C29)/(1-C27)</f>
        <v>25695.634859399084</v>
      </c>
      <c r="D31" s="585">
        <f t="shared" ref="D31:G31" si="6">C31+(D27*(D28)-C31+D29)/(1-D27)</f>
        <v>26076.258500492273</v>
      </c>
      <c r="E31" s="585">
        <f t="shared" si="6"/>
        <v>24109.163744388974</v>
      </c>
      <c r="F31" s="585">
        <f t="shared" si="6"/>
        <v>22527.07272139033</v>
      </c>
      <c r="G31" s="585">
        <f t="shared" si="6"/>
        <v>20775.667110865666</v>
      </c>
      <c r="H31" s="414"/>
      <c r="L31" s="181"/>
      <c r="M31" s="182">
        <f>2019</f>
        <v>2019</v>
      </c>
      <c r="N31" s="468">
        <f>_xlfn.FORECAST.ETS(M31,$N$12:N30,$M$12:M30)</f>
        <v>2033.427189060124</v>
      </c>
      <c r="O31" s="1079" t="s">
        <v>189</v>
      </c>
      <c r="Q31" s="180"/>
    </row>
    <row r="32" spans="1:17">
      <c r="A32" s="403" t="s">
        <v>277</v>
      </c>
      <c r="B32" s="389">
        <f>B33-B31</f>
        <v>84721.5</v>
      </c>
      <c r="C32" s="390">
        <f>C33-C31</f>
        <v>69749.50041455582</v>
      </c>
      <c r="D32" s="390">
        <f t="shared" ref="D32:G32" si="7">D33-D31</f>
        <v>80311.822863636582</v>
      </c>
      <c r="E32" s="390">
        <f t="shared" si="7"/>
        <v>84047.329137424545</v>
      </c>
      <c r="F32" s="390">
        <f t="shared" si="7"/>
        <v>89939.668415282373</v>
      </c>
      <c r="G32" s="579">
        <f t="shared" si="7"/>
        <v>96149.568638950179</v>
      </c>
      <c r="H32" s="415"/>
      <c r="L32" s="181"/>
      <c r="M32" s="182">
        <f>2020</f>
        <v>2020</v>
      </c>
      <c r="N32" s="468">
        <f>_xlfn.FORECAST.ETS(M32,$N$12:N31,$M$12:M31)</f>
        <v>2030.4707498334051</v>
      </c>
      <c r="O32" s="1077"/>
    </row>
    <row r="33" spans="1:15">
      <c r="A33" s="406" t="s">
        <v>278</v>
      </c>
      <c r="B33" s="390">
        <f>(B31-B29)/B27</f>
        <v>117083.73418304775</v>
      </c>
      <c r="C33" s="390">
        <f t="shared" ref="C33:G33" si="8">(C31-C29)/C27</f>
        <v>95445.135273954904</v>
      </c>
      <c r="D33" s="390">
        <f t="shared" si="8"/>
        <v>106388.08136412886</v>
      </c>
      <c r="E33" s="390">
        <f t="shared" si="8"/>
        <v>108156.49288181352</v>
      </c>
      <c r="F33" s="390">
        <f t="shared" si="8"/>
        <v>112466.7411366727</v>
      </c>
      <c r="G33" s="390">
        <f t="shared" si="8"/>
        <v>116925.23574981585</v>
      </c>
      <c r="H33" s="415"/>
      <c r="L33" s="181"/>
      <c r="M33" s="182">
        <f>2021</f>
        <v>2021</v>
      </c>
      <c r="N33" s="468">
        <f>_xlfn.FORECAST.ETS(M33,$N$12:N32,$M$12:M32)</f>
        <v>2031.7312072358413</v>
      </c>
      <c r="O33" s="1077"/>
    </row>
    <row r="34" spans="1:15">
      <c r="A34" s="403" t="s">
        <v>279</v>
      </c>
      <c r="B34" s="391">
        <f>(B31-B29)/B33</f>
        <v>0.26980890559622772</v>
      </c>
      <c r="C34" s="391">
        <f t="shared" ref="C34:G34" si="9">(C31-C29)/C33</f>
        <v>0.24791423473204413</v>
      </c>
      <c r="D34" s="391">
        <f t="shared" si="9"/>
        <v>0.22601956386786054</v>
      </c>
      <c r="E34" s="391">
        <f t="shared" si="9"/>
        <v>0.20412489300367695</v>
      </c>
      <c r="F34" s="391">
        <f t="shared" si="9"/>
        <v>0.18223022213949336</v>
      </c>
      <c r="G34" s="391">
        <f t="shared" si="9"/>
        <v>0.16033555127530977</v>
      </c>
      <c r="H34" s="416"/>
      <c r="L34" s="181"/>
      <c r="M34" s="182">
        <v>2022</v>
      </c>
      <c r="N34" s="468">
        <f>_xlfn.FORECAST.ETS(M34,$N$12:N33,$M$12:M33)</f>
        <v>2032.2335007495667</v>
      </c>
      <c r="O34" s="1077"/>
    </row>
    <row r="35" spans="1:15" ht="17" thickBot="1">
      <c r="A35" s="403"/>
      <c r="B35" s="389"/>
      <c r="C35" s="392"/>
      <c r="D35" s="392"/>
      <c r="E35" s="392"/>
      <c r="F35" s="392"/>
      <c r="G35" s="580"/>
      <c r="H35" s="417"/>
      <c r="L35" s="181"/>
      <c r="M35" s="183">
        <v>2023</v>
      </c>
      <c r="N35" s="469">
        <f>_xlfn.FORECAST.ETS(M35,$N$12:N34,$M$12:M34)</f>
        <v>2028.3949789233843</v>
      </c>
      <c r="O35" s="1078"/>
    </row>
    <row r="36" spans="1:15">
      <c r="A36" s="404" t="s">
        <v>280</v>
      </c>
      <c r="B36" s="393">
        <f>C5</f>
        <v>281</v>
      </c>
      <c r="C36" s="392">
        <f>C5</f>
        <v>281</v>
      </c>
      <c r="D36" s="392">
        <f>C39</f>
        <v>303.11144054278168</v>
      </c>
      <c r="E36" s="392">
        <f t="shared" ref="E36:G37" si="10">D39</f>
        <v>301.90266882460821</v>
      </c>
      <c r="F36" s="392">
        <f t="shared" si="10"/>
        <v>307.48478995212309</v>
      </c>
      <c r="G36" s="580">
        <f t="shared" si="10"/>
        <v>311.98261447407259</v>
      </c>
      <c r="H36" s="417"/>
      <c r="O36" s="184"/>
    </row>
    <row r="37" spans="1:15">
      <c r="A37" s="404" t="s">
        <v>281</v>
      </c>
      <c r="B37" s="394">
        <f>C6/B36</f>
        <v>301.5</v>
      </c>
      <c r="C37" s="394">
        <f>B37</f>
        <v>301.5</v>
      </c>
      <c r="D37" s="394">
        <f>C40</f>
        <v>314.8846348492861</v>
      </c>
      <c r="E37" s="394">
        <f t="shared" si="10"/>
        <v>352.39198705439571</v>
      </c>
      <c r="F37" s="394">
        <f t="shared" si="10"/>
        <v>351.74583074061655</v>
      </c>
      <c r="G37" s="581">
        <f t="shared" si="10"/>
        <v>360.49041170535895</v>
      </c>
      <c r="H37" s="418"/>
    </row>
    <row r="38" spans="1:15">
      <c r="A38" s="404" t="s">
        <v>406</v>
      </c>
      <c r="B38" s="395" t="s">
        <v>34</v>
      </c>
      <c r="C38" s="392">
        <f>(C31-B31)/C37</f>
        <v>-22.111440542781654</v>
      </c>
      <c r="D38" s="392">
        <f>(D31-C31)/D37</f>
        <v>1.208771718173443</v>
      </c>
      <c r="E38" s="392">
        <f>(E31-D31)/E37</f>
        <v>-5.582121127514899</v>
      </c>
      <c r="F38" s="392">
        <f>(F31-E31)/F37</f>
        <v>-4.497824521949501</v>
      </c>
      <c r="G38" s="580">
        <f t="shared" ref="G38" si="11">(G31-F31)/G37</f>
        <v>-4.8583972101764159</v>
      </c>
      <c r="H38" s="417"/>
    </row>
    <row r="39" spans="1:15">
      <c r="A39" s="403" t="s">
        <v>282</v>
      </c>
      <c r="B39" s="396" t="s">
        <v>34</v>
      </c>
      <c r="C39" s="397">
        <f>B36-C38</f>
        <v>303.11144054278168</v>
      </c>
      <c r="D39" s="397">
        <f>D36-D38</f>
        <v>301.90266882460821</v>
      </c>
      <c r="E39" s="397">
        <f>E36-E38</f>
        <v>307.48478995212309</v>
      </c>
      <c r="F39" s="397">
        <f t="shared" ref="F39:G39" si="12">F36-F38</f>
        <v>311.98261447407259</v>
      </c>
      <c r="G39" s="582">
        <f t="shared" si="12"/>
        <v>316.841011684249</v>
      </c>
      <c r="H39" s="419"/>
    </row>
    <row r="40" spans="1:15" ht="17" thickBot="1">
      <c r="A40" s="407" t="s">
        <v>283</v>
      </c>
      <c r="B40" s="574" t="s">
        <v>34</v>
      </c>
      <c r="C40" s="398">
        <f>C33/C39</f>
        <v>314.8846348492861</v>
      </c>
      <c r="D40" s="398">
        <f>D33/D39</f>
        <v>352.39198705439571</v>
      </c>
      <c r="E40" s="398">
        <f t="shared" ref="E40:G40" si="13">E33/E39</f>
        <v>351.74583074061655</v>
      </c>
      <c r="F40" s="398">
        <f t="shared" si="13"/>
        <v>360.49041170535895</v>
      </c>
      <c r="G40" s="583">
        <f t="shared" si="13"/>
        <v>369.03440980784029</v>
      </c>
      <c r="H40" s="420"/>
    </row>
    <row r="41" spans="1:15" ht="17" thickBot="1">
      <c r="A41" s="408"/>
      <c r="B41" s="400"/>
      <c r="C41" s="399"/>
      <c r="D41" s="399"/>
      <c r="E41" s="399"/>
      <c r="F41" s="399"/>
      <c r="G41" s="399"/>
      <c r="H41" s="362"/>
    </row>
    <row r="42" spans="1:15" ht="17" thickBot="1">
      <c r="A42" s="584"/>
      <c r="B42" s="589" t="s">
        <v>401</v>
      </c>
      <c r="C42" s="589">
        <v>43830</v>
      </c>
      <c r="D42" s="589">
        <v>44196</v>
      </c>
      <c r="E42" s="589">
        <v>44561</v>
      </c>
      <c r="F42" s="589">
        <v>44926</v>
      </c>
      <c r="G42" s="590">
        <v>45291</v>
      </c>
      <c r="H42" s="362"/>
    </row>
    <row r="43" spans="1:15">
      <c r="A43" s="538" t="s">
        <v>284</v>
      </c>
      <c r="B43" s="401">
        <f>B31/B33</f>
        <v>0.27640247732834433</v>
      </c>
      <c r="C43" s="401">
        <f t="shared" ref="C43:G43" si="14">C31/C33</f>
        <v>0.26921890555914918</v>
      </c>
      <c r="D43" s="401">
        <f t="shared" si="14"/>
        <v>0.24510507348320762</v>
      </c>
      <c r="E43" s="401">
        <f t="shared" si="14"/>
        <v>0.22290999922430843</v>
      </c>
      <c r="F43" s="401">
        <f t="shared" si="14"/>
        <v>0.20029986192997987</v>
      </c>
      <c r="G43" s="575">
        <f t="shared" si="14"/>
        <v>0.17768334592302404</v>
      </c>
      <c r="H43" s="362"/>
    </row>
    <row r="44" spans="1:15" ht="17" thickBot="1">
      <c r="A44" s="537" t="s">
        <v>285</v>
      </c>
      <c r="B44" s="402">
        <f t="shared" ref="B44:G44" si="15">1-B43</f>
        <v>0.72359752267165567</v>
      </c>
      <c r="C44" s="402">
        <f t="shared" si="15"/>
        <v>0.73078109444085082</v>
      </c>
      <c r="D44" s="402">
        <f t="shared" si="15"/>
        <v>0.75489492651679235</v>
      </c>
      <c r="E44" s="402">
        <f t="shared" si="15"/>
        <v>0.77709000077569157</v>
      </c>
      <c r="F44" s="402">
        <f t="shared" si="15"/>
        <v>0.79970013807002016</v>
      </c>
      <c r="G44" s="576">
        <f t="shared" si="15"/>
        <v>0.82231665407697596</v>
      </c>
      <c r="H44" s="362"/>
    </row>
  </sheetData>
  <mergeCells count="23">
    <mergeCell ref="A23:B23"/>
    <mergeCell ref="A22:B22"/>
    <mergeCell ref="O12:O30"/>
    <mergeCell ref="O31:O35"/>
    <mergeCell ref="M11:O11"/>
    <mergeCell ref="A15:B15"/>
    <mergeCell ref="A16:B16"/>
    <mergeCell ref="F2:G2"/>
    <mergeCell ref="F3:G3"/>
    <mergeCell ref="F4:G4"/>
    <mergeCell ref="F5:G5"/>
    <mergeCell ref="A17:B17"/>
    <mergeCell ref="A2:B2"/>
    <mergeCell ref="A3:B3"/>
    <mergeCell ref="A4:B4"/>
    <mergeCell ref="A5:B5"/>
    <mergeCell ref="A6:B6"/>
    <mergeCell ref="A7:B7"/>
    <mergeCell ref="A8:B8"/>
    <mergeCell ref="A9:B9"/>
    <mergeCell ref="A12:B12"/>
    <mergeCell ref="A13:B13"/>
    <mergeCell ref="A14:B14"/>
  </mergeCells>
  <pageMargins left="0.7" right="0.7" top="0.75" bottom="0.75" header="0.3" footer="0.3"/>
  <ignoredErrors>
    <ignoredError sqref="C28:G2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0BB8-24B6-C343-8C4F-9E26CC4BD023}">
  <dimension ref="A1:AF43"/>
  <sheetViews>
    <sheetView topLeftCell="I1" zoomScale="112" zoomScaleNormal="169" workbookViewId="0">
      <selection activeCell="T29" sqref="T29"/>
    </sheetView>
  </sheetViews>
  <sheetFormatPr baseColWidth="10" defaultRowHeight="16"/>
  <cols>
    <col min="2" max="2" width="15.5" customWidth="1"/>
    <col min="30" max="30" width="29.5" customWidth="1"/>
  </cols>
  <sheetData>
    <row r="1" spans="1:32">
      <c r="A1" s="448" t="s">
        <v>164</v>
      </c>
      <c r="B1" s="449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45"/>
      <c r="N1" s="245"/>
      <c r="O1" s="245"/>
      <c r="P1" s="245"/>
      <c r="Q1" s="245"/>
      <c r="R1" s="245"/>
      <c r="S1" s="245"/>
      <c r="T1" s="245"/>
      <c r="U1" s="200"/>
      <c r="V1" s="199"/>
      <c r="W1" s="245"/>
      <c r="X1" s="245"/>
      <c r="Y1" s="245"/>
      <c r="Z1" s="200"/>
    </row>
    <row r="2" spans="1:32">
      <c r="A2" s="1109" t="s">
        <v>393</v>
      </c>
      <c r="B2" s="1110"/>
      <c r="C2" s="264">
        <v>2000</v>
      </c>
      <c r="D2" s="264">
        <v>2001</v>
      </c>
      <c r="E2" s="264">
        <v>2002</v>
      </c>
      <c r="F2" s="264">
        <v>2003</v>
      </c>
      <c r="G2" s="264">
        <v>2004</v>
      </c>
      <c r="H2" s="264">
        <v>2005</v>
      </c>
      <c r="I2" s="264">
        <v>2006</v>
      </c>
      <c r="J2" s="264">
        <v>2007</v>
      </c>
      <c r="K2" s="264">
        <v>2008</v>
      </c>
      <c r="L2" s="264">
        <v>2009</v>
      </c>
      <c r="M2" s="264">
        <v>2010</v>
      </c>
      <c r="N2" s="264">
        <v>2011</v>
      </c>
      <c r="O2" s="264">
        <v>2012</v>
      </c>
      <c r="P2" s="264">
        <v>2013</v>
      </c>
      <c r="Q2" s="264">
        <v>2014</v>
      </c>
      <c r="R2" s="264">
        <v>2015</v>
      </c>
      <c r="S2" s="264">
        <v>2016</v>
      </c>
      <c r="T2" s="264">
        <v>2017</v>
      </c>
      <c r="U2" s="265">
        <v>2018</v>
      </c>
      <c r="V2" s="275">
        <v>2019</v>
      </c>
      <c r="W2" s="264">
        <v>2020</v>
      </c>
      <c r="X2" s="264">
        <v>2021</v>
      </c>
      <c r="Y2" s="264">
        <v>2022</v>
      </c>
      <c r="Z2" s="265">
        <v>2023</v>
      </c>
    </row>
    <row r="3" spans="1:32" ht="17" thickBot="1">
      <c r="A3" s="639" t="s">
        <v>382</v>
      </c>
      <c r="B3" s="450"/>
      <c r="C3" s="247" t="s">
        <v>131</v>
      </c>
      <c r="D3" s="247" t="s">
        <v>131</v>
      </c>
      <c r="E3" s="247" t="s">
        <v>131</v>
      </c>
      <c r="F3" s="247" t="s">
        <v>131</v>
      </c>
      <c r="G3" s="247" t="s">
        <v>131</v>
      </c>
      <c r="H3" s="247" t="s">
        <v>131</v>
      </c>
      <c r="I3" s="247" t="s">
        <v>131</v>
      </c>
      <c r="J3" s="247" t="s">
        <v>131</v>
      </c>
      <c r="K3" s="247" t="s">
        <v>131</v>
      </c>
      <c r="L3" s="247" t="s">
        <v>131</v>
      </c>
      <c r="M3" s="247" t="s">
        <v>131</v>
      </c>
      <c r="N3" s="247" t="s">
        <v>131</v>
      </c>
      <c r="O3" s="247" t="s">
        <v>131</v>
      </c>
      <c r="P3" s="247" t="s">
        <v>131</v>
      </c>
      <c r="Q3" s="247" t="s">
        <v>131</v>
      </c>
      <c r="R3" s="247" t="s">
        <v>131</v>
      </c>
      <c r="S3" s="247" t="s">
        <v>131</v>
      </c>
      <c r="T3" s="247" t="s">
        <v>131</v>
      </c>
      <c r="U3" s="248" t="s">
        <v>131</v>
      </c>
      <c r="V3" s="246" t="s">
        <v>131</v>
      </c>
      <c r="W3" s="247" t="s">
        <v>131</v>
      </c>
      <c r="X3" s="247" t="s">
        <v>131</v>
      </c>
      <c r="Y3" s="247" t="s">
        <v>131</v>
      </c>
      <c r="Z3" s="248" t="s">
        <v>131</v>
      </c>
    </row>
    <row r="4" spans="1:32" ht="17" thickBot="1">
      <c r="A4" s="1111" t="s">
        <v>147</v>
      </c>
      <c r="B4" s="111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91"/>
      <c r="N4" s="191"/>
      <c r="O4" s="191"/>
      <c r="P4" s="191"/>
      <c r="Q4" s="191"/>
      <c r="R4" s="191"/>
      <c r="S4" s="191"/>
      <c r="T4" s="191"/>
      <c r="U4" s="189"/>
      <c r="V4" s="369"/>
      <c r="W4" s="338"/>
      <c r="X4" s="338"/>
      <c r="Y4" s="338"/>
      <c r="Z4" s="337"/>
    </row>
    <row r="5" spans="1:32" ht="17" thickBot="1">
      <c r="A5" s="1093" t="s">
        <v>148</v>
      </c>
      <c r="B5" s="967"/>
      <c r="C5" s="4">
        <v>1505</v>
      </c>
      <c r="D5" s="4">
        <v>912</v>
      </c>
      <c r="E5" s="4">
        <v>2738</v>
      </c>
      <c r="F5" s="4">
        <v>1010</v>
      </c>
      <c r="G5" s="4">
        <v>1060</v>
      </c>
      <c r="H5" s="4">
        <v>2244</v>
      </c>
      <c r="I5" s="4">
        <v>1912</v>
      </c>
      <c r="J5" s="4">
        <v>2648</v>
      </c>
      <c r="K5" s="4">
        <v>2168</v>
      </c>
      <c r="L5" s="4">
        <v>2391</v>
      </c>
      <c r="M5" s="4">
        <v>2261</v>
      </c>
      <c r="N5" s="4">
        <v>3582</v>
      </c>
      <c r="O5" s="4">
        <v>1898</v>
      </c>
      <c r="P5" s="4">
        <v>2617</v>
      </c>
      <c r="Q5" s="4">
        <v>1446</v>
      </c>
      <c r="R5" s="4">
        <v>1090</v>
      </c>
      <c r="S5" s="4">
        <v>1837</v>
      </c>
      <c r="T5" s="4">
        <v>2861</v>
      </c>
      <c r="U5" s="124">
        <v>772</v>
      </c>
      <c r="V5" s="122">
        <f>'Leverage and Restructuration'!N31</f>
        <v>2033.427189060124</v>
      </c>
      <c r="W5" s="249">
        <f>'Leverage and Restructuration'!N32</f>
        <v>2030.4707498334051</v>
      </c>
      <c r="X5" s="250">
        <f>'Leverage and Restructuration'!N33</f>
        <v>2031.7312072358413</v>
      </c>
      <c r="Y5" s="250">
        <f>'Leverage and Restructuration'!N34</f>
        <v>2032.2335007495667</v>
      </c>
      <c r="Z5" s="251">
        <f>'Leverage and Restructuration'!N35</f>
        <v>2028.3949789233843</v>
      </c>
      <c r="AA5" s="1083" t="s">
        <v>295</v>
      </c>
      <c r="AB5" s="1083"/>
      <c r="AC5" s="1083"/>
      <c r="AD5" s="1084"/>
    </row>
    <row r="6" spans="1:32" ht="17" thickBot="1">
      <c r="A6" s="965" t="s">
        <v>149</v>
      </c>
      <c r="B6" s="967"/>
      <c r="C6" s="238">
        <v>0</v>
      </c>
      <c r="D6" s="238">
        <v>0</v>
      </c>
      <c r="E6" s="238">
        <v>0</v>
      </c>
      <c r="F6" s="4">
        <v>240</v>
      </c>
      <c r="G6" s="4">
        <v>396</v>
      </c>
      <c r="H6" s="4">
        <v>429</v>
      </c>
      <c r="I6" s="4">
        <v>381</v>
      </c>
      <c r="J6" s="4">
        <v>333</v>
      </c>
      <c r="K6" s="4">
        <v>61</v>
      </c>
      <c r="L6" s="4">
        <v>346</v>
      </c>
      <c r="M6" s="4">
        <v>516</v>
      </c>
      <c r="N6" s="238">
        <v>0</v>
      </c>
      <c r="O6" s="238">
        <v>0</v>
      </c>
      <c r="P6" s="238">
        <v>0</v>
      </c>
      <c r="Q6" s="238">
        <v>0</v>
      </c>
      <c r="R6" s="238">
        <v>0</v>
      </c>
      <c r="S6" s="238">
        <v>0</v>
      </c>
      <c r="T6" s="238">
        <v>0</v>
      </c>
      <c r="U6" s="252">
        <v>0</v>
      </c>
      <c r="V6" s="237">
        <v>0</v>
      </c>
      <c r="W6" s="238">
        <v>0</v>
      </c>
      <c r="X6" s="238">
        <v>0</v>
      </c>
      <c r="Y6" s="238">
        <v>0</v>
      </c>
      <c r="Z6" s="252">
        <v>0</v>
      </c>
    </row>
    <row r="7" spans="1:32" ht="17" thickBot="1">
      <c r="A7" s="1089" t="s">
        <v>150</v>
      </c>
      <c r="B7" s="1090"/>
      <c r="C7" s="112">
        <f>SUMIF(C5:C6,"&lt;&gt;-")</f>
        <v>1505</v>
      </c>
      <c r="D7" s="112">
        <f t="shared" ref="D7:Z7" si="0">SUMIF(D5:D6,"&lt;&gt;-")</f>
        <v>912</v>
      </c>
      <c r="E7" s="112">
        <f t="shared" si="0"/>
        <v>2738</v>
      </c>
      <c r="F7" s="112">
        <f t="shared" si="0"/>
        <v>1250</v>
      </c>
      <c r="G7" s="112">
        <f t="shared" si="0"/>
        <v>1456</v>
      </c>
      <c r="H7" s="112">
        <f t="shared" si="0"/>
        <v>2673</v>
      </c>
      <c r="I7" s="112">
        <f t="shared" si="0"/>
        <v>2293</v>
      </c>
      <c r="J7" s="112">
        <f t="shared" si="0"/>
        <v>2981</v>
      </c>
      <c r="K7" s="112">
        <f t="shared" si="0"/>
        <v>2229</v>
      </c>
      <c r="L7" s="112">
        <f t="shared" si="0"/>
        <v>2737</v>
      </c>
      <c r="M7" s="112">
        <f t="shared" si="0"/>
        <v>2777</v>
      </c>
      <c r="N7" s="112">
        <f t="shared" si="0"/>
        <v>3582</v>
      </c>
      <c r="O7" s="112">
        <f t="shared" si="0"/>
        <v>1898</v>
      </c>
      <c r="P7" s="112">
        <f t="shared" si="0"/>
        <v>2617</v>
      </c>
      <c r="Q7" s="112">
        <f t="shared" si="0"/>
        <v>1446</v>
      </c>
      <c r="R7" s="112">
        <f t="shared" si="0"/>
        <v>1090</v>
      </c>
      <c r="S7" s="112">
        <f t="shared" si="0"/>
        <v>1837</v>
      </c>
      <c r="T7" s="112">
        <f t="shared" si="0"/>
        <v>2861</v>
      </c>
      <c r="U7" s="254">
        <f t="shared" si="0"/>
        <v>772</v>
      </c>
      <c r="V7" s="253">
        <f t="shared" si="0"/>
        <v>2033.427189060124</v>
      </c>
      <c r="W7" s="112">
        <f t="shared" si="0"/>
        <v>2030.4707498334051</v>
      </c>
      <c r="X7" s="112">
        <f t="shared" si="0"/>
        <v>2031.7312072358413</v>
      </c>
      <c r="Y7" s="112">
        <f t="shared" si="0"/>
        <v>2032.2335007495667</v>
      </c>
      <c r="Z7" s="254">
        <f t="shared" si="0"/>
        <v>2028.3949789233843</v>
      </c>
      <c r="AB7" s="847" t="s">
        <v>204</v>
      </c>
      <c r="AC7" s="848"/>
      <c r="AD7" s="849"/>
      <c r="AE7" s="1034">
        <f>AVERAGE(D10:U10)</f>
        <v>6.7281658353921497E-2</v>
      </c>
      <c r="AF7" s="1052"/>
    </row>
    <row r="8" spans="1:32" ht="17" thickBot="1">
      <c r="A8" s="1093"/>
      <c r="B8" s="967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191"/>
      <c r="N8" s="191"/>
      <c r="O8" s="191"/>
      <c r="P8" s="191"/>
      <c r="Q8" s="191"/>
      <c r="R8" s="191"/>
      <c r="S8" s="191"/>
      <c r="T8" s="191"/>
      <c r="U8" s="189"/>
      <c r="V8" s="334"/>
      <c r="W8" s="336"/>
      <c r="X8" s="336"/>
      <c r="Y8" s="336"/>
      <c r="Z8" s="335"/>
      <c r="AB8" s="847" t="s">
        <v>412</v>
      </c>
      <c r="AC8" s="848"/>
      <c r="AD8" s="848"/>
      <c r="AE8" s="1015">
        <f>AVERAGE(C12:U12)</f>
        <v>1.3252316188477769E-3</v>
      </c>
      <c r="AF8" s="1017"/>
    </row>
    <row r="9" spans="1:32" ht="17" thickBot="1">
      <c r="A9" s="1093" t="s">
        <v>151</v>
      </c>
      <c r="B9" s="967"/>
      <c r="C9" s="4">
        <v>3986</v>
      </c>
      <c r="D9" s="4">
        <v>4049</v>
      </c>
      <c r="E9" s="4">
        <v>3655</v>
      </c>
      <c r="F9" s="4">
        <v>4039</v>
      </c>
      <c r="G9" s="4">
        <v>4094</v>
      </c>
      <c r="H9" s="4">
        <v>4579</v>
      </c>
      <c r="I9" s="4">
        <v>4595</v>
      </c>
      <c r="J9" s="4">
        <v>4925</v>
      </c>
      <c r="K9" s="4">
        <v>5296</v>
      </c>
      <c r="L9" s="4">
        <v>6061</v>
      </c>
      <c r="M9" s="4">
        <v>5692</v>
      </c>
      <c r="N9" s="4">
        <v>6064</v>
      </c>
      <c r="O9" s="4">
        <v>6563</v>
      </c>
      <c r="P9" s="4">
        <v>5834</v>
      </c>
      <c r="Q9" s="4">
        <v>5877</v>
      </c>
      <c r="R9" s="4">
        <v>7254</v>
      </c>
      <c r="S9" s="4">
        <v>8202</v>
      </c>
      <c r="T9" s="4">
        <v>10257</v>
      </c>
      <c r="U9" s="124">
        <v>11916</v>
      </c>
      <c r="V9" s="122">
        <f>U9*(1+V10)</f>
        <v>12717.728240945329</v>
      </c>
      <c r="W9" s="4">
        <f t="shared" ref="W9:Z9" si="1">V9*(1+W10)</f>
        <v>13573.398087490632</v>
      </c>
      <c r="X9" s="4">
        <f t="shared" si="1"/>
        <v>14486.638820314949</v>
      </c>
      <c r="Y9" s="4">
        <f t="shared" si="1"/>
        <v>15461.323904120036</v>
      </c>
      <c r="Z9" s="124">
        <f t="shared" si="1"/>
        <v>16501.587416736362</v>
      </c>
      <c r="AB9" s="847" t="s">
        <v>408</v>
      </c>
      <c r="AC9" s="848"/>
      <c r="AD9" s="849"/>
      <c r="AE9" s="1034">
        <f>AVERAGE(C18:U18)</f>
        <v>2.4273253189369421E-2</v>
      </c>
      <c r="AF9" s="1035"/>
    </row>
    <row r="10" spans="1:32" s="186" customFormat="1" ht="17" thickBot="1">
      <c r="A10" s="965" t="s">
        <v>203</v>
      </c>
      <c r="B10" s="967"/>
      <c r="C10" s="238">
        <v>0</v>
      </c>
      <c r="D10" s="104">
        <f>(D9-C9)/C9</f>
        <v>1.5805318615153035E-2</v>
      </c>
      <c r="E10" s="104">
        <f t="shared" ref="E10:U10" si="2">(E9-D9)/D9</f>
        <v>-9.7307977278340327E-2</v>
      </c>
      <c r="F10" s="104">
        <f t="shared" si="2"/>
        <v>0.10506155950752394</v>
      </c>
      <c r="G10" s="104">
        <f t="shared" si="2"/>
        <v>1.3617231988115871E-2</v>
      </c>
      <c r="H10" s="104">
        <f t="shared" si="2"/>
        <v>0.11846604787493893</v>
      </c>
      <c r="I10" s="104">
        <f t="shared" si="2"/>
        <v>3.4942127101987332E-3</v>
      </c>
      <c r="J10" s="104">
        <f t="shared" si="2"/>
        <v>7.181719260065289E-2</v>
      </c>
      <c r="K10" s="104">
        <f t="shared" si="2"/>
        <v>7.5329949238578678E-2</v>
      </c>
      <c r="L10" s="104">
        <f t="shared" si="2"/>
        <v>0.14444864048338368</v>
      </c>
      <c r="M10" s="104">
        <f t="shared" si="2"/>
        <v>-6.0881042732222404E-2</v>
      </c>
      <c r="N10" s="104">
        <f t="shared" si="2"/>
        <v>6.535488404778636E-2</v>
      </c>
      <c r="O10" s="104">
        <f t="shared" si="2"/>
        <v>8.2288918205804751E-2</v>
      </c>
      <c r="P10" s="104">
        <f t="shared" si="2"/>
        <v>-0.11107725125704708</v>
      </c>
      <c r="Q10" s="104">
        <f t="shared" si="2"/>
        <v>7.3705862187178608E-3</v>
      </c>
      <c r="R10" s="104">
        <f t="shared" si="2"/>
        <v>0.23430321592649311</v>
      </c>
      <c r="S10" s="104">
        <f t="shared" si="2"/>
        <v>0.13068651778329199</v>
      </c>
      <c r="T10" s="104">
        <f t="shared" si="2"/>
        <v>0.25054864667154353</v>
      </c>
      <c r="U10" s="129">
        <f t="shared" si="2"/>
        <v>0.16174319976601345</v>
      </c>
      <c r="V10" s="128">
        <f>$AE$7</f>
        <v>6.7281658353921497E-2</v>
      </c>
      <c r="W10" s="104">
        <f t="shared" ref="W10:Z10" si="3">$AE$7</f>
        <v>6.7281658353921497E-2</v>
      </c>
      <c r="X10" s="104">
        <f t="shared" si="3"/>
        <v>6.7281658353921497E-2</v>
      </c>
      <c r="Y10" s="104">
        <f t="shared" si="3"/>
        <v>6.7281658353921497E-2</v>
      </c>
      <c r="Z10" s="129">
        <f t="shared" si="3"/>
        <v>6.7281658353921497E-2</v>
      </c>
      <c r="AB10" s="847" t="s">
        <v>409</v>
      </c>
      <c r="AC10" s="848"/>
      <c r="AD10" s="849"/>
      <c r="AE10" s="1094">
        <f>AVERAGE(D26:U26)</f>
        <v>4.7359617634963269E-2</v>
      </c>
      <c r="AF10" s="795"/>
    </row>
    <row r="11" spans="1:32" ht="17" thickBot="1">
      <c r="A11" s="1093" t="s">
        <v>152</v>
      </c>
      <c r="B11" s="967"/>
      <c r="C11" s="238">
        <v>0</v>
      </c>
      <c r="D11" s="238">
        <v>0</v>
      </c>
      <c r="E11" s="238">
        <v>0</v>
      </c>
      <c r="F11" s="238">
        <v>0</v>
      </c>
      <c r="G11" s="238">
        <v>0</v>
      </c>
      <c r="H11" s="238">
        <v>0</v>
      </c>
      <c r="I11" s="238">
        <v>0</v>
      </c>
      <c r="J11" s="4">
        <v>69</v>
      </c>
      <c r="K11" s="4">
        <v>98</v>
      </c>
      <c r="L11" s="4">
        <v>110</v>
      </c>
      <c r="M11" s="4">
        <v>111</v>
      </c>
      <c r="N11" s="4">
        <v>102</v>
      </c>
      <c r="O11" s="4">
        <v>662</v>
      </c>
      <c r="P11" s="238">
        <v>0</v>
      </c>
      <c r="Q11" s="238">
        <v>0</v>
      </c>
      <c r="R11" s="238">
        <v>0</v>
      </c>
      <c r="S11" s="238">
        <v>0</v>
      </c>
      <c r="T11" s="238">
        <v>0</v>
      </c>
      <c r="U11" s="252">
        <v>0</v>
      </c>
      <c r="V11" s="122">
        <f>'Restructuration cap'!W11*$AE$8</f>
        <v>73.011622618344717</v>
      </c>
      <c r="W11" s="4">
        <f>'Restructuration cap'!X11*$AE$8</f>
        <v>74.807228892314427</v>
      </c>
      <c r="X11" s="4">
        <f>'Restructuration cap'!Y11*$AE$8</f>
        <v>76.625846842164549</v>
      </c>
      <c r="Y11" s="4">
        <f>'Restructuration cap'!Z11*$AE$8</f>
        <v>78.659031346071259</v>
      </c>
      <c r="Z11" s="124">
        <f>'Restructuration cap'!AA11*$AE$8</f>
        <v>80.693278140566704</v>
      </c>
      <c r="AB11" s="847" t="s">
        <v>410</v>
      </c>
      <c r="AC11" s="848"/>
      <c r="AD11" s="849"/>
      <c r="AE11" s="1095">
        <f>AVERAGE(C29:U29)</f>
        <v>8.8862855755389939E-3</v>
      </c>
      <c r="AF11" s="1096"/>
    </row>
    <row r="12" spans="1:32" s="186" customFormat="1" ht="17" thickBot="1">
      <c r="A12" s="965" t="s">
        <v>205</v>
      </c>
      <c r="B12" s="967"/>
      <c r="C12" s="104">
        <f>C11/'Restructuration cap'!D11</f>
        <v>0</v>
      </c>
      <c r="D12" s="104">
        <f>D11/'Restructuration cap'!E11</f>
        <v>0</v>
      </c>
      <c r="E12" s="104">
        <f>E11/'Restructuration cap'!F11</f>
        <v>0</v>
      </c>
      <c r="F12" s="104">
        <f>F11/'Restructuration cap'!G11</f>
        <v>0</v>
      </c>
      <c r="G12" s="104">
        <f>G11/'Restructuration cap'!H11</f>
        <v>0</v>
      </c>
      <c r="H12" s="104">
        <f>H11/'Restructuration cap'!I11</f>
        <v>0</v>
      </c>
      <c r="I12" s="104">
        <f>I11/'Restructuration cap'!J11</f>
        <v>0</v>
      </c>
      <c r="J12" s="104">
        <f>J11/'Restructuration cap'!K11</f>
        <v>1.6482728966604558E-3</v>
      </c>
      <c r="K12" s="104">
        <f>K11/'Restructuration cap'!L11</f>
        <v>2.3687518128202648E-3</v>
      </c>
      <c r="L12" s="104">
        <f>L11/'Restructuration cap'!M11</f>
        <v>2.5075797296373126E-3</v>
      </c>
      <c r="M12" s="104">
        <f>M11/'Restructuration cap'!N11</f>
        <v>2.4304263099121982E-3</v>
      </c>
      <c r="N12" s="104">
        <f>N11/'Restructuration cap'!O11</f>
        <v>2.1935955611948645E-3</v>
      </c>
      <c r="O12" s="104">
        <f>O11/'Restructuration cap'!P11</f>
        <v>1.4030774447882668E-2</v>
      </c>
      <c r="P12" s="104">
        <f>P11/'Restructuration cap'!Q11</f>
        <v>0</v>
      </c>
      <c r="Q12" s="104">
        <f>Q11/'Restructuration cap'!R11</f>
        <v>0</v>
      </c>
      <c r="R12" s="104">
        <f>R11/'Restructuration cap'!S11</f>
        <v>0</v>
      </c>
      <c r="S12" s="104">
        <f>S11/'Restructuration cap'!T11</f>
        <v>0</v>
      </c>
      <c r="T12" s="104">
        <f>T11/'Restructuration cap'!U11</f>
        <v>0</v>
      </c>
      <c r="U12" s="129">
        <f>U11/'Restructuration cap'!V11</f>
        <v>0</v>
      </c>
      <c r="V12" s="276">
        <f>V11/'Restructuration cap'!W11</f>
        <v>1.3252316188477769E-3</v>
      </c>
      <c r="W12" s="104">
        <f>W11/'Restructuration cap'!X11</f>
        <v>1.3252316188477769E-3</v>
      </c>
      <c r="X12" s="104">
        <f>X11/'Restructuration cap'!Y11</f>
        <v>1.3252316188477769E-3</v>
      </c>
      <c r="Y12" s="104">
        <f>Y11/'Restructuration cap'!Z11</f>
        <v>1.3252316188477769E-3</v>
      </c>
      <c r="Z12" s="129">
        <f>Z11/'Restructuration cap'!AA11</f>
        <v>1.3252316188477769E-3</v>
      </c>
      <c r="AB12" s="847" t="s">
        <v>411</v>
      </c>
      <c r="AC12" s="848"/>
      <c r="AD12" s="849"/>
      <c r="AE12" s="1048">
        <f>AVERAGE(C32:U32)</f>
        <v>2.3318093351515135E-3</v>
      </c>
      <c r="AF12" s="1050"/>
    </row>
    <row r="13" spans="1:32" ht="17" thickBot="1">
      <c r="A13" s="1093"/>
      <c r="B13" s="967"/>
      <c r="C13" s="266"/>
      <c r="D13" s="266"/>
      <c r="E13" s="266"/>
      <c r="F13" s="266"/>
      <c r="G13" s="266"/>
      <c r="H13" s="266"/>
      <c r="I13" s="266"/>
      <c r="J13" s="266"/>
      <c r="K13" s="266"/>
      <c r="L13" s="266"/>
      <c r="M13" s="191"/>
      <c r="N13" s="191"/>
      <c r="O13" s="191"/>
      <c r="P13" s="191"/>
      <c r="Q13" s="191"/>
      <c r="R13" s="191"/>
      <c r="S13" s="191"/>
      <c r="T13" s="191"/>
      <c r="U13" s="189"/>
      <c r="V13" s="334"/>
      <c r="W13" s="336"/>
      <c r="X13" s="336"/>
      <c r="Y13" s="336"/>
      <c r="Z13" s="335"/>
    </row>
    <row r="14" spans="1:32">
      <c r="A14" s="1089" t="s">
        <v>165</v>
      </c>
      <c r="B14" s="1090"/>
      <c r="C14" s="112">
        <f t="shared" ref="C14:V14" si="4">C11+C9</f>
        <v>3986</v>
      </c>
      <c r="D14" s="112">
        <f t="shared" si="4"/>
        <v>4049</v>
      </c>
      <c r="E14" s="112">
        <f t="shared" si="4"/>
        <v>3655</v>
      </c>
      <c r="F14" s="112">
        <f t="shared" si="4"/>
        <v>4039</v>
      </c>
      <c r="G14" s="112">
        <f t="shared" si="4"/>
        <v>4094</v>
      </c>
      <c r="H14" s="112">
        <f t="shared" si="4"/>
        <v>4579</v>
      </c>
      <c r="I14" s="112">
        <f t="shared" si="4"/>
        <v>4595</v>
      </c>
      <c r="J14" s="112">
        <f t="shared" si="4"/>
        <v>4994</v>
      </c>
      <c r="K14" s="112">
        <f t="shared" si="4"/>
        <v>5394</v>
      </c>
      <c r="L14" s="112">
        <f t="shared" si="4"/>
        <v>6171</v>
      </c>
      <c r="M14" s="112">
        <f t="shared" si="4"/>
        <v>5803</v>
      </c>
      <c r="N14" s="112">
        <f t="shared" si="4"/>
        <v>6166</v>
      </c>
      <c r="O14" s="112">
        <f t="shared" si="4"/>
        <v>7225</v>
      </c>
      <c r="P14" s="112">
        <f t="shared" si="4"/>
        <v>5834</v>
      </c>
      <c r="Q14" s="112">
        <f t="shared" si="4"/>
        <v>5877</v>
      </c>
      <c r="R14" s="112">
        <f t="shared" si="4"/>
        <v>7254</v>
      </c>
      <c r="S14" s="112">
        <f t="shared" si="4"/>
        <v>8202</v>
      </c>
      <c r="T14" s="112">
        <f t="shared" si="4"/>
        <v>10257</v>
      </c>
      <c r="U14" s="112">
        <f t="shared" si="4"/>
        <v>11916</v>
      </c>
      <c r="V14" s="474">
        <f t="shared" si="4"/>
        <v>12790.739863563675</v>
      </c>
      <c r="W14" s="475">
        <f>W11+W9</f>
        <v>13648.205316382946</v>
      </c>
      <c r="X14" s="475">
        <f t="shared" ref="X14:Z14" si="5">X11+X9</f>
        <v>14563.264667157113</v>
      </c>
      <c r="Y14" s="475">
        <f t="shared" si="5"/>
        <v>15539.982935466107</v>
      </c>
      <c r="Z14" s="476">
        <f t="shared" si="5"/>
        <v>16582.280694876928</v>
      </c>
    </row>
    <row r="15" spans="1:32" ht="17" thickBot="1">
      <c r="A15" s="1093"/>
      <c r="B15" s="967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191"/>
      <c r="N15" s="191"/>
      <c r="O15" s="191"/>
      <c r="P15" s="191"/>
      <c r="Q15" s="191"/>
      <c r="R15" s="191"/>
      <c r="S15" s="191"/>
      <c r="T15" s="191"/>
      <c r="U15" s="451"/>
      <c r="V15" s="452"/>
      <c r="W15" s="451"/>
      <c r="X15" s="451"/>
      <c r="Y15" s="451"/>
      <c r="Z15" s="453"/>
    </row>
    <row r="16" spans="1:32" ht="17" thickBot="1">
      <c r="A16" s="1093" t="s">
        <v>153</v>
      </c>
      <c r="B16" s="967"/>
      <c r="C16" s="4">
        <v>3805</v>
      </c>
      <c r="D16" s="4">
        <v>3140</v>
      </c>
      <c r="E16" s="4">
        <v>2250</v>
      </c>
      <c r="F16" s="4">
        <v>2348</v>
      </c>
      <c r="G16" s="4">
        <v>1864</v>
      </c>
      <c r="H16" s="4">
        <v>1921</v>
      </c>
      <c r="I16" s="4">
        <v>1657</v>
      </c>
      <c r="J16" s="4">
        <v>1718</v>
      </c>
      <c r="K16" s="4">
        <v>1902</v>
      </c>
      <c r="L16" s="4">
        <v>2183</v>
      </c>
      <c r="M16" s="4">
        <v>2363</v>
      </c>
      <c r="N16" s="4">
        <v>2481</v>
      </c>
      <c r="O16" s="4">
        <v>2937</v>
      </c>
      <c r="P16" s="4">
        <v>2977</v>
      </c>
      <c r="Q16" s="4">
        <v>2804</v>
      </c>
      <c r="R16" s="4">
        <v>4819</v>
      </c>
      <c r="S16" s="4">
        <v>4670</v>
      </c>
      <c r="T16" s="4">
        <v>2878</v>
      </c>
      <c r="U16" s="4">
        <v>2997</v>
      </c>
      <c r="V16" s="122">
        <f>_xlfn.FORECAST.ETS(V2,$C$16:U16,$C$2:U2)</f>
        <v>3062.173684210527</v>
      </c>
      <c r="W16" s="4">
        <f>_xlfn.FORECAST.ETS(W2,$C$16:V16,$C$2:V2)</f>
        <v>3122.899473684211</v>
      </c>
      <c r="X16" s="4">
        <f>_xlfn.FORECAST.ETS(X2,$C$16:W16,$C$2:W2)</f>
        <v>3180.3326657552975</v>
      </c>
      <c r="Y16" s="4">
        <f>_xlfn.FORECAST.ETS(Y2,$C$16:X16,$C$2:X2)</f>
        <v>3235.2931562196904</v>
      </c>
      <c r="Z16" s="124">
        <f>_xlfn.FORECAST.ETS(Z2,$C$16:Y16,$C$2:Y2)</f>
        <v>3288.3722432876862</v>
      </c>
      <c r="AA16" s="1083" t="s">
        <v>295</v>
      </c>
      <c r="AB16" s="1083"/>
      <c r="AC16" s="1083"/>
      <c r="AD16" s="1084"/>
    </row>
    <row r="17" spans="1:30">
      <c r="A17" s="1093" t="s">
        <v>166</v>
      </c>
      <c r="B17" s="967"/>
      <c r="C17" s="4">
        <v>1213</v>
      </c>
      <c r="D17" s="4">
        <v>1566</v>
      </c>
      <c r="E17" s="4">
        <v>1277</v>
      </c>
      <c r="F17" s="4">
        <v>921</v>
      </c>
      <c r="G17" s="4">
        <v>982</v>
      </c>
      <c r="H17" s="4">
        <v>861</v>
      </c>
      <c r="I17" s="4">
        <v>900</v>
      </c>
      <c r="J17" s="4">
        <v>756</v>
      </c>
      <c r="K17" s="4">
        <v>755</v>
      </c>
      <c r="L17" s="4">
        <v>815</v>
      </c>
      <c r="M17" s="4">
        <v>1147</v>
      </c>
      <c r="N17" s="4">
        <v>1339</v>
      </c>
      <c r="O17" s="4">
        <v>1269</v>
      </c>
      <c r="P17" s="4">
        <v>1088</v>
      </c>
      <c r="Q17" s="4">
        <v>1451</v>
      </c>
      <c r="R17" s="238">
        <v>0</v>
      </c>
      <c r="S17" s="238">
        <v>0</v>
      </c>
      <c r="T17" s="238">
        <v>0</v>
      </c>
      <c r="U17" s="238">
        <v>0</v>
      </c>
      <c r="V17" s="122">
        <f>V18*'Restructuration cap'!W11</f>
        <v>1337.2980061573223</v>
      </c>
      <c r="W17" s="4">
        <f>W18*'Restructuration cap'!X11</f>
        <v>1370.1867518653232</v>
      </c>
      <c r="X17" s="4">
        <f>X18*'Restructuration cap'!Y11</f>
        <v>1403.496984826581</v>
      </c>
      <c r="Y17" s="4">
        <f>Y18*'Restructuration cap'!Z11</f>
        <v>1440.7372691226492</v>
      </c>
      <c r="Z17" s="124">
        <f>Z18*'Restructuration cap'!AA11</f>
        <v>1477.9970105823213</v>
      </c>
      <c r="AA17" s="191"/>
    </row>
    <row r="18" spans="1:30" s="186" customFormat="1">
      <c r="A18" s="965" t="s">
        <v>205</v>
      </c>
      <c r="B18" s="967"/>
      <c r="C18" s="104">
        <f>C17/'Restructuration cap'!D11</f>
        <v>4.9427488692392323E-2</v>
      </c>
      <c r="D18" s="104">
        <f>D17/'Restructuration cap'!E11</f>
        <v>6.5277198832847022E-2</v>
      </c>
      <c r="E18" s="104">
        <f>E17/'Restructuration cap'!F11</f>
        <v>4.8047257129957111E-2</v>
      </c>
      <c r="F18" s="104">
        <f>F17/'Restructuration cap'!G11</f>
        <v>2.8940422322775265E-2</v>
      </c>
      <c r="G18" s="104">
        <f>G17/'Restructuration cap'!H11</f>
        <v>2.7641727185723133E-2</v>
      </c>
      <c r="H18" s="104">
        <f>H17/'Restructuration cap'!I11</f>
        <v>2.3137075753097036E-2</v>
      </c>
      <c r="I18" s="104">
        <f>I17/'Restructuration cap'!J11</f>
        <v>2.271580010095911E-2</v>
      </c>
      <c r="J18" s="104">
        <f>J17/'Restructuration cap'!K11</f>
        <v>1.8059337824279778E-2</v>
      </c>
      <c r="K18" s="104">
        <f>K17/'Restructuration cap'!L11</f>
        <v>1.8249057333462246E-2</v>
      </c>
      <c r="L18" s="104">
        <f>L17/'Restructuration cap'!M11</f>
        <v>1.8578886178676455E-2</v>
      </c>
      <c r="M18" s="104">
        <f>M17/'Restructuration cap'!N11</f>
        <v>2.5114405202426048E-2</v>
      </c>
      <c r="N18" s="104">
        <f>N17/'Restructuration cap'!O11</f>
        <v>2.8796318200391406E-2</v>
      </c>
      <c r="O18" s="104">
        <f>O17/'Restructuration cap'!P11</f>
        <v>2.6895850112330973E-2</v>
      </c>
      <c r="P18" s="104">
        <f>P17/'Restructuration cap'!Q11</f>
        <v>2.3986948278142774E-2</v>
      </c>
      <c r="Q18" s="104">
        <f>Q17/'Restructuration cap'!R11</f>
        <v>3.6324037450558254E-2</v>
      </c>
      <c r="R18" s="104">
        <f>R17/'Restructuration cap'!S11</f>
        <v>0</v>
      </c>
      <c r="S18" s="104">
        <f>S17/'Restructuration cap'!T11</f>
        <v>0</v>
      </c>
      <c r="T18" s="104">
        <f>T17/'Restructuration cap'!U11</f>
        <v>0</v>
      </c>
      <c r="U18" s="104">
        <f>U17/'Restructuration cap'!V11</f>
        <v>0</v>
      </c>
      <c r="V18" s="128">
        <f>$AE$9</f>
        <v>2.4273253189369421E-2</v>
      </c>
      <c r="W18" s="104">
        <f t="shared" ref="W18:Z18" si="6">$AE$9</f>
        <v>2.4273253189369421E-2</v>
      </c>
      <c r="X18" s="104">
        <f t="shared" si="6"/>
        <v>2.4273253189369421E-2</v>
      </c>
      <c r="Y18" s="104">
        <f t="shared" si="6"/>
        <v>2.4273253189369421E-2</v>
      </c>
      <c r="Z18" s="129">
        <f t="shared" si="6"/>
        <v>2.4273253189369421E-2</v>
      </c>
    </row>
    <row r="19" spans="1:30" ht="17" thickBot="1">
      <c r="A19" s="1087" t="s">
        <v>154</v>
      </c>
      <c r="B19" s="1088"/>
      <c r="C19" s="4">
        <v>2830</v>
      </c>
      <c r="D19" s="4">
        <v>1111</v>
      </c>
      <c r="E19" s="4">
        <v>706</v>
      </c>
      <c r="F19" s="4">
        <v>843</v>
      </c>
      <c r="G19" s="4">
        <v>557</v>
      </c>
      <c r="H19" s="4">
        <v>495</v>
      </c>
      <c r="I19" s="4">
        <v>719</v>
      </c>
      <c r="J19" s="4">
        <v>491</v>
      </c>
      <c r="K19" s="4">
        <v>403</v>
      </c>
      <c r="L19" s="4">
        <v>571</v>
      </c>
      <c r="M19" s="4">
        <v>803</v>
      </c>
      <c r="N19" s="4">
        <v>526</v>
      </c>
      <c r="O19" s="4">
        <v>526</v>
      </c>
      <c r="P19" s="4">
        <v>813</v>
      </c>
      <c r="Q19" s="4">
        <v>744</v>
      </c>
      <c r="R19" s="4">
        <v>1410</v>
      </c>
      <c r="S19" s="4">
        <v>399</v>
      </c>
      <c r="T19" s="4">
        <v>1509</v>
      </c>
      <c r="U19" s="4">
        <v>418</v>
      </c>
      <c r="V19" s="477">
        <f>_xlfn.FORECAST.ETS(V2,C19:U19,C2:U2)</f>
        <v>485.23827114733172</v>
      </c>
      <c r="W19" s="478">
        <f>_xlfn.FORECAST.ETS(W2,D19:V19,D2:V2)</f>
        <v>488.0806298145697</v>
      </c>
      <c r="X19" s="478">
        <f>_xlfn.FORECAST.ETS(X2,E19:W19,E2:W2)</f>
        <v>569.58850619947657</v>
      </c>
      <c r="Y19" s="478">
        <f>_xlfn.FORECAST.ETS(Y2,F19:X19,F2:X2)</f>
        <v>572.43228619590298</v>
      </c>
      <c r="Z19" s="479">
        <f>_xlfn.FORECAST.ETS(Z2,G19:Y19,G2:Y2)</f>
        <v>689.40510703787891</v>
      </c>
    </row>
    <row r="20" spans="1:30">
      <c r="A20" s="1089" t="s">
        <v>155</v>
      </c>
      <c r="B20" s="1090"/>
      <c r="C20" s="112">
        <f t="shared" ref="C20:T20" si="7">C7+C14+C16+C17+C19</f>
        <v>13339</v>
      </c>
      <c r="D20" s="112">
        <f t="shared" si="7"/>
        <v>10778</v>
      </c>
      <c r="E20" s="112">
        <f t="shared" si="7"/>
        <v>10626</v>
      </c>
      <c r="F20" s="112">
        <f t="shared" si="7"/>
        <v>9401</v>
      </c>
      <c r="G20" s="112">
        <f t="shared" si="7"/>
        <v>8953</v>
      </c>
      <c r="H20" s="112">
        <f t="shared" si="7"/>
        <v>10529</v>
      </c>
      <c r="I20" s="112">
        <f t="shared" si="7"/>
        <v>10164</v>
      </c>
      <c r="J20" s="112">
        <f t="shared" si="7"/>
        <v>10940</v>
      </c>
      <c r="K20" s="112">
        <f t="shared" si="7"/>
        <v>10683</v>
      </c>
      <c r="L20" s="112">
        <f t="shared" si="7"/>
        <v>12477</v>
      </c>
      <c r="M20" s="112">
        <f t="shared" si="7"/>
        <v>12893</v>
      </c>
      <c r="N20" s="112">
        <f t="shared" si="7"/>
        <v>14094</v>
      </c>
      <c r="O20" s="112">
        <f t="shared" si="7"/>
        <v>13855</v>
      </c>
      <c r="P20" s="112">
        <f t="shared" si="7"/>
        <v>13329</v>
      </c>
      <c r="Q20" s="112">
        <f t="shared" si="7"/>
        <v>12322</v>
      </c>
      <c r="R20" s="112">
        <f t="shared" si="7"/>
        <v>14573</v>
      </c>
      <c r="S20" s="112">
        <f t="shared" si="7"/>
        <v>15108</v>
      </c>
      <c r="T20" s="112">
        <f t="shared" si="7"/>
        <v>17505</v>
      </c>
      <c r="U20" s="112">
        <f>U7+U14+U16+U17+U19</f>
        <v>16103</v>
      </c>
      <c r="V20" s="474">
        <f t="shared" ref="V20:Z20" si="8">V7+V14+V16+V17+V19</f>
        <v>19708.87701413898</v>
      </c>
      <c r="W20" s="475">
        <f t="shared" si="8"/>
        <v>20659.842921580454</v>
      </c>
      <c r="X20" s="475">
        <f t="shared" si="8"/>
        <v>21748.41403117431</v>
      </c>
      <c r="Y20" s="475">
        <f t="shared" si="8"/>
        <v>22820.679147753915</v>
      </c>
      <c r="Z20" s="476">
        <f t="shared" si="8"/>
        <v>24066.450034708199</v>
      </c>
    </row>
    <row r="21" spans="1:30">
      <c r="A21" s="1091"/>
      <c r="B21" s="1092"/>
      <c r="C21" s="267"/>
      <c r="D21" s="267"/>
      <c r="E21" s="267"/>
      <c r="F21" s="267"/>
      <c r="G21" s="267"/>
      <c r="H21" s="267"/>
      <c r="I21" s="267"/>
      <c r="J21" s="267"/>
      <c r="K21" s="267"/>
      <c r="L21" s="267"/>
      <c r="M21" s="191"/>
      <c r="N21" s="191"/>
      <c r="O21" s="191"/>
      <c r="P21" s="191"/>
      <c r="Q21" s="191"/>
      <c r="R21" s="191"/>
      <c r="S21" s="191"/>
      <c r="T21" s="191"/>
      <c r="U21" s="451"/>
      <c r="V21" s="452"/>
      <c r="W21" s="451"/>
      <c r="X21" s="451"/>
      <c r="Y21" s="451"/>
      <c r="Z21" s="453"/>
    </row>
    <row r="22" spans="1:30" ht="17" thickBot="1">
      <c r="A22" s="1099"/>
      <c r="B22" s="1092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191"/>
      <c r="N22" s="191"/>
      <c r="O22" s="191"/>
      <c r="P22" s="191"/>
      <c r="Q22" s="191"/>
      <c r="R22" s="191"/>
      <c r="S22" s="191"/>
      <c r="T22" s="191"/>
      <c r="U22" s="451"/>
      <c r="V22" s="452"/>
      <c r="W22" s="451"/>
      <c r="X22" s="451"/>
      <c r="Y22" s="451"/>
      <c r="Z22" s="453"/>
    </row>
    <row r="23" spans="1:30" ht="17" thickBot="1">
      <c r="A23" s="1106" t="s">
        <v>167</v>
      </c>
      <c r="B23" s="1103"/>
      <c r="C23" s="4">
        <v>4697</v>
      </c>
      <c r="D23" s="4">
        <v>5002</v>
      </c>
      <c r="E23" s="4">
        <v>4542</v>
      </c>
      <c r="F23" s="4">
        <v>4256</v>
      </c>
      <c r="G23" s="4">
        <v>4028</v>
      </c>
      <c r="H23" s="4">
        <v>4331</v>
      </c>
      <c r="I23" s="4">
        <v>3856</v>
      </c>
      <c r="J23" s="4">
        <v>4212</v>
      </c>
      <c r="K23" s="4">
        <v>4535</v>
      </c>
      <c r="L23" s="4">
        <v>5049</v>
      </c>
      <c r="M23" s="4">
        <v>5890</v>
      </c>
      <c r="N23" s="4">
        <v>6399</v>
      </c>
      <c r="O23" s="4">
        <v>6503</v>
      </c>
      <c r="P23" s="4">
        <v>6349</v>
      </c>
      <c r="Q23" s="4">
        <v>5775</v>
      </c>
      <c r="R23" s="4">
        <v>6703</v>
      </c>
      <c r="S23" s="4">
        <v>6776</v>
      </c>
      <c r="T23" s="4">
        <v>7028</v>
      </c>
      <c r="U23" s="4">
        <v>6491</v>
      </c>
      <c r="V23" s="122">
        <f>_xlfn.FORECAST.ETS(V2,$C$23:U23,$C$2:U2)</f>
        <v>6821.7161401594904</v>
      </c>
      <c r="W23" s="4">
        <f>_xlfn.FORECAST.ETS(W2,$C$23:V23,$C$2:V2)</f>
        <v>7051.2826948600596</v>
      </c>
      <c r="X23" s="4">
        <f>_xlfn.FORECAST.ETS(X2,$C$23:W23,$C$2:W2)</f>
        <v>7210.5518795484195</v>
      </c>
      <c r="Y23" s="4">
        <f>_xlfn.FORECAST.ETS(Y2,$C$23:X23,$C$2:X2)</f>
        <v>7368.8811483544987</v>
      </c>
      <c r="Z23" s="124">
        <f>_xlfn.FORECAST.ETS(Z2,$C$23:Y23,$C$2:Y2)</f>
        <v>7526.4952637718925</v>
      </c>
      <c r="AA23" s="1083" t="s">
        <v>295</v>
      </c>
      <c r="AB23" s="1083"/>
      <c r="AC23" s="1083"/>
      <c r="AD23" s="1084"/>
    </row>
    <row r="24" spans="1:30" ht="17" thickBot="1">
      <c r="A24" s="1093" t="s">
        <v>156</v>
      </c>
      <c r="B24" s="967"/>
      <c r="C24" s="4">
        <v>1106</v>
      </c>
      <c r="D24" s="4">
        <v>1419</v>
      </c>
      <c r="E24" s="4">
        <v>1102</v>
      </c>
      <c r="F24" s="4">
        <v>1434</v>
      </c>
      <c r="G24" s="4">
        <v>1726</v>
      </c>
      <c r="H24" s="4">
        <v>1998</v>
      </c>
      <c r="I24" s="4">
        <v>2221</v>
      </c>
      <c r="J24" s="4">
        <v>2163</v>
      </c>
      <c r="K24" s="4">
        <v>2030</v>
      </c>
      <c r="L24" s="4">
        <v>2030</v>
      </c>
      <c r="M24" s="4">
        <v>1627</v>
      </c>
      <c r="N24" s="4">
        <v>2269</v>
      </c>
      <c r="O24" s="4">
        <v>2038</v>
      </c>
      <c r="P24" s="4">
        <v>1397</v>
      </c>
      <c r="Q24" s="4">
        <v>1562</v>
      </c>
      <c r="R24" s="4">
        <v>1745</v>
      </c>
      <c r="S24" s="4">
        <v>1653</v>
      </c>
      <c r="T24" s="4">
        <v>1467</v>
      </c>
      <c r="U24" s="4">
        <v>2402</v>
      </c>
      <c r="V24" s="256">
        <f>_xlfn.FORECAST.ETS(V2,$C$24:U24,$C$2:U2)</f>
        <v>2426.2228070175438</v>
      </c>
      <c r="W24" s="250">
        <f>_xlfn.FORECAST.ETS(W2,$C$24:V24,$C$2:V2)</f>
        <v>2456.5410275689223</v>
      </c>
      <c r="X24" s="250">
        <f>_xlfn.FORECAST.ETS(X2,$C$24:W24,$C$2:W2)</f>
        <v>2491.3714373596331</v>
      </c>
      <c r="Y24" s="250">
        <f>_xlfn.FORECAST.ETS(Y2,$C$24:X24,$C$2:X2)</f>
        <v>2489.5777079306686</v>
      </c>
      <c r="Z24" s="277">
        <f>_xlfn.FORECAST.ETS(Z2,$C$24:Y24,$C$2:Y2)</f>
        <v>2532.9727309779919</v>
      </c>
      <c r="AA24" s="1083" t="s">
        <v>295</v>
      </c>
      <c r="AB24" s="1083"/>
      <c r="AC24" s="1083"/>
      <c r="AD24" s="1084"/>
    </row>
    <row r="25" spans="1:30">
      <c r="A25" s="1107" t="s">
        <v>157</v>
      </c>
      <c r="B25" s="1108"/>
      <c r="C25" s="4">
        <v>978</v>
      </c>
      <c r="D25" s="4">
        <v>1100</v>
      </c>
      <c r="E25" s="4">
        <v>1272</v>
      </c>
      <c r="F25" s="4">
        <v>1418</v>
      </c>
      <c r="G25" s="4">
        <v>1346</v>
      </c>
      <c r="H25" s="4">
        <v>1475</v>
      </c>
      <c r="I25" s="4">
        <v>1584</v>
      </c>
      <c r="J25" s="4">
        <v>1625</v>
      </c>
      <c r="K25" s="4">
        <v>1799</v>
      </c>
      <c r="L25" s="4">
        <v>1777</v>
      </c>
      <c r="M25" s="4">
        <v>1998</v>
      </c>
      <c r="N25" s="4">
        <v>1782</v>
      </c>
      <c r="O25" s="4">
        <v>1649</v>
      </c>
      <c r="P25" s="4">
        <v>1809</v>
      </c>
      <c r="Q25" s="4">
        <v>1824</v>
      </c>
      <c r="R25" s="4">
        <v>1707</v>
      </c>
      <c r="S25" s="4">
        <v>1764</v>
      </c>
      <c r="T25" s="4">
        <v>1785</v>
      </c>
      <c r="U25" s="4">
        <v>2122</v>
      </c>
      <c r="V25" s="242">
        <f>U25*(1+V26)</f>
        <v>2222.4971086213923</v>
      </c>
      <c r="W25" s="243">
        <f t="shared" ref="W25:Z25" si="9">V25*(1+W26)</f>
        <v>2327.7537218805128</v>
      </c>
      <c r="X25" s="243">
        <f t="shared" si="9"/>
        <v>2437.9952480971365</v>
      </c>
      <c r="Y25" s="243">
        <f t="shared" si="9"/>
        <v>2553.4577708428742</v>
      </c>
      <c r="Z25" s="278">
        <f t="shared" si="9"/>
        <v>2674.3885545170187</v>
      </c>
    </row>
    <row r="26" spans="1:30" s="186" customFormat="1">
      <c r="A26" s="1085" t="s">
        <v>203</v>
      </c>
      <c r="B26" s="1086"/>
      <c r="C26" s="268">
        <f>0</f>
        <v>0</v>
      </c>
      <c r="D26" s="104">
        <f>(D25-C25)/C25</f>
        <v>0.12474437627811862</v>
      </c>
      <c r="E26" s="104">
        <f t="shared" ref="E26:U26" si="10">(E25-D25)/D25</f>
        <v>0.15636363636363637</v>
      </c>
      <c r="F26" s="104">
        <f t="shared" si="10"/>
        <v>0.11477987421383648</v>
      </c>
      <c r="G26" s="104">
        <f t="shared" si="10"/>
        <v>-5.0775740479548657E-2</v>
      </c>
      <c r="H26" s="104">
        <f t="shared" si="10"/>
        <v>9.5839524517087674E-2</v>
      </c>
      <c r="I26" s="104">
        <f t="shared" si="10"/>
        <v>7.3898305084745763E-2</v>
      </c>
      <c r="J26" s="104">
        <f t="shared" si="10"/>
        <v>2.5883838383838384E-2</v>
      </c>
      <c r="K26" s="104">
        <f t="shared" si="10"/>
        <v>0.10707692307692308</v>
      </c>
      <c r="L26" s="104">
        <f t="shared" si="10"/>
        <v>-1.2229016120066704E-2</v>
      </c>
      <c r="M26" s="104">
        <f t="shared" si="10"/>
        <v>0.12436691052335397</v>
      </c>
      <c r="N26" s="104">
        <f t="shared" si="10"/>
        <v>-0.10810810810810811</v>
      </c>
      <c r="O26" s="104">
        <f t="shared" si="10"/>
        <v>-7.4635241301907962E-2</v>
      </c>
      <c r="P26" s="104">
        <f t="shared" si="10"/>
        <v>9.7028502122498486E-2</v>
      </c>
      <c r="Q26" s="104">
        <f t="shared" si="10"/>
        <v>8.291873963515755E-3</v>
      </c>
      <c r="R26" s="104">
        <f t="shared" si="10"/>
        <v>-6.4144736842105268E-2</v>
      </c>
      <c r="S26" s="104">
        <f t="shared" si="10"/>
        <v>3.3391915641476276E-2</v>
      </c>
      <c r="T26" s="104">
        <f t="shared" si="10"/>
        <v>1.1904761904761904E-2</v>
      </c>
      <c r="U26" s="104">
        <f t="shared" si="10"/>
        <v>0.18879551820728291</v>
      </c>
      <c r="V26" s="257">
        <f>$AE$10</f>
        <v>4.7359617634963269E-2</v>
      </c>
      <c r="W26" s="258">
        <f t="shared" ref="W26:Z26" si="11">$AE$10</f>
        <v>4.7359617634963269E-2</v>
      </c>
      <c r="X26" s="258">
        <f t="shared" si="11"/>
        <v>4.7359617634963269E-2</v>
      </c>
      <c r="Y26" s="258">
        <f t="shared" si="11"/>
        <v>4.7359617634963269E-2</v>
      </c>
      <c r="Z26" s="279">
        <f t="shared" si="11"/>
        <v>4.7359617634963269E-2</v>
      </c>
    </row>
    <row r="27" spans="1:30">
      <c r="A27" s="1093" t="s">
        <v>158</v>
      </c>
      <c r="B27" s="967"/>
      <c r="C27" s="268">
        <f>0</f>
        <v>0</v>
      </c>
      <c r="D27" s="268">
        <f>0</f>
        <v>0</v>
      </c>
      <c r="E27" s="268">
        <f>0</f>
        <v>0</v>
      </c>
      <c r="F27" s="268">
        <f>0</f>
        <v>0</v>
      </c>
      <c r="G27" s="268">
        <f>0</f>
        <v>0</v>
      </c>
      <c r="H27" s="268">
        <f>0</f>
        <v>0</v>
      </c>
      <c r="I27" s="268">
        <f>0</f>
        <v>0</v>
      </c>
      <c r="J27" s="268">
        <f>0</f>
        <v>0</v>
      </c>
      <c r="K27" s="268">
        <f>0</f>
        <v>0</v>
      </c>
      <c r="L27" s="268">
        <f>0</f>
        <v>0</v>
      </c>
      <c r="M27" s="268">
        <f>0</f>
        <v>0</v>
      </c>
      <c r="N27" s="268">
        <f>0</f>
        <v>0</v>
      </c>
      <c r="O27" s="268">
        <f>0</f>
        <v>0</v>
      </c>
      <c r="P27" s="268">
        <f>0</f>
        <v>0</v>
      </c>
      <c r="Q27" s="268">
        <f>0</f>
        <v>0</v>
      </c>
      <c r="R27" s="268">
        <f>0</f>
        <v>0</v>
      </c>
      <c r="S27" s="268">
        <f>0</f>
        <v>0</v>
      </c>
      <c r="T27" s="268">
        <f>0</f>
        <v>0</v>
      </c>
      <c r="U27" s="4">
        <v>600</v>
      </c>
      <c r="V27" s="259">
        <f>AVERAGE($C$27:$U$27)</f>
        <v>31.578947368421051</v>
      </c>
      <c r="W27" s="260">
        <f t="shared" ref="W27:Z27" si="12">AVERAGE($C$27:$U$27)</f>
        <v>31.578947368421051</v>
      </c>
      <c r="X27" s="260">
        <f t="shared" si="12"/>
        <v>31.578947368421051</v>
      </c>
      <c r="Y27" s="260">
        <f t="shared" si="12"/>
        <v>31.578947368421051</v>
      </c>
      <c r="Z27" s="280">
        <f t="shared" si="12"/>
        <v>31.578947368421051</v>
      </c>
    </row>
    <row r="28" spans="1:30">
      <c r="A28" s="1107" t="s">
        <v>159</v>
      </c>
      <c r="B28" s="1108"/>
      <c r="C28" s="4">
        <v>882</v>
      </c>
      <c r="D28" s="4">
        <v>89</v>
      </c>
      <c r="E28" s="4">
        <v>1365</v>
      </c>
      <c r="F28" s="4">
        <v>136</v>
      </c>
      <c r="G28" s="4">
        <v>15</v>
      </c>
      <c r="H28" s="4">
        <v>202</v>
      </c>
      <c r="I28" s="4">
        <v>34</v>
      </c>
      <c r="J28" s="4">
        <v>104</v>
      </c>
      <c r="K28" s="4">
        <v>242</v>
      </c>
      <c r="L28" s="268">
        <f>0</f>
        <v>0</v>
      </c>
      <c r="M28" s="268">
        <f>0</f>
        <v>0</v>
      </c>
      <c r="N28" s="268">
        <f>0</f>
        <v>0</v>
      </c>
      <c r="O28" s="4">
        <v>150</v>
      </c>
      <c r="P28" s="268">
        <f>0</f>
        <v>0</v>
      </c>
      <c r="Q28" s="268">
        <f>0</f>
        <v>0</v>
      </c>
      <c r="R28" s="4">
        <v>956</v>
      </c>
      <c r="S28" s="268">
        <f>0</f>
        <v>0</v>
      </c>
      <c r="T28" s="4">
        <v>750</v>
      </c>
      <c r="U28" s="4">
        <v>900</v>
      </c>
      <c r="V28" s="261">
        <f>V29*'Restructuration cap'!W11</f>
        <v>489.57640286623592</v>
      </c>
      <c r="W28" s="262">
        <f>W29*'Restructuration cap'!X11</f>
        <v>501.61676615427569</v>
      </c>
      <c r="X28" s="262">
        <f>X29*'Restructuration cap'!Y11</f>
        <v>513.81143327912173</v>
      </c>
      <c r="Y28" s="262">
        <f>Y29*'Restructuration cap'!Z11</f>
        <v>527.44486751998625</v>
      </c>
      <c r="Z28" s="281">
        <f>Z29*'Restructuration cap'!AA11</f>
        <v>541.0854249062703</v>
      </c>
    </row>
    <row r="29" spans="1:30" s="186" customFormat="1">
      <c r="A29" s="1085" t="s">
        <v>205</v>
      </c>
      <c r="B29" s="1086"/>
      <c r="C29" s="104">
        <f>C28/'Restructuration cap'!D11</f>
        <v>3.5939855751599366E-2</v>
      </c>
      <c r="D29" s="104">
        <f>D28/'Restructuration cap'!E11</f>
        <v>3.7098791162984575E-3</v>
      </c>
      <c r="E29" s="104">
        <f>E28/'Restructuration cap'!F11</f>
        <v>5.1358266235232146E-2</v>
      </c>
      <c r="F29" s="104">
        <f>F28/'Restructuration cap'!G11</f>
        <v>4.2735042735042739E-3</v>
      </c>
      <c r="G29" s="104">
        <f>G28/'Restructuration cap'!H11</f>
        <v>4.2222597534200305E-4</v>
      </c>
      <c r="H29" s="104">
        <f>H28/'Restructuration cap'!I11</f>
        <v>5.4282105715744494E-3</v>
      </c>
      <c r="I29" s="104">
        <f>I28/'Restructuration cap'!J11</f>
        <v>8.5815244825845536E-4</v>
      </c>
      <c r="J29" s="104">
        <f>J28/'Restructuration cap'!K11</f>
        <v>2.4843533514882234E-3</v>
      </c>
      <c r="K29" s="104">
        <f>K28/'Restructuration cap'!L11</f>
        <v>5.8493667214541238E-3</v>
      </c>
      <c r="L29" s="104">
        <f>L28/'Restructuration cap'!M11</f>
        <v>0</v>
      </c>
      <c r="M29" s="104">
        <f>M28/'Restructuration cap'!N11</f>
        <v>0</v>
      </c>
      <c r="N29" s="104">
        <f>N28/'Restructuration cap'!O11</f>
        <v>0</v>
      </c>
      <c r="O29" s="104">
        <f>O28/'Restructuration cap'!P11</f>
        <v>3.1791785002755289E-3</v>
      </c>
      <c r="P29" s="104">
        <f>P28/'Restructuration cap'!Q11</f>
        <v>0</v>
      </c>
      <c r="Q29" s="104">
        <f>Q28/'Restructuration cap'!R11</f>
        <v>0</v>
      </c>
      <c r="R29" s="104">
        <f>R28/'Restructuration cap'!S11</f>
        <v>2.3583974738504047E-2</v>
      </c>
      <c r="S29" s="104">
        <f>S28/'Restructuration cap'!T11</f>
        <v>0</v>
      </c>
      <c r="T29" s="104">
        <f>T28/'Restructuration cap'!U11</f>
        <v>1.5012009607686149E-2</v>
      </c>
      <c r="U29" s="104">
        <f>U28/'Restructuration cap'!V11</f>
        <v>1.6740448644023659E-2</v>
      </c>
      <c r="V29" s="282">
        <f>$AE$11</f>
        <v>8.8862855755389939E-3</v>
      </c>
      <c r="W29" s="263">
        <f t="shared" ref="W29:Z29" si="13">$AE$11</f>
        <v>8.8862855755389939E-3</v>
      </c>
      <c r="X29" s="263">
        <f t="shared" si="13"/>
        <v>8.8862855755389939E-3</v>
      </c>
      <c r="Y29" s="263">
        <f t="shared" si="13"/>
        <v>8.8862855755389939E-3</v>
      </c>
      <c r="Z29" s="283">
        <f t="shared" si="13"/>
        <v>8.8862855755389939E-3</v>
      </c>
    </row>
    <row r="30" spans="1:30">
      <c r="A30" s="1093" t="s">
        <v>160</v>
      </c>
      <c r="B30" s="967"/>
      <c r="C30" s="268">
        <f>0</f>
        <v>0</v>
      </c>
      <c r="D30" s="268">
        <f>0</f>
        <v>0</v>
      </c>
      <c r="E30" s="268">
        <f>0</f>
        <v>0</v>
      </c>
      <c r="F30" s="268">
        <f>0</f>
        <v>0</v>
      </c>
      <c r="G30" s="268">
        <f>0</f>
        <v>0</v>
      </c>
      <c r="H30" s="268">
        <f>0</f>
        <v>0</v>
      </c>
      <c r="I30" s="268">
        <f>0</f>
        <v>0</v>
      </c>
      <c r="J30" s="268">
        <f>0</f>
        <v>0</v>
      </c>
      <c r="K30" s="268">
        <f>0</f>
        <v>0</v>
      </c>
      <c r="L30" s="268">
        <f>0</f>
        <v>0</v>
      </c>
      <c r="M30" s="268">
        <f>0</f>
        <v>0</v>
      </c>
      <c r="N30" s="268">
        <f>0</f>
        <v>0</v>
      </c>
      <c r="O30" s="268">
        <f>0</f>
        <v>0</v>
      </c>
      <c r="P30" s="268">
        <f>0</f>
        <v>0</v>
      </c>
      <c r="Q30" s="268">
        <f>0</f>
        <v>0</v>
      </c>
      <c r="R30" s="268">
        <f>0</f>
        <v>0</v>
      </c>
      <c r="S30" s="268">
        <f>0</f>
        <v>0</v>
      </c>
      <c r="T30" s="268">
        <f>0</f>
        <v>0</v>
      </c>
      <c r="U30" s="268">
        <f>0</f>
        <v>0</v>
      </c>
      <c r="V30" s="284">
        <f>AVERAGE(C30:U30)</f>
        <v>0</v>
      </c>
      <c r="W30" s="268">
        <f t="shared" ref="W30:Z30" si="14">AVERAGE(D30:V30)</f>
        <v>0</v>
      </c>
      <c r="X30" s="268">
        <f t="shared" si="14"/>
        <v>0</v>
      </c>
      <c r="Y30" s="268">
        <f t="shared" si="14"/>
        <v>0</v>
      </c>
      <c r="Z30" s="269">
        <f t="shared" si="14"/>
        <v>0</v>
      </c>
    </row>
    <row r="31" spans="1:30">
      <c r="A31" s="965" t="s">
        <v>161</v>
      </c>
      <c r="B31" s="967"/>
      <c r="C31" s="4">
        <v>519</v>
      </c>
      <c r="D31" s="4">
        <v>63</v>
      </c>
      <c r="E31" s="4">
        <v>107</v>
      </c>
      <c r="F31" s="268">
        <f>0</f>
        <v>0</v>
      </c>
      <c r="G31" s="4">
        <v>28</v>
      </c>
      <c r="H31" s="4">
        <v>71</v>
      </c>
      <c r="I31" s="4">
        <v>243</v>
      </c>
      <c r="J31" s="4">
        <v>41</v>
      </c>
      <c r="K31" s="4">
        <v>277</v>
      </c>
      <c r="L31" s="268">
        <f>0</f>
        <v>0</v>
      </c>
      <c r="M31" s="268">
        <f>0</f>
        <v>0</v>
      </c>
      <c r="N31" s="268">
        <f>0</f>
        <v>0</v>
      </c>
      <c r="O31" s="268">
        <f>0</f>
        <v>0</v>
      </c>
      <c r="P31" s="268">
        <f>0</f>
        <v>0</v>
      </c>
      <c r="Q31" s="268">
        <f>0</f>
        <v>0</v>
      </c>
      <c r="R31" s="268">
        <f>0</f>
        <v>0</v>
      </c>
      <c r="S31" s="268">
        <f>0</f>
        <v>0</v>
      </c>
      <c r="T31" s="268">
        <f>0</f>
        <v>0</v>
      </c>
      <c r="U31" s="268">
        <f>0</f>
        <v>0</v>
      </c>
      <c r="V31" s="256">
        <f>'Restructuration cap'!W11*$AE$12</f>
        <v>128.46749260634064</v>
      </c>
      <c r="W31" s="250">
        <f>'Restructuration cap'!X11*$AE$12</f>
        <v>131.62694897030784</v>
      </c>
      <c r="X31" s="250">
        <f>'Restructuration cap'!Y11*$AE$12</f>
        <v>134.82689549454011</v>
      </c>
      <c r="Y31" s="250">
        <f>'Restructuration cap'!Z11*$AE$12</f>
        <v>138.40438228165519</v>
      </c>
      <c r="Z31" s="277">
        <f>'Restructuration cap'!AA11*$AE$12</f>
        <v>141.98373822060475</v>
      </c>
      <c r="AA31" s="372"/>
      <c r="AB31" s="372"/>
      <c r="AC31" s="372"/>
      <c r="AD31" s="372"/>
    </row>
    <row r="32" spans="1:30" s="186" customFormat="1" ht="17" thickBot="1">
      <c r="A32" s="1085" t="s">
        <v>205</v>
      </c>
      <c r="B32" s="1086"/>
      <c r="C32" s="104">
        <f>C31/'Restructuration cap'!D11</f>
        <v>2.1148282466077178E-2</v>
      </c>
      <c r="D32" s="104">
        <f>D31/'Restructuration cap'!E11</f>
        <v>2.6260942059191331E-3</v>
      </c>
      <c r="E32" s="104">
        <f>E31/'Restructuration cap'!F11</f>
        <v>4.0258860711866956E-3</v>
      </c>
      <c r="F32" s="104">
        <f>F31/'Restructuration cap'!G11</f>
        <v>0</v>
      </c>
      <c r="G32" s="104">
        <f>G31/'Restructuration cap'!H11</f>
        <v>7.8815515397173902E-4</v>
      </c>
      <c r="H32" s="104">
        <f>H31/'Restructuration cap'!I11</f>
        <v>1.9079353989197325E-3</v>
      </c>
      <c r="I32" s="104">
        <f>I31/'Restructuration cap'!J11</f>
        <v>6.1332660272589599E-3</v>
      </c>
      <c r="J32" s="104">
        <f>J31/'Restructuration cap'!K11</f>
        <v>9.7940853279824191E-4</v>
      </c>
      <c r="K32" s="104">
        <f>K31/'Restructuration cap'!L11</f>
        <v>6.695349511747075E-3</v>
      </c>
      <c r="L32" s="104">
        <f>L31/'Restructuration cap'!M11</f>
        <v>0</v>
      </c>
      <c r="M32" s="104">
        <f>M31/'Restructuration cap'!N11</f>
        <v>0</v>
      </c>
      <c r="N32" s="104">
        <f>N31/'Restructuration cap'!O11</f>
        <v>0</v>
      </c>
      <c r="O32" s="104">
        <f>O31/'Restructuration cap'!P11</f>
        <v>0</v>
      </c>
      <c r="P32" s="104">
        <f>P31/'Restructuration cap'!Q11</f>
        <v>0</v>
      </c>
      <c r="Q32" s="104">
        <f>Q31/'Restructuration cap'!R11</f>
        <v>0</v>
      </c>
      <c r="R32" s="104">
        <f>R31/'Restructuration cap'!S11</f>
        <v>0</v>
      </c>
      <c r="S32" s="104">
        <f>S31/'Restructuration cap'!T11</f>
        <v>0</v>
      </c>
      <c r="T32" s="104">
        <f>T31/'Restructuration cap'!U11</f>
        <v>0</v>
      </c>
      <c r="U32" s="104">
        <f>U31/'Restructuration cap'!V11</f>
        <v>0</v>
      </c>
      <c r="V32" s="128">
        <f>V31/'Restructuration cap'!W11</f>
        <v>2.3318093351515135E-3</v>
      </c>
      <c r="W32" s="104">
        <f>W31/'Restructuration cap'!X11</f>
        <v>2.3318093351515131E-3</v>
      </c>
      <c r="X32" s="104">
        <f>X31/'Restructuration cap'!Y11</f>
        <v>2.3318093351515135E-3</v>
      </c>
      <c r="Y32" s="104">
        <f>Y31/'Restructuration cap'!Z11</f>
        <v>2.3318093351515131E-3</v>
      </c>
      <c r="Z32" s="129">
        <f>Z31/'Restructuration cap'!AA11</f>
        <v>2.3318093351515135E-3</v>
      </c>
    </row>
    <row r="33" spans="1:30" ht="17" thickBot="1">
      <c r="A33" s="1087" t="s">
        <v>162</v>
      </c>
      <c r="B33" s="1088"/>
      <c r="C33" s="4">
        <v>2120</v>
      </c>
      <c r="D33" s="4">
        <v>2016</v>
      </c>
      <c r="E33" s="4">
        <v>1433</v>
      </c>
      <c r="F33" s="4">
        <v>1649</v>
      </c>
      <c r="G33" s="4">
        <v>1423</v>
      </c>
      <c r="H33" s="4">
        <v>1351</v>
      </c>
      <c r="I33" s="4">
        <v>1615</v>
      </c>
      <c r="J33" s="4">
        <v>1892</v>
      </c>
      <c r="K33" s="4">
        <v>1659</v>
      </c>
      <c r="L33" s="4">
        <v>1847</v>
      </c>
      <c r="M33" s="4">
        <v>1886</v>
      </c>
      <c r="N33" s="4">
        <v>1680</v>
      </c>
      <c r="O33" s="4">
        <v>1815</v>
      </c>
      <c r="P33" s="4">
        <v>1565</v>
      </c>
      <c r="Q33" s="4">
        <v>1951</v>
      </c>
      <c r="R33" s="4">
        <v>2807</v>
      </c>
      <c r="S33" s="4">
        <v>2349</v>
      </c>
      <c r="T33" s="4">
        <v>1883</v>
      </c>
      <c r="U33" s="4">
        <v>1883</v>
      </c>
      <c r="V33" s="300">
        <f>_xlfn.FORECAST.ETS(V2,$C$33:U33,$C$2:U2)</f>
        <v>2042.2339797458812</v>
      </c>
      <c r="W33" s="301">
        <f>_xlfn.FORECAST.ETS(W2,$C$33:V33,$C$2:V2)</f>
        <v>2064.8168464423693</v>
      </c>
      <c r="X33" s="301">
        <f>_xlfn.FORECAST.ETS(X2,$C$33:W33,$C$2:W2)</f>
        <v>2086.7302799510976</v>
      </c>
      <c r="Y33" s="301">
        <f>_xlfn.FORECAST.ETS(Y2,$C$33:X33,$C$2:X2)</f>
        <v>2397.4863537503452</v>
      </c>
      <c r="Z33" s="368">
        <f>_xlfn.FORECAST.ETS(Z2,$C$33:Y33,$C$2:Y2)</f>
        <v>2230.0171309871516</v>
      </c>
      <c r="AA33" s="1083" t="s">
        <v>295</v>
      </c>
      <c r="AB33" s="1083"/>
      <c r="AC33" s="1083"/>
      <c r="AD33" s="1084"/>
    </row>
    <row r="34" spans="1:30">
      <c r="A34" s="1089" t="s">
        <v>163</v>
      </c>
      <c r="B34" s="1090"/>
      <c r="C34" s="112">
        <f>C23+C24+C25+C28+C27+C30+C31+C33</f>
        <v>10302</v>
      </c>
      <c r="D34" s="112">
        <f>D23+D24+D25+D28+D27+D30+D31+D33</f>
        <v>9689</v>
      </c>
      <c r="E34" s="112">
        <f>E23+E24+E25+E28+E27+E30+E31+E33</f>
        <v>9821</v>
      </c>
      <c r="F34" s="112">
        <f t="shared" ref="F34:Z34" si="15">F23+F24+F25+F28+F27+F30+F31+F33</f>
        <v>8893</v>
      </c>
      <c r="G34" s="112">
        <f t="shared" si="15"/>
        <v>8566</v>
      </c>
      <c r="H34" s="112">
        <f t="shared" si="15"/>
        <v>9428</v>
      </c>
      <c r="I34" s="112">
        <f t="shared" si="15"/>
        <v>9553</v>
      </c>
      <c r="J34" s="112">
        <f t="shared" si="15"/>
        <v>10037</v>
      </c>
      <c r="K34" s="112">
        <f t="shared" si="15"/>
        <v>10542</v>
      </c>
      <c r="L34" s="112">
        <f t="shared" si="15"/>
        <v>10703</v>
      </c>
      <c r="M34" s="112">
        <f t="shared" si="15"/>
        <v>11401</v>
      </c>
      <c r="N34" s="112">
        <f t="shared" si="15"/>
        <v>12130</v>
      </c>
      <c r="O34" s="112">
        <f t="shared" si="15"/>
        <v>12155</v>
      </c>
      <c r="P34" s="112">
        <f t="shared" si="15"/>
        <v>11120</v>
      </c>
      <c r="Q34" s="112">
        <f t="shared" si="15"/>
        <v>11112</v>
      </c>
      <c r="R34" s="112">
        <f t="shared" si="15"/>
        <v>13918</v>
      </c>
      <c r="S34" s="112">
        <f t="shared" si="15"/>
        <v>12542</v>
      </c>
      <c r="T34" s="112">
        <f t="shared" si="15"/>
        <v>12913</v>
      </c>
      <c r="U34" s="254">
        <f t="shared" si="15"/>
        <v>14398</v>
      </c>
      <c r="V34" s="474">
        <f t="shared" si="15"/>
        <v>14162.292878385304</v>
      </c>
      <c r="W34" s="475">
        <f t="shared" si="15"/>
        <v>14565.21695324487</v>
      </c>
      <c r="X34" s="475">
        <f t="shared" si="15"/>
        <v>14906.86612109837</v>
      </c>
      <c r="Y34" s="475">
        <f t="shared" si="15"/>
        <v>15506.831178048447</v>
      </c>
      <c r="Z34" s="476">
        <f t="shared" si="15"/>
        <v>15678.521790749352</v>
      </c>
    </row>
    <row r="35" spans="1:30">
      <c r="A35" s="1102"/>
      <c r="B35" s="1103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91"/>
      <c r="N35" s="191"/>
      <c r="O35" s="191"/>
      <c r="P35" s="191"/>
      <c r="Q35" s="191"/>
      <c r="R35" s="191"/>
      <c r="S35" s="191"/>
      <c r="T35" s="191"/>
      <c r="U35" s="189"/>
      <c r="V35" s="452"/>
      <c r="W35" s="451"/>
      <c r="X35" s="451"/>
      <c r="Y35" s="451"/>
      <c r="Z35" s="453"/>
    </row>
    <row r="36" spans="1:30">
      <c r="A36" s="983" t="s">
        <v>168</v>
      </c>
      <c r="B36" s="1098"/>
      <c r="C36" s="270">
        <f>C20-C34</f>
        <v>3037</v>
      </c>
      <c r="D36" s="270">
        <f t="shared" ref="D36:Z36" si="16">D20-D34</f>
        <v>1089</v>
      </c>
      <c r="E36" s="270">
        <f t="shared" si="16"/>
        <v>805</v>
      </c>
      <c r="F36" s="270">
        <f t="shared" si="16"/>
        <v>508</v>
      </c>
      <c r="G36" s="270">
        <f t="shared" si="16"/>
        <v>387</v>
      </c>
      <c r="H36" s="270">
        <f t="shared" si="16"/>
        <v>1101</v>
      </c>
      <c r="I36" s="270">
        <f t="shared" si="16"/>
        <v>611</v>
      </c>
      <c r="J36" s="270">
        <f t="shared" si="16"/>
        <v>903</v>
      </c>
      <c r="K36" s="270">
        <f t="shared" si="16"/>
        <v>141</v>
      </c>
      <c r="L36" s="270">
        <f t="shared" si="16"/>
        <v>1774</v>
      </c>
      <c r="M36" s="270">
        <f t="shared" si="16"/>
        <v>1492</v>
      </c>
      <c r="N36" s="270">
        <f t="shared" si="16"/>
        <v>1964</v>
      </c>
      <c r="O36" s="270">
        <f t="shared" si="16"/>
        <v>1700</v>
      </c>
      <c r="P36" s="270">
        <f t="shared" si="16"/>
        <v>2209</v>
      </c>
      <c r="Q36" s="270">
        <f t="shared" si="16"/>
        <v>1210</v>
      </c>
      <c r="R36" s="270">
        <f t="shared" si="16"/>
        <v>655</v>
      </c>
      <c r="S36" s="270">
        <f t="shared" si="16"/>
        <v>2566</v>
      </c>
      <c r="T36" s="270">
        <f t="shared" si="16"/>
        <v>4592</v>
      </c>
      <c r="U36" s="271">
        <f t="shared" si="16"/>
        <v>1705</v>
      </c>
      <c r="V36" s="285">
        <f t="shared" si="16"/>
        <v>5546.5841357536756</v>
      </c>
      <c r="W36" s="270">
        <f t="shared" si="16"/>
        <v>6094.6259683355838</v>
      </c>
      <c r="X36" s="270">
        <f t="shared" si="16"/>
        <v>6841.5479100759403</v>
      </c>
      <c r="Y36" s="270">
        <f t="shared" si="16"/>
        <v>7313.8479697054681</v>
      </c>
      <c r="Z36" s="271">
        <f t="shared" si="16"/>
        <v>8387.9282439588478</v>
      </c>
    </row>
    <row r="37" spans="1:30">
      <c r="A37" s="1104" t="s">
        <v>140</v>
      </c>
      <c r="B37" s="1105"/>
      <c r="C37" s="272">
        <f xml:space="preserve"> C36/'Restructuration cap'!D6</f>
        <v>0.12375208834195836</v>
      </c>
      <c r="D37" s="272">
        <f xml:space="preserve"> D36/'Restructuration cap'!E6</f>
        <v>4.539391413088787E-2</v>
      </c>
      <c r="E37" s="272">
        <f xml:space="preserve"> E36/'Restructuration cap'!F6</f>
        <v>3.0288208292572803E-2</v>
      </c>
      <c r="F37" s="272">
        <f xml:space="preserve"> F36/'Restructuration cap'!G6</f>
        <v>1.5962795374560079E-2</v>
      </c>
      <c r="G37" s="272">
        <f xml:space="preserve"> G36/'Restructuration cap'!H6</f>
        <v>1.0893430163823678E-2</v>
      </c>
      <c r="H37" s="272">
        <f xml:space="preserve"> H36/'Restructuration cap'!I6</f>
        <v>2.9586434848036976E-2</v>
      </c>
      <c r="I37" s="272">
        <f xml:space="preserve"> I36/'Restructuration cap'!J6</f>
        <v>1.5421504290762241E-2</v>
      </c>
      <c r="J37" s="272">
        <f xml:space="preserve"> J36/'Restructuration cap'!K6</f>
        <v>2.1570875734556398E-2</v>
      </c>
      <c r="K37" s="272">
        <f xml:space="preserve"> K36/'Restructuration cap'!L6</f>
        <v>3.4081020980373201E-3</v>
      </c>
      <c r="L37" s="272">
        <f xml:space="preserve"> L36/'Restructuration cap'!M6</f>
        <v>4.0440422185241756E-2</v>
      </c>
      <c r="M37" s="272">
        <f xml:space="preserve"> M36/'Restructuration cap'!N6</f>
        <v>3.266843292242342E-2</v>
      </c>
      <c r="N37" s="272">
        <f xml:space="preserve"> N36/'Restructuration cap'!O6</f>
        <v>4.2237467472418765E-2</v>
      </c>
      <c r="O37" s="272">
        <f xml:space="preserve"> O36/'Restructuration cap'!P6</f>
        <v>3.6030689669789326E-2</v>
      </c>
      <c r="P37" s="272">
        <f xml:space="preserve"> P36/'Restructuration cap'!Q6</f>
        <v>4.8701441862515987E-2</v>
      </c>
      <c r="Q37" s="272">
        <f xml:space="preserve"> Q36/'Restructuration cap'!R6</f>
        <v>3.0290892705151954E-2</v>
      </c>
      <c r="R37" s="272">
        <f xml:space="preserve"> R36/'Restructuration cap'!S6</f>
        <v>1.6158476416025261E-2</v>
      </c>
      <c r="S37" s="272">
        <f xml:space="preserve"> S36/'Restructuration cap'!T6</f>
        <v>5.4260943116938042E-2</v>
      </c>
      <c r="T37" s="272">
        <f xml:space="preserve"> T36/'Restructuration cap'!U6</f>
        <v>9.1913530824659723E-2</v>
      </c>
      <c r="U37" s="273">
        <f xml:space="preserve"> U36/'Restructuration cap'!V6</f>
        <v>3.1713849931178158E-2</v>
      </c>
      <c r="V37" s="286">
        <f xml:space="preserve"> V36/'Restructuration cap'!W6</f>
        <v>0.10067587063122427</v>
      </c>
      <c r="W37" s="272">
        <f xml:space="preserve"> W36/'Restructuration cap'!X6</f>
        <v>0.10796805546581158</v>
      </c>
      <c r="X37" s="272">
        <f xml:space="preserve"> X36/'Restructuration cap'!Y6</f>
        <v>0.11832346376504262</v>
      </c>
      <c r="Y37" s="272">
        <f xml:space="preserve"> Y36/'Restructuration cap'!Z6</f>
        <v>0.12322224694397298</v>
      </c>
      <c r="Z37" s="273">
        <f xml:space="preserve"> Z36/'Restructuration cap'!AA6</f>
        <v>0.13775556008713302</v>
      </c>
    </row>
    <row r="38" spans="1:30" ht="17" thickBot="1">
      <c r="A38" s="1097"/>
      <c r="B38" s="977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89"/>
      <c r="V38" s="454"/>
      <c r="W38" s="462"/>
      <c r="X38" s="462"/>
      <c r="Y38" s="462"/>
      <c r="Z38" s="455"/>
    </row>
    <row r="39" spans="1:30">
      <c r="A39" s="983" t="s">
        <v>211</v>
      </c>
      <c r="B39" s="1098"/>
      <c r="C39" s="114">
        <f>D36-C36</f>
        <v>-1948</v>
      </c>
      <c r="D39" s="114">
        <f t="shared" ref="D39:U39" si="17">E36-D36</f>
        <v>-284</v>
      </c>
      <c r="E39" s="114">
        <f t="shared" si="17"/>
        <v>-297</v>
      </c>
      <c r="F39" s="114">
        <f t="shared" si="17"/>
        <v>-121</v>
      </c>
      <c r="G39" s="114">
        <f t="shared" si="17"/>
        <v>714</v>
      </c>
      <c r="H39" s="114">
        <f t="shared" si="17"/>
        <v>-490</v>
      </c>
      <c r="I39" s="114">
        <f t="shared" si="17"/>
        <v>292</v>
      </c>
      <c r="J39" s="114">
        <f t="shared" si="17"/>
        <v>-762</v>
      </c>
      <c r="K39" s="114">
        <f t="shared" si="17"/>
        <v>1633</v>
      </c>
      <c r="L39" s="114">
        <f t="shared" si="17"/>
        <v>-282</v>
      </c>
      <c r="M39" s="114">
        <f t="shared" si="17"/>
        <v>472</v>
      </c>
      <c r="N39" s="114">
        <f t="shared" si="17"/>
        <v>-264</v>
      </c>
      <c r="O39" s="114">
        <f t="shared" si="17"/>
        <v>509</v>
      </c>
      <c r="P39" s="114">
        <f t="shared" si="17"/>
        <v>-999</v>
      </c>
      <c r="Q39" s="114">
        <f t="shared" si="17"/>
        <v>-555</v>
      </c>
      <c r="R39" s="114">
        <f t="shared" si="17"/>
        <v>1911</v>
      </c>
      <c r="S39" s="114">
        <f t="shared" si="17"/>
        <v>2026</v>
      </c>
      <c r="T39" s="114">
        <f t="shared" si="17"/>
        <v>-2887</v>
      </c>
      <c r="U39" s="274">
        <f t="shared" si="17"/>
        <v>3841.5841357536756</v>
      </c>
      <c r="V39" s="285">
        <f t="shared" ref="V39" si="18">W36-V36</f>
        <v>548.04183258190824</v>
      </c>
      <c r="W39" s="270">
        <f t="shared" ref="W39" si="19">X36-W36</f>
        <v>746.92194174035649</v>
      </c>
      <c r="X39" s="270">
        <f t="shared" ref="X39" si="20">Y36-X36</f>
        <v>472.30005962952782</v>
      </c>
      <c r="Y39" s="270">
        <f t="shared" ref="Y39" si="21">Z36-Y36</f>
        <v>1074.0802742533797</v>
      </c>
      <c r="Z39" s="473">
        <f>AVERAGE(V39:Y39)</f>
        <v>710.33602705129306</v>
      </c>
    </row>
    <row r="40" spans="1:30" ht="17" thickBot="1">
      <c r="A40" s="1100" t="s">
        <v>140</v>
      </c>
      <c r="B40" s="1101"/>
      <c r="C40" s="117">
        <f>C39/'Restructuration cap'!D11</f>
        <v>-7.93773684853918E-2</v>
      </c>
      <c r="D40" s="117">
        <f>D39/'Restructuration cap'!E11</f>
        <v>-1.1838265944143393E-2</v>
      </c>
      <c r="E40" s="117">
        <f>E39/'Restructuration cap'!F11</f>
        <v>-1.1174655730303259E-2</v>
      </c>
      <c r="F40" s="117">
        <f>F39/'Restructuration cap'!G11</f>
        <v>-3.8021618903971845E-3</v>
      </c>
      <c r="G40" s="117">
        <f>G39/'Restructuration cap'!H11</f>
        <v>2.0097956426279345E-2</v>
      </c>
      <c r="H40" s="117">
        <f>H39/'Restructuration cap'!I11</f>
        <v>-1.3167441485502378E-2</v>
      </c>
      <c r="I40" s="117">
        <f>I39/'Restructuration cap'!J11</f>
        <v>7.3700151438667342E-3</v>
      </c>
      <c r="J40" s="117">
        <f>J39/'Restructuration cap'!K11</f>
        <v>-1.820266590225025E-2</v>
      </c>
      <c r="K40" s="117">
        <f>K39/'Restructuration cap'!L11</f>
        <v>3.9471139901382575E-2</v>
      </c>
      <c r="L40" s="117">
        <f>L39/'Restructuration cap'!M11</f>
        <v>-6.4285225796156566E-3</v>
      </c>
      <c r="M40" s="117">
        <f>M39/'Restructuration cap'!N11</f>
        <v>1.0334785750257276E-2</v>
      </c>
      <c r="N40" s="117">
        <f>N39/'Restructuration cap'!O11</f>
        <v>-5.6775414525043547E-3</v>
      </c>
      <c r="O40" s="117">
        <f>O39/'Restructuration cap'!P11</f>
        <v>1.0788012377601628E-2</v>
      </c>
      <c r="P40" s="117">
        <f>P39/'Restructuration cap'!Q11</f>
        <v>-2.2024780634066758E-2</v>
      </c>
      <c r="Q40" s="117">
        <f>Q39/'Restructuration cap'!R11</f>
        <v>-1.3893756571371351E-2</v>
      </c>
      <c r="R40" s="117">
        <f>R39/'Restructuration cap'!S11</f>
        <v>4.7143280047365302E-2</v>
      </c>
      <c r="S40" s="117">
        <f>S39/'Restructuration cap'!T11</f>
        <v>4.2842038485937831E-2</v>
      </c>
      <c r="T40" s="117">
        <f>T39/'Restructuration cap'!U11</f>
        <v>-5.7786228983186548E-2</v>
      </c>
      <c r="U40" s="118">
        <f>U39/'Restructuration cap'!V11</f>
        <v>7.1455379929200466E-2</v>
      </c>
      <c r="V40" s="287">
        <f>V39/'Restructuration cap'!W11</f>
        <v>9.9474897138683866E-3</v>
      </c>
      <c r="W40" s="117">
        <f>W39/'Restructuration cap'!X11</f>
        <v>1.323193745661113E-2</v>
      </c>
      <c r="X40" s="117">
        <f>X39/'Restructuration cap'!Y11</f>
        <v>8.168353087098618E-3</v>
      </c>
      <c r="Y40" s="117">
        <f>Y39/'Restructuration cap'!Z11</f>
        <v>1.8095889515328548E-2</v>
      </c>
      <c r="Z40" s="118">
        <f>Z39/'Restructuration cap'!AA11</f>
        <v>1.1665900614611866E-2</v>
      </c>
    </row>
    <row r="42" spans="1:30">
      <c r="T42" s="61"/>
      <c r="U42" s="61"/>
    </row>
    <row r="43" spans="1:30"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</row>
  </sheetData>
  <mergeCells count="55">
    <mergeCell ref="A2:B2"/>
    <mergeCell ref="A4:B4"/>
    <mergeCell ref="A5:B5"/>
    <mergeCell ref="A6:B6"/>
    <mergeCell ref="A7:B7"/>
    <mergeCell ref="A38:B38"/>
    <mergeCell ref="A39:B39"/>
    <mergeCell ref="A22:B22"/>
    <mergeCell ref="A40:B40"/>
    <mergeCell ref="A31:B31"/>
    <mergeCell ref="A33:B33"/>
    <mergeCell ref="A34:B34"/>
    <mergeCell ref="A35:B35"/>
    <mergeCell ref="A36:B36"/>
    <mergeCell ref="A37:B37"/>
    <mergeCell ref="A23:B23"/>
    <mergeCell ref="A24:B24"/>
    <mergeCell ref="A25:B25"/>
    <mergeCell ref="A27:B27"/>
    <mergeCell ref="A28:B28"/>
    <mergeCell ref="AA5:AD5"/>
    <mergeCell ref="AA16:AD16"/>
    <mergeCell ref="A10:B10"/>
    <mergeCell ref="AB7:AD7"/>
    <mergeCell ref="A13:B13"/>
    <mergeCell ref="A14:B14"/>
    <mergeCell ref="A15:B15"/>
    <mergeCell ref="A16:B16"/>
    <mergeCell ref="A8:B8"/>
    <mergeCell ref="AE7:AF7"/>
    <mergeCell ref="A12:B12"/>
    <mergeCell ref="AB8:AD8"/>
    <mergeCell ref="AE8:AF8"/>
    <mergeCell ref="AB9:AD9"/>
    <mergeCell ref="AE9:AF9"/>
    <mergeCell ref="A11:B11"/>
    <mergeCell ref="A9:B9"/>
    <mergeCell ref="AB10:AD10"/>
    <mergeCell ref="AE10:AF10"/>
    <mergeCell ref="AB11:AD11"/>
    <mergeCell ref="AE11:AF11"/>
    <mergeCell ref="AA33:AD33"/>
    <mergeCell ref="A29:B29"/>
    <mergeCell ref="A32:B32"/>
    <mergeCell ref="AB12:AD12"/>
    <mergeCell ref="AE12:AF12"/>
    <mergeCell ref="A26:B26"/>
    <mergeCell ref="AA24:AD24"/>
    <mergeCell ref="A19:B19"/>
    <mergeCell ref="A20:B20"/>
    <mergeCell ref="A21:B21"/>
    <mergeCell ref="A17:B17"/>
    <mergeCell ref="A18:B18"/>
    <mergeCell ref="A30:B30"/>
    <mergeCell ref="AA23:AD23"/>
  </mergeCells>
  <pageMargins left="0.7" right="0.7" top="0.75" bottom="0.75" header="0.3" footer="0.3"/>
  <ignoredErrors>
    <ignoredError sqref="L29:N29 P29:S2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6E07-E6C6-924B-868E-F9DFD80D12A0}">
  <dimension ref="A1:AG2138"/>
  <sheetViews>
    <sheetView tabSelected="1" zoomScale="82" workbookViewId="0">
      <selection activeCell="T31" sqref="T31:U32"/>
    </sheetView>
  </sheetViews>
  <sheetFormatPr baseColWidth="10" defaultRowHeight="16"/>
  <cols>
    <col min="1" max="1" width="10.6640625" style="426" bestFit="1" customWidth="1"/>
    <col min="2" max="2" width="56.6640625" style="425" customWidth="1"/>
    <col min="3" max="3" width="10.83203125" style="736"/>
    <col min="4" max="6" width="10.83203125" style="738"/>
    <col min="7" max="7" width="10.83203125" style="738" customWidth="1"/>
    <col min="8" max="18" width="10.83203125" style="738"/>
    <col min="19" max="19" width="37.33203125" style="738" customWidth="1"/>
    <col min="20" max="32" width="10.83203125" style="738"/>
    <col min="33" max="33" width="10.83203125" style="737"/>
  </cols>
  <sheetData>
    <row r="1" spans="1:33" ht="16" customHeight="1">
      <c r="A1" s="422" t="s">
        <v>215</v>
      </c>
      <c r="B1" s="422" t="s">
        <v>287</v>
      </c>
      <c r="C1" s="1128" t="s">
        <v>286</v>
      </c>
      <c r="D1" s="1129"/>
      <c r="E1" s="1129"/>
      <c r="F1" s="1129"/>
      <c r="G1" s="1129"/>
      <c r="H1" s="1129"/>
      <c r="I1" s="1129"/>
      <c r="J1" s="1129"/>
      <c r="K1" s="1129"/>
      <c r="L1" s="1129"/>
      <c r="M1" s="1129"/>
      <c r="N1" s="1129"/>
      <c r="O1" s="1129"/>
      <c r="P1" s="1129"/>
      <c r="Q1" s="1129"/>
      <c r="R1" s="1129"/>
      <c r="S1" s="1129"/>
      <c r="T1" s="1129"/>
      <c r="U1" s="1129"/>
      <c r="V1" s="1129"/>
      <c r="W1" s="1129"/>
      <c r="X1" s="1129"/>
      <c r="Y1" s="1129"/>
      <c r="Z1" s="1129"/>
      <c r="AA1" s="1129"/>
      <c r="AB1" s="1129"/>
      <c r="AC1" s="1129"/>
      <c r="AD1" s="1129"/>
      <c r="AE1" s="1129"/>
      <c r="AF1" s="1129"/>
      <c r="AG1" s="1130"/>
    </row>
    <row r="2" spans="1:33" ht="16" customHeight="1">
      <c r="A2" s="423">
        <v>38383</v>
      </c>
      <c r="B2" s="744">
        <v>2.48</v>
      </c>
      <c r="C2" s="1131"/>
      <c r="D2" s="1132"/>
      <c r="E2" s="1132"/>
      <c r="F2" s="1132"/>
      <c r="G2" s="1132"/>
      <c r="H2" s="1132"/>
      <c r="I2" s="1132"/>
      <c r="J2" s="1132"/>
      <c r="K2" s="1132"/>
      <c r="L2" s="1132"/>
      <c r="M2" s="1132"/>
      <c r="N2" s="1132"/>
      <c r="O2" s="1132"/>
      <c r="P2" s="1132"/>
      <c r="Q2" s="1132"/>
      <c r="R2" s="1132"/>
      <c r="S2" s="1132"/>
      <c r="T2" s="1132"/>
      <c r="U2" s="1132"/>
      <c r="V2" s="1132"/>
      <c r="W2" s="1132"/>
      <c r="X2" s="1132"/>
      <c r="Y2" s="1132"/>
      <c r="Z2" s="1132"/>
      <c r="AA2" s="1132"/>
      <c r="AB2" s="1132"/>
      <c r="AC2" s="1132"/>
      <c r="AD2" s="1132"/>
      <c r="AE2" s="1132"/>
      <c r="AF2" s="1132"/>
      <c r="AG2" s="1133"/>
    </row>
    <row r="3" spans="1:33" ht="17" thickBot="1">
      <c r="A3" s="423">
        <v>38411</v>
      </c>
      <c r="B3" s="744">
        <v>2.72</v>
      </c>
    </row>
    <row r="4" spans="1:33" ht="17" thickBot="1">
      <c r="A4" s="423">
        <v>38442</v>
      </c>
      <c r="B4" s="744">
        <v>2.73</v>
      </c>
      <c r="D4" s="1027" t="s">
        <v>180</v>
      </c>
      <c r="E4" s="1051"/>
      <c r="F4" s="1051"/>
      <c r="G4" s="1028"/>
      <c r="H4" s="544">
        <f>AVERAGE(E7:E17)%</f>
        <v>2.2983744942452266E-2</v>
      </c>
      <c r="J4" s="1027" t="s">
        <v>194</v>
      </c>
      <c r="K4" s="1051"/>
      <c r="L4" s="1051"/>
      <c r="M4" s="1028"/>
      <c r="N4" s="544">
        <f>AVERAGE(K7:K17)%</f>
        <v>2.1363891972254235E-2</v>
      </c>
      <c r="P4" s="1027" t="s">
        <v>195</v>
      </c>
      <c r="Q4" s="1051"/>
      <c r="R4" s="1051"/>
      <c r="S4" s="1028"/>
      <c r="T4" s="544">
        <f>AVERAGE(Q7:Q17)%</f>
        <v>2.0234549708435624E-2</v>
      </c>
      <c r="V4" s="1027" t="s">
        <v>196</v>
      </c>
      <c r="W4" s="1051"/>
      <c r="X4" s="1051"/>
      <c r="Y4" s="1028"/>
      <c r="Z4" s="544">
        <f>AVERAGE(W7:W17)%</f>
        <v>1.9501165066302461E-2</v>
      </c>
      <c r="AB4" s="1027" t="s">
        <v>355</v>
      </c>
      <c r="AC4" s="1051"/>
      <c r="AD4" s="1051"/>
      <c r="AE4" s="1051"/>
      <c r="AF4" s="544">
        <f>AVERAGE(AC7:AC17)%</f>
        <v>1.8934544130059495E-2</v>
      </c>
    </row>
    <row r="5" spans="1:33" ht="17" thickBot="1">
      <c r="A5" s="423">
        <v>38471</v>
      </c>
      <c r="B5" s="744">
        <v>2.84</v>
      </c>
    </row>
    <row r="6" spans="1:33" ht="17" customHeight="1" thickBot="1">
      <c r="A6" s="423">
        <v>38503</v>
      </c>
      <c r="B6" s="744">
        <v>2.93</v>
      </c>
      <c r="D6" s="1027" t="s">
        <v>182</v>
      </c>
      <c r="E6" s="1051"/>
      <c r="F6" s="1051"/>
      <c r="G6" s="1051"/>
      <c r="H6" s="1028"/>
      <c r="J6" s="1027" t="s">
        <v>182</v>
      </c>
      <c r="K6" s="1051"/>
      <c r="L6" s="1051"/>
      <c r="M6" s="1051"/>
      <c r="N6" s="1028"/>
      <c r="P6" s="1027" t="s">
        <v>182</v>
      </c>
      <c r="Q6" s="1051"/>
      <c r="R6" s="1051"/>
      <c r="S6" s="1051"/>
      <c r="T6" s="1028"/>
      <c r="V6" s="1027" t="s">
        <v>182</v>
      </c>
      <c r="W6" s="1051"/>
      <c r="X6" s="1051"/>
      <c r="Y6" s="1051"/>
      <c r="Z6" s="1028"/>
      <c r="AB6" s="1027" t="s">
        <v>182</v>
      </c>
      <c r="AC6" s="1051"/>
      <c r="AD6" s="1051"/>
      <c r="AE6" s="1051"/>
      <c r="AF6" s="1028"/>
    </row>
    <row r="7" spans="1:33" ht="16" customHeight="1">
      <c r="A7" s="423">
        <v>38533</v>
      </c>
      <c r="B7" s="744">
        <v>3.06</v>
      </c>
      <c r="D7" s="433">
        <v>43496</v>
      </c>
      <c r="E7" s="435">
        <f>B170</f>
        <v>2.3811806353480689</v>
      </c>
      <c r="F7" s="1113" t="s">
        <v>181</v>
      </c>
      <c r="G7" s="1114"/>
      <c r="H7" s="1123"/>
      <c r="J7" s="431">
        <v>43861</v>
      </c>
      <c r="K7" s="435">
        <f>B181</f>
        <v>2.1944884027382239</v>
      </c>
      <c r="L7" s="1113" t="s">
        <v>190</v>
      </c>
      <c r="M7" s="1114"/>
      <c r="N7" s="1123"/>
      <c r="P7" s="431">
        <v>44227</v>
      </c>
      <c r="Q7" s="435">
        <f>B192</f>
        <v>2.063073131424356</v>
      </c>
      <c r="R7" s="1113" t="s">
        <v>191</v>
      </c>
      <c r="S7" s="1114"/>
      <c r="T7" s="1123"/>
      <c r="V7" s="431">
        <v>44592</v>
      </c>
      <c r="W7" s="435">
        <f>B203</f>
        <v>1.9754650049255984</v>
      </c>
      <c r="X7" s="1113" t="s">
        <v>192</v>
      </c>
      <c r="Y7" s="1114"/>
      <c r="Z7" s="1123"/>
      <c r="AB7" s="431">
        <v>44957</v>
      </c>
      <c r="AC7" s="435">
        <f>B214</f>
        <v>1.9150702976713481</v>
      </c>
      <c r="AD7" s="1113" t="s">
        <v>193</v>
      </c>
      <c r="AE7" s="1114"/>
      <c r="AF7" s="1123"/>
    </row>
    <row r="8" spans="1:33">
      <c r="A8" s="423">
        <v>38562</v>
      </c>
      <c r="B8" s="744">
        <v>3.34</v>
      </c>
      <c r="D8" s="433">
        <v>43524</v>
      </c>
      <c r="E8" s="428">
        <f t="shared" ref="E8:E17" si="0">B171</f>
        <v>2.3646977169046508</v>
      </c>
      <c r="F8" s="1115"/>
      <c r="G8" s="1116"/>
      <c r="H8" s="1124"/>
      <c r="J8" s="431">
        <v>43889</v>
      </c>
      <c r="K8" s="428">
        <f t="shared" ref="K8:K17" si="1">B182</f>
        <v>2.1829736988822792</v>
      </c>
      <c r="L8" s="1115"/>
      <c r="M8" s="1116"/>
      <c r="N8" s="1124"/>
      <c r="P8" s="431">
        <v>44255</v>
      </c>
      <c r="Q8" s="428">
        <f t="shared" ref="Q8:Q17" si="2">B193</f>
        <v>2.054891506486519</v>
      </c>
      <c r="R8" s="1115"/>
      <c r="S8" s="1116"/>
      <c r="T8" s="1124"/>
      <c r="V8" s="431">
        <v>44620</v>
      </c>
      <c r="W8" s="428">
        <f t="shared" ref="W8:W17" si="3">B204</f>
        <v>1.9706687608930864</v>
      </c>
      <c r="X8" s="1115"/>
      <c r="Y8" s="1116"/>
      <c r="Z8" s="1124"/>
      <c r="AB8" s="431">
        <v>44985</v>
      </c>
      <c r="AC8" s="428">
        <f t="shared" ref="AC8:AC17" si="4">B215</f>
        <v>1.9108119721022765</v>
      </c>
      <c r="AD8" s="1115"/>
      <c r="AE8" s="1116"/>
      <c r="AF8" s="1124"/>
    </row>
    <row r="9" spans="1:33">
      <c r="A9" s="423">
        <v>38595</v>
      </c>
      <c r="B9" s="744">
        <v>3.44</v>
      </c>
      <c r="D9" s="433">
        <v>43553</v>
      </c>
      <c r="E9" s="428">
        <f t="shared" si="0"/>
        <v>2.3464287531283019</v>
      </c>
      <c r="F9" s="1115"/>
      <c r="G9" s="1116"/>
      <c r="H9" s="1124"/>
      <c r="J9" s="431">
        <v>43919</v>
      </c>
      <c r="K9" s="428">
        <f t="shared" si="1"/>
        <v>2.1701911769065561</v>
      </c>
      <c r="L9" s="1115"/>
      <c r="M9" s="1116"/>
      <c r="N9" s="1124"/>
      <c r="P9" s="431">
        <v>44284</v>
      </c>
      <c r="Q9" s="428">
        <f t="shared" si="2"/>
        <v>2.045797870074523</v>
      </c>
      <c r="R9" s="1115"/>
      <c r="S9" s="1116"/>
      <c r="T9" s="1124"/>
      <c r="V9" s="431">
        <v>44649</v>
      </c>
      <c r="W9" s="428">
        <f t="shared" si="3"/>
        <v>1.9650922801888588</v>
      </c>
      <c r="X9" s="1115"/>
      <c r="Y9" s="1116"/>
      <c r="Z9" s="1124"/>
      <c r="AB9" s="431">
        <v>45014</v>
      </c>
      <c r="AC9" s="428">
        <f t="shared" si="4"/>
        <v>1.9060739911430498</v>
      </c>
      <c r="AD9" s="1115"/>
      <c r="AE9" s="1116"/>
      <c r="AF9" s="1124"/>
    </row>
    <row r="10" spans="1:33">
      <c r="A10" s="423">
        <v>38625</v>
      </c>
      <c r="B10" s="744">
        <v>3.47</v>
      </c>
      <c r="D10" s="433">
        <v>43585</v>
      </c>
      <c r="E10" s="428">
        <f t="shared" si="0"/>
        <v>2.3286901470686754</v>
      </c>
      <c r="F10" s="1115"/>
      <c r="G10" s="1116"/>
      <c r="H10" s="1124"/>
      <c r="J10" s="431">
        <v>43951</v>
      </c>
      <c r="K10" s="428">
        <f t="shared" si="1"/>
        <v>2.157760555112616</v>
      </c>
      <c r="L10" s="1115"/>
      <c r="M10" s="1116"/>
      <c r="N10" s="1124"/>
      <c r="P10" s="431">
        <v>44316</v>
      </c>
      <c r="Q10" s="428">
        <f t="shared" si="2"/>
        <v>2.0369439457899547</v>
      </c>
      <c r="R10" s="1115"/>
      <c r="S10" s="1116"/>
      <c r="T10" s="1124"/>
      <c r="V10" s="431">
        <v>44681</v>
      </c>
      <c r="W10" s="428">
        <f t="shared" si="3"/>
        <v>1.9597192192921777</v>
      </c>
      <c r="X10" s="1115"/>
      <c r="Y10" s="1116"/>
      <c r="Z10" s="1124"/>
      <c r="AB10" s="431">
        <v>45046</v>
      </c>
      <c r="AC10" s="428">
        <f t="shared" si="4"/>
        <v>1.9014563696235596</v>
      </c>
      <c r="AD10" s="1115"/>
      <c r="AE10" s="1116"/>
      <c r="AF10" s="1124"/>
    </row>
    <row r="11" spans="1:33">
      <c r="A11" s="423">
        <v>38656</v>
      </c>
      <c r="B11" s="744">
        <v>3.89</v>
      </c>
      <c r="D11" s="433">
        <v>43616</v>
      </c>
      <c r="E11" s="428">
        <f t="shared" si="0"/>
        <v>2.3114997731721676</v>
      </c>
      <c r="F11" s="1115"/>
      <c r="G11" s="1116"/>
      <c r="H11" s="1124"/>
      <c r="J11" s="431">
        <v>43982</v>
      </c>
      <c r="K11" s="428">
        <f t="shared" si="1"/>
        <v>2.1456958625334375</v>
      </c>
      <c r="L11" s="1115"/>
      <c r="M11" s="1116"/>
      <c r="N11" s="1124"/>
      <c r="P11" s="431">
        <v>44347</v>
      </c>
      <c r="Q11" s="428">
        <f t="shared" si="2"/>
        <v>2.0283405714986245</v>
      </c>
      <c r="R11" s="1115"/>
      <c r="S11" s="1116"/>
      <c r="T11" s="1124"/>
      <c r="V11" s="431">
        <v>44712</v>
      </c>
      <c r="W11" s="428">
        <f t="shared" si="3"/>
        <v>1.9544863554110825</v>
      </c>
      <c r="X11" s="1115"/>
      <c r="Y11" s="1116"/>
      <c r="Z11" s="1124"/>
      <c r="AB11" s="431">
        <v>45077</v>
      </c>
      <c r="AC11" s="428">
        <f t="shared" si="4"/>
        <v>1.8969653159192017</v>
      </c>
      <c r="AD11" s="1115"/>
      <c r="AE11" s="1116"/>
      <c r="AF11" s="1124"/>
    </row>
    <row r="12" spans="1:33">
      <c r="A12" s="423">
        <v>38686</v>
      </c>
      <c r="B12" s="744">
        <v>3.86</v>
      </c>
      <c r="D12" s="433">
        <v>43644</v>
      </c>
      <c r="E12" s="428">
        <f t="shared" si="0"/>
        <v>2.2969057591113491</v>
      </c>
      <c r="F12" s="1115"/>
      <c r="G12" s="1116"/>
      <c r="H12" s="1124"/>
      <c r="J12" s="431">
        <v>44010</v>
      </c>
      <c r="K12" s="428">
        <f t="shared" si="1"/>
        <v>2.1354381573202099</v>
      </c>
      <c r="L12" s="1115"/>
      <c r="M12" s="1116"/>
      <c r="N12" s="1124"/>
      <c r="P12" s="431">
        <v>44375</v>
      </c>
      <c r="Q12" s="428">
        <f t="shared" si="2"/>
        <v>2.0210173847004698</v>
      </c>
      <c r="R12" s="1115"/>
      <c r="S12" s="1116"/>
      <c r="T12" s="1124"/>
      <c r="V12" s="431">
        <v>44740</v>
      </c>
      <c r="W12" s="428">
        <f t="shared" si="3"/>
        <v>1.9500248099775142</v>
      </c>
      <c r="X12" s="1115"/>
      <c r="Y12" s="1116"/>
      <c r="Z12" s="1124"/>
      <c r="AB12" s="431">
        <v>45105</v>
      </c>
      <c r="AC12" s="428">
        <f t="shared" si="4"/>
        <v>1.8931393043775309</v>
      </c>
      <c r="AD12" s="1115"/>
      <c r="AE12" s="1116"/>
      <c r="AF12" s="1124"/>
    </row>
    <row r="13" spans="1:33">
      <c r="A13" s="423">
        <v>38716</v>
      </c>
      <c r="B13" s="744">
        <v>3.99</v>
      </c>
      <c r="D13" s="433">
        <v>43677</v>
      </c>
      <c r="E13" s="428">
        <f t="shared" si="0"/>
        <v>2.2797097375725834</v>
      </c>
      <c r="F13" s="1115"/>
      <c r="G13" s="1116"/>
      <c r="H13" s="1124"/>
      <c r="J13" s="431">
        <v>44043</v>
      </c>
      <c r="K13" s="428">
        <f t="shared" si="1"/>
        <v>2.1233339484415916</v>
      </c>
      <c r="L13" s="1115"/>
      <c r="M13" s="1116"/>
      <c r="N13" s="1124"/>
      <c r="P13" s="431">
        <v>44408</v>
      </c>
      <c r="Q13" s="428">
        <f t="shared" si="2"/>
        <v>2.0138742492976438</v>
      </c>
      <c r="R13" s="1115"/>
      <c r="S13" s="1116"/>
      <c r="T13" s="1124"/>
      <c r="V13" s="431">
        <v>44773</v>
      </c>
      <c r="W13" s="428">
        <f t="shared" si="3"/>
        <v>1.9446716363432841</v>
      </c>
      <c r="X13" s="1115"/>
      <c r="Y13" s="1116"/>
      <c r="Z13" s="1124"/>
      <c r="AB13" s="431">
        <v>45138</v>
      </c>
      <c r="AC13" s="428">
        <f t="shared" si="4"/>
        <v>1.8886159896405375</v>
      </c>
      <c r="AD13" s="1115"/>
      <c r="AE13" s="1116"/>
      <c r="AF13" s="1124"/>
    </row>
    <row r="14" spans="1:33">
      <c r="A14" s="423">
        <v>38748</v>
      </c>
      <c r="B14" s="744">
        <v>4.37</v>
      </c>
      <c r="D14" s="433">
        <v>43707</v>
      </c>
      <c r="E14" s="428">
        <f t="shared" si="0"/>
        <v>2.2649842645208924</v>
      </c>
      <c r="F14" s="1115"/>
      <c r="G14" s="1116"/>
      <c r="H14" s="1124"/>
      <c r="J14" s="431">
        <v>44073</v>
      </c>
      <c r="K14" s="428">
        <f t="shared" si="1"/>
        <v>2.11295395437083</v>
      </c>
      <c r="L14" s="1115"/>
      <c r="M14" s="1116"/>
      <c r="N14" s="1124"/>
      <c r="P14" s="431">
        <v>44438</v>
      </c>
      <c r="Q14" s="428">
        <f t="shared" si="2"/>
        <v>2.007735779924062</v>
      </c>
      <c r="R14" s="1115"/>
      <c r="S14" s="1116"/>
      <c r="T14" s="1124"/>
      <c r="V14" s="431">
        <v>44803</v>
      </c>
      <c r="W14" s="428">
        <f t="shared" si="3"/>
        <v>1.9401544428524384</v>
      </c>
      <c r="X14" s="1115"/>
      <c r="Y14" s="1116"/>
      <c r="Z14" s="1124"/>
      <c r="AB14" s="431">
        <v>45168</v>
      </c>
      <c r="AC14" s="428">
        <f t="shared" si="4"/>
        <v>1.8847300376382723</v>
      </c>
      <c r="AD14" s="1115"/>
      <c r="AE14" s="1116"/>
      <c r="AF14" s="1124"/>
    </row>
    <row r="15" spans="1:33">
      <c r="A15" s="423">
        <v>38776</v>
      </c>
      <c r="B15" s="744">
        <v>4.51</v>
      </c>
      <c r="D15" s="433">
        <v>43738</v>
      </c>
      <c r="E15" s="428">
        <f t="shared" si="0"/>
        <v>2.2502148546445304</v>
      </c>
      <c r="F15" s="1115"/>
      <c r="G15" s="1116"/>
      <c r="H15" s="1124"/>
      <c r="J15" s="431">
        <v>44104</v>
      </c>
      <c r="K15" s="428">
        <f t="shared" si="1"/>
        <v>2.1025284203689667</v>
      </c>
      <c r="L15" s="1115"/>
      <c r="M15" s="1116"/>
      <c r="N15" s="1124"/>
      <c r="P15" s="431">
        <v>44469</v>
      </c>
      <c r="Q15" s="428">
        <f t="shared" si="2"/>
        <v>2.0014712635847998</v>
      </c>
      <c r="R15" s="1115"/>
      <c r="S15" s="1116"/>
      <c r="T15" s="1124"/>
      <c r="V15" s="431">
        <v>44834</v>
      </c>
      <c r="W15" s="428">
        <f t="shared" si="3"/>
        <v>1.9355387718176624</v>
      </c>
      <c r="X15" s="1115"/>
      <c r="Y15" s="1116"/>
      <c r="Z15" s="1124"/>
      <c r="AB15" s="431">
        <v>45199</v>
      </c>
      <c r="AC15" s="428">
        <f t="shared" si="4"/>
        <v>1.8808203981938783</v>
      </c>
      <c r="AD15" s="1115"/>
      <c r="AE15" s="1116"/>
      <c r="AF15" s="1124"/>
    </row>
    <row r="16" spans="1:33">
      <c r="A16" s="423">
        <v>38807</v>
      </c>
      <c r="B16" s="744">
        <v>4.5199999999999996</v>
      </c>
      <c r="D16" s="433">
        <v>43769</v>
      </c>
      <c r="E16" s="428">
        <f t="shared" si="0"/>
        <v>2.2354148784399923</v>
      </c>
      <c r="F16" s="1115"/>
      <c r="G16" s="1116"/>
      <c r="H16" s="1124"/>
      <c r="J16" s="431">
        <v>44135</v>
      </c>
      <c r="K16" s="428">
        <f t="shared" si="1"/>
        <v>2.0920669884877667</v>
      </c>
      <c r="L16" s="1115"/>
      <c r="M16" s="1116"/>
      <c r="N16" s="1124"/>
      <c r="P16" s="431">
        <v>44500</v>
      </c>
      <c r="Q16" s="428">
        <f t="shared" si="2"/>
        <v>1.9951914746341644</v>
      </c>
      <c r="R16" s="1115"/>
      <c r="S16" s="1116"/>
      <c r="T16" s="1124"/>
      <c r="V16" s="431">
        <v>44865</v>
      </c>
      <c r="W16" s="428">
        <f t="shared" si="3"/>
        <v>1.9301202560444588</v>
      </c>
      <c r="X16" s="1115"/>
      <c r="Y16" s="1116"/>
      <c r="Z16" s="1124"/>
      <c r="AB16" s="431">
        <v>45230</v>
      </c>
      <c r="AC16" s="428">
        <f t="shared" si="4"/>
        <v>1.8768910121917719</v>
      </c>
      <c r="AD16" s="1115"/>
      <c r="AE16" s="1116"/>
      <c r="AF16" s="1124"/>
    </row>
    <row r="17" spans="1:33" ht="17" thickBot="1">
      <c r="A17" s="423">
        <v>38835</v>
      </c>
      <c r="B17" s="744">
        <v>4.6500000000000004</v>
      </c>
      <c r="D17" s="434">
        <v>43798</v>
      </c>
      <c r="E17" s="429">
        <f t="shared" si="0"/>
        <v>2.222392916786283</v>
      </c>
      <c r="F17" s="1117"/>
      <c r="G17" s="1118"/>
      <c r="H17" s="1125"/>
      <c r="J17" s="432">
        <v>44164</v>
      </c>
      <c r="K17" s="429">
        <f t="shared" si="1"/>
        <v>2.0828500043171858</v>
      </c>
      <c r="L17" s="1117"/>
      <c r="M17" s="1118"/>
      <c r="N17" s="1125"/>
      <c r="P17" s="432">
        <v>44529</v>
      </c>
      <c r="Q17" s="429">
        <f t="shared" si="2"/>
        <v>1.9896675018640699</v>
      </c>
      <c r="R17" s="1117"/>
      <c r="S17" s="1118"/>
      <c r="T17" s="1125"/>
      <c r="V17" s="432">
        <v>44894</v>
      </c>
      <c r="W17" s="429">
        <f t="shared" si="3"/>
        <v>1.9253400351865488</v>
      </c>
      <c r="X17" s="1117"/>
      <c r="Y17" s="1118"/>
      <c r="Z17" s="1125"/>
      <c r="AB17" s="432">
        <v>45259</v>
      </c>
      <c r="AC17" s="429">
        <f t="shared" si="4"/>
        <v>1.8734238545640163</v>
      </c>
      <c r="AD17" s="1117"/>
      <c r="AE17" s="1118"/>
      <c r="AF17" s="1125"/>
    </row>
    <row r="18" spans="1:33" ht="17" thickBot="1">
      <c r="A18" s="423">
        <v>38868</v>
      </c>
      <c r="B18" s="744">
        <v>4.74</v>
      </c>
      <c r="AC18" s="421"/>
    </row>
    <row r="19" spans="1:33" ht="17" thickBot="1">
      <c r="A19" s="423">
        <v>38898</v>
      </c>
      <c r="B19" s="744">
        <v>4.87</v>
      </c>
      <c r="C19" s="1027" t="s">
        <v>342</v>
      </c>
      <c r="D19" s="1051"/>
      <c r="E19" s="1051"/>
      <c r="F19" s="1051"/>
      <c r="G19" s="1051"/>
      <c r="H19" s="1028"/>
      <c r="I19" s="1012">
        <f>I20/360</f>
        <v>1.1913888888888887E-5</v>
      </c>
      <c r="J19" s="1014"/>
      <c r="AC19" s="421"/>
    </row>
    <row r="20" spans="1:33" ht="17" thickBot="1">
      <c r="A20" s="423">
        <v>38929</v>
      </c>
      <c r="B20" s="744">
        <v>4.97</v>
      </c>
      <c r="C20" s="1027" t="s">
        <v>402</v>
      </c>
      <c r="D20" s="1051"/>
      <c r="E20" s="1051"/>
      <c r="F20" s="1051"/>
      <c r="G20" s="1051"/>
      <c r="H20" s="1028"/>
      <c r="I20" s="1137">
        <f>AVERAGE(B70:B169)%</f>
        <v>4.2889999999999994E-3</v>
      </c>
      <c r="J20" s="1138"/>
    </row>
    <row r="21" spans="1:33" ht="17" thickBot="1">
      <c r="A21" s="423">
        <v>38960</v>
      </c>
      <c r="B21" s="744">
        <v>4.92</v>
      </c>
      <c r="C21" s="1075" t="s">
        <v>403</v>
      </c>
      <c r="D21" s="1149"/>
      <c r="E21" s="1149"/>
      <c r="F21" s="1149"/>
      <c r="G21" s="1149"/>
      <c r="H21" s="1076"/>
      <c r="I21" s="1126">
        <f>21%</f>
        <v>0.21</v>
      </c>
      <c r="J21" s="1127"/>
      <c r="K21" s="1139" t="s">
        <v>293</v>
      </c>
      <c r="L21" s="1140"/>
      <c r="M21" s="1140"/>
    </row>
    <row r="22" spans="1:33">
      <c r="A22" s="423">
        <v>38989</v>
      </c>
      <c r="B22" s="744">
        <v>4.7699999999999996</v>
      </c>
      <c r="C22" s="1128" t="s">
        <v>290</v>
      </c>
      <c r="D22" s="1129"/>
      <c r="E22" s="1129"/>
      <c r="F22" s="1129"/>
      <c r="G22" s="1129"/>
      <c r="H22" s="1129"/>
      <c r="I22" s="1129"/>
      <c r="J22" s="1129"/>
      <c r="K22" s="1129"/>
      <c r="L22" s="1129"/>
      <c r="M22" s="1129"/>
      <c r="N22" s="1129"/>
      <c r="O22" s="1129"/>
      <c r="P22" s="1129"/>
      <c r="Q22" s="1129"/>
      <c r="R22" s="1129"/>
      <c r="S22" s="1129"/>
      <c r="T22" s="1129"/>
      <c r="U22" s="1129"/>
      <c r="V22" s="1129"/>
      <c r="W22" s="1129"/>
      <c r="X22" s="1129"/>
      <c r="Y22" s="1129"/>
      <c r="Z22" s="1129"/>
      <c r="AA22" s="1129"/>
      <c r="AB22" s="1129"/>
      <c r="AC22" s="1129"/>
      <c r="AD22" s="1129"/>
      <c r="AE22" s="1129"/>
      <c r="AF22" s="1129"/>
      <c r="AG22" s="1130"/>
    </row>
    <row r="23" spans="1:33">
      <c r="A23" s="423">
        <v>39021</v>
      </c>
      <c r="B23" s="744">
        <v>4.95</v>
      </c>
      <c r="C23" s="1131"/>
      <c r="D23" s="1132"/>
      <c r="E23" s="1132"/>
      <c r="F23" s="1132"/>
      <c r="G23" s="1132"/>
      <c r="H23" s="1132"/>
      <c r="I23" s="1132"/>
      <c r="J23" s="1132"/>
      <c r="K23" s="1132"/>
      <c r="L23" s="1132"/>
      <c r="M23" s="1132"/>
      <c r="N23" s="1132"/>
      <c r="O23" s="1132"/>
      <c r="P23" s="1132"/>
      <c r="Q23" s="1132"/>
      <c r="R23" s="1132"/>
      <c r="S23" s="1132"/>
      <c r="T23" s="1132"/>
      <c r="U23" s="1132"/>
      <c r="V23" s="1132"/>
      <c r="W23" s="1132"/>
      <c r="X23" s="1132"/>
      <c r="Y23" s="1132"/>
      <c r="Z23" s="1132"/>
      <c r="AA23" s="1132"/>
      <c r="AB23" s="1132"/>
      <c r="AC23" s="1132"/>
      <c r="AD23" s="1132"/>
      <c r="AE23" s="1132"/>
      <c r="AF23" s="1132"/>
      <c r="AG23" s="1133"/>
    </row>
    <row r="24" spans="1:33" ht="16" customHeight="1" thickBot="1">
      <c r="A24" s="423">
        <v>39051</v>
      </c>
      <c r="B24" s="744">
        <v>4.9000000000000004</v>
      </c>
      <c r="C24" s="1134"/>
      <c r="D24" s="1135"/>
      <c r="E24" s="1135"/>
      <c r="F24" s="1135"/>
      <c r="G24" s="1135"/>
      <c r="H24" s="1135"/>
      <c r="I24" s="1135"/>
      <c r="J24" s="1135"/>
      <c r="K24" s="1135"/>
      <c r="L24" s="1135"/>
      <c r="M24" s="1135"/>
      <c r="N24" s="1135"/>
      <c r="O24" s="1135"/>
      <c r="P24" s="1135"/>
      <c r="Q24" s="1135"/>
      <c r="R24" s="1135"/>
      <c r="S24" s="1135"/>
      <c r="T24" s="1135"/>
      <c r="U24" s="1135"/>
      <c r="V24" s="1135"/>
      <c r="W24" s="1135"/>
      <c r="X24" s="1135"/>
      <c r="Y24" s="1135"/>
      <c r="Z24" s="1135"/>
      <c r="AA24" s="1135"/>
      <c r="AB24" s="1135"/>
      <c r="AC24" s="1135"/>
      <c r="AD24" s="1135"/>
      <c r="AE24" s="1135"/>
      <c r="AF24" s="1135"/>
      <c r="AG24" s="1136"/>
    </row>
    <row r="25" spans="1:33" ht="16" customHeight="1">
      <c r="A25" s="423">
        <v>39080</v>
      </c>
      <c r="B25" s="744">
        <v>4.8899999999999997</v>
      </c>
      <c r="C25" s="747"/>
      <c r="E25" s="442"/>
      <c r="F25" s="912" t="s">
        <v>288</v>
      </c>
      <c r="G25" s="913"/>
      <c r="H25" s="913"/>
      <c r="I25" s="913"/>
      <c r="J25" s="914"/>
      <c r="L25" s="824" t="s">
        <v>291</v>
      </c>
      <c r="M25" s="836"/>
      <c r="N25" s="836"/>
      <c r="O25" s="836"/>
      <c r="P25" s="836"/>
      <c r="Q25" s="824" t="s">
        <v>294</v>
      </c>
      <c r="R25" s="836"/>
      <c r="S25" s="825"/>
      <c r="T25" s="1141">
        <f>COVAR(F29:G2137,O29:P2137)/_xlfn.VAR.P(F29:G2137)</f>
        <v>0.71766568297043387</v>
      </c>
      <c r="U25" s="1142"/>
    </row>
    <row r="26" spans="1:33" ht="17" customHeight="1" thickBot="1">
      <c r="A26" s="423">
        <v>39113</v>
      </c>
      <c r="B26" s="744">
        <v>4.99</v>
      </c>
      <c r="E26" s="442"/>
      <c r="F26" s="826"/>
      <c r="G26" s="837"/>
      <c r="H26" s="837"/>
      <c r="I26" s="837"/>
      <c r="J26" s="827"/>
      <c r="L26" s="912"/>
      <c r="M26" s="913"/>
      <c r="N26" s="913"/>
      <c r="O26" s="913"/>
      <c r="P26" s="913"/>
      <c r="Q26" s="826"/>
      <c r="R26" s="837"/>
      <c r="S26" s="827"/>
      <c r="T26" s="1143"/>
      <c r="U26" s="1144"/>
    </row>
    <row r="27" spans="1:33" ht="17" thickBot="1">
      <c r="A27" s="423">
        <v>39141</v>
      </c>
      <c r="B27" s="744">
        <v>5.01</v>
      </c>
      <c r="E27" s="443"/>
      <c r="F27" s="446" t="s">
        <v>292</v>
      </c>
      <c r="G27" s="447"/>
      <c r="H27" s="358" t="s">
        <v>0</v>
      </c>
      <c r="I27" s="438" t="s">
        <v>54</v>
      </c>
      <c r="J27" s="439" t="s">
        <v>289</v>
      </c>
      <c r="L27" s="358" t="s">
        <v>0</v>
      </c>
      <c r="M27" s="438" t="s">
        <v>54</v>
      </c>
      <c r="N27" s="439" t="s">
        <v>289</v>
      </c>
      <c r="O27" s="446" t="s">
        <v>292</v>
      </c>
      <c r="P27" s="521"/>
      <c r="Q27" s="824" t="s">
        <v>341</v>
      </c>
      <c r="R27" s="836"/>
      <c r="S27" s="825"/>
      <c r="T27" s="1145">
        <f>AVERAGE(J29:J2137)*T29</f>
        <v>0.10020844047871937</v>
      </c>
      <c r="U27" s="1146"/>
    </row>
    <row r="28" spans="1:33" ht="17" thickBot="1">
      <c r="A28" s="423">
        <v>39171</v>
      </c>
      <c r="B28" s="744">
        <v>4.9000000000000004</v>
      </c>
      <c r="F28" s="1119">
        <v>0</v>
      </c>
      <c r="G28" s="1120"/>
      <c r="H28" s="445">
        <v>40512</v>
      </c>
      <c r="I28" s="738">
        <v>1180.55</v>
      </c>
      <c r="J28" s="444">
        <f>0</f>
        <v>0</v>
      </c>
      <c r="L28" s="436">
        <v>40512</v>
      </c>
      <c r="M28" s="738">
        <v>68.040000000000006</v>
      </c>
      <c r="N28" s="444">
        <f>0</f>
        <v>0</v>
      </c>
      <c r="O28" s="1154">
        <v>0</v>
      </c>
      <c r="P28" s="1155"/>
      <c r="Q28" s="826"/>
      <c r="R28" s="837"/>
      <c r="S28" s="827"/>
      <c r="T28" s="1147"/>
      <c r="U28" s="1148"/>
    </row>
    <row r="29" spans="1:33">
      <c r="A29" s="423">
        <v>39202</v>
      </c>
      <c r="B29" s="744">
        <v>4.79</v>
      </c>
      <c r="F29" s="1121">
        <f>J29-$I$19</f>
        <v>2.1605129014842343E-2</v>
      </c>
      <c r="G29" s="1122"/>
      <c r="H29" s="436">
        <v>40513</v>
      </c>
      <c r="I29" s="738">
        <v>1206.07</v>
      </c>
      <c r="J29" s="440">
        <f t="shared" ref="J29:J92" si="5">I29/I28-1</f>
        <v>2.1617042903731232E-2</v>
      </c>
      <c r="L29" s="436">
        <v>40513</v>
      </c>
      <c r="M29" s="738">
        <v>69.400000000000006</v>
      </c>
      <c r="N29" s="115">
        <f t="shared" ref="N29:N48" si="6">M29/M28-1</f>
        <v>1.9988242210464469E-2</v>
      </c>
      <c r="O29" s="1121">
        <f>N29-$I$19</f>
        <v>1.997632832157558E-2</v>
      </c>
      <c r="P29" s="1122"/>
      <c r="Q29" s="824" t="s">
        <v>394</v>
      </c>
      <c r="R29" s="836"/>
      <c r="S29" s="825"/>
      <c r="T29" s="775">
        <f>252</f>
        <v>252</v>
      </c>
      <c r="U29" s="777"/>
    </row>
    <row r="30" spans="1:33" ht="17" thickBot="1">
      <c r="A30" s="423">
        <v>39233</v>
      </c>
      <c r="B30" s="744">
        <v>4.5999999999999996</v>
      </c>
      <c r="F30" s="1121">
        <f t="shared" ref="F30:F93" si="7">J30-$I$19</f>
        <v>1.2806579233400998E-2</v>
      </c>
      <c r="G30" s="1122"/>
      <c r="H30" s="436">
        <v>40514</v>
      </c>
      <c r="I30" s="738">
        <v>1221.53</v>
      </c>
      <c r="J30" s="440">
        <f t="shared" si="5"/>
        <v>1.2818493122289887E-2</v>
      </c>
      <c r="L30" s="436">
        <v>40514</v>
      </c>
      <c r="M30" s="738">
        <v>69.8</v>
      </c>
      <c r="N30" s="115">
        <f t="shared" si="6"/>
        <v>5.7636887608067955E-3</v>
      </c>
      <c r="O30" s="1121">
        <f t="shared" ref="O30:O93" si="8">N30-$I$19</f>
        <v>5.7517748719179062E-3</v>
      </c>
      <c r="P30" s="1122"/>
      <c r="Q30" s="826"/>
      <c r="R30" s="837"/>
      <c r="S30" s="827"/>
      <c r="T30" s="778"/>
      <c r="U30" s="780"/>
    </row>
    <row r="31" spans="1:33">
      <c r="A31" s="423">
        <v>39262</v>
      </c>
      <c r="B31" s="744">
        <v>4.68</v>
      </c>
      <c r="F31" s="1121">
        <f t="shared" si="7"/>
        <v>2.5913787031882555E-3</v>
      </c>
      <c r="G31" s="1122"/>
      <c r="H31" s="436">
        <v>40515</v>
      </c>
      <c r="I31" s="738">
        <v>1224.71</v>
      </c>
      <c r="J31" s="440">
        <f t="shared" si="5"/>
        <v>2.6032925920771444E-3</v>
      </c>
      <c r="L31" s="436">
        <v>40515</v>
      </c>
      <c r="M31" s="738">
        <v>69.180000000000007</v>
      </c>
      <c r="N31" s="115">
        <f t="shared" si="6"/>
        <v>-8.8825214899712623E-3</v>
      </c>
      <c r="O31" s="1121">
        <f t="shared" si="8"/>
        <v>-8.8944353788601507E-3</v>
      </c>
      <c r="P31" s="1122"/>
      <c r="Q31" s="912" t="s">
        <v>389</v>
      </c>
      <c r="R31" s="913"/>
      <c r="S31" s="914"/>
      <c r="T31" s="1150">
        <f>T27-I20</f>
        <v>9.5919440478719364E-2</v>
      </c>
      <c r="U31" s="1151"/>
    </row>
    <row r="32" spans="1:33" ht="17" thickBot="1">
      <c r="A32" s="423">
        <v>39294</v>
      </c>
      <c r="B32" s="744">
        <v>4.82</v>
      </c>
      <c r="F32" s="1121">
        <f t="shared" si="7"/>
        <v>-1.3101804172917027E-3</v>
      </c>
      <c r="G32" s="1122"/>
      <c r="H32" s="436">
        <v>40518</v>
      </c>
      <c r="I32" s="738">
        <v>1223.1199999999999</v>
      </c>
      <c r="J32" s="440">
        <f t="shared" si="5"/>
        <v>-1.2982665284028139E-3</v>
      </c>
      <c r="L32" s="436">
        <v>40518</v>
      </c>
      <c r="M32" s="738">
        <v>68.78</v>
      </c>
      <c r="N32" s="115">
        <f t="shared" si="6"/>
        <v>-5.7820179242557002E-3</v>
      </c>
      <c r="O32" s="1121">
        <f t="shared" si="8"/>
        <v>-5.7939318131445894E-3</v>
      </c>
      <c r="P32" s="1122"/>
      <c r="Q32" s="826"/>
      <c r="R32" s="837"/>
      <c r="S32" s="827"/>
      <c r="T32" s="1152"/>
      <c r="U32" s="1153"/>
      <c r="V32" s="367"/>
      <c r="W32" s="367"/>
      <c r="X32" s="367"/>
      <c r="Y32" s="367"/>
      <c r="Z32" s="367"/>
      <c r="AA32" s="367"/>
      <c r="AB32" s="367"/>
    </row>
    <row r="33" spans="1:28">
      <c r="A33" s="423">
        <v>39325</v>
      </c>
      <c r="B33" s="744">
        <v>3.91</v>
      </c>
      <c r="F33" s="1121">
        <f t="shared" si="7"/>
        <v>5.0316230968527138E-4</v>
      </c>
      <c r="G33" s="1122"/>
      <c r="H33" s="436">
        <v>40519</v>
      </c>
      <c r="I33" s="738">
        <v>1223.75</v>
      </c>
      <c r="J33" s="440">
        <f t="shared" si="5"/>
        <v>5.1507619857416032E-4</v>
      </c>
      <c r="L33" s="436">
        <v>40519</v>
      </c>
      <c r="M33" s="738">
        <v>69.45</v>
      </c>
      <c r="N33" s="115">
        <f t="shared" si="6"/>
        <v>9.7412038383251076E-3</v>
      </c>
      <c r="O33" s="1121">
        <f t="shared" si="8"/>
        <v>9.7292899494362192E-3</v>
      </c>
      <c r="P33" s="1122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</row>
    <row r="34" spans="1:28">
      <c r="A34" s="423">
        <v>39353</v>
      </c>
      <c r="B34" s="744">
        <v>3.72</v>
      </c>
      <c r="F34" s="1121">
        <f t="shared" si="7"/>
        <v>3.6898225768925356E-3</v>
      </c>
      <c r="G34" s="1122"/>
      <c r="H34" s="436">
        <v>40520</v>
      </c>
      <c r="I34" s="738">
        <v>1228.28</v>
      </c>
      <c r="J34" s="440">
        <f t="shared" si="5"/>
        <v>3.7017364657814245E-3</v>
      </c>
      <c r="L34" s="436">
        <v>40520</v>
      </c>
      <c r="M34" s="738">
        <v>68.73</v>
      </c>
      <c r="N34" s="115">
        <f t="shared" si="6"/>
        <v>-1.0367170626349842E-2</v>
      </c>
      <c r="O34" s="1121">
        <f t="shared" si="8"/>
        <v>-1.037908451523873E-2</v>
      </c>
      <c r="P34" s="1122"/>
      <c r="R34" s="367"/>
      <c r="S34" s="367"/>
      <c r="T34" s="367"/>
      <c r="U34" s="367"/>
      <c r="V34" s="367"/>
      <c r="W34" s="367"/>
      <c r="X34" s="367"/>
      <c r="Y34" s="367"/>
      <c r="Z34" s="367"/>
      <c r="AA34" s="367"/>
      <c r="AB34" s="367"/>
    </row>
    <row r="35" spans="1:28">
      <c r="A35" s="423">
        <v>39386</v>
      </c>
      <c r="B35" s="744">
        <v>3.84</v>
      </c>
      <c r="F35" s="1121">
        <f t="shared" si="7"/>
        <v>3.8308581174940552E-3</v>
      </c>
      <c r="G35" s="1122"/>
      <c r="H35" s="436">
        <v>40521</v>
      </c>
      <c r="I35" s="738">
        <v>1233</v>
      </c>
      <c r="J35" s="440">
        <f t="shared" si="5"/>
        <v>3.842772006382944E-3</v>
      </c>
      <c r="L35" s="436">
        <v>40521</v>
      </c>
      <c r="M35" s="738">
        <v>68.31</v>
      </c>
      <c r="N35" s="115">
        <f t="shared" si="6"/>
        <v>-6.110868616324816E-3</v>
      </c>
      <c r="O35" s="1121">
        <f t="shared" si="8"/>
        <v>-6.1227825052137053E-3</v>
      </c>
      <c r="P35" s="1122"/>
      <c r="R35" s="367"/>
      <c r="S35" s="367"/>
      <c r="T35" s="367"/>
      <c r="U35" s="367"/>
      <c r="V35" s="367"/>
      <c r="W35" s="367"/>
      <c r="X35" s="367"/>
      <c r="Y35" s="367"/>
      <c r="Z35" s="367"/>
      <c r="AA35" s="367"/>
      <c r="AB35" s="367"/>
    </row>
    <row r="36" spans="1:28">
      <c r="A36" s="423">
        <v>39416</v>
      </c>
      <c r="B36" s="744">
        <v>3.08</v>
      </c>
      <c r="F36" s="1121">
        <f t="shared" si="7"/>
        <v>5.9897081711274202E-3</v>
      </c>
      <c r="G36" s="1122"/>
      <c r="H36" s="436">
        <v>40522</v>
      </c>
      <c r="I36" s="738">
        <v>1240.4000000000001</v>
      </c>
      <c r="J36" s="440">
        <f t="shared" si="5"/>
        <v>6.0016220600163095E-3</v>
      </c>
      <c r="L36" s="436">
        <v>40522</v>
      </c>
      <c r="M36" s="738">
        <v>68.84</v>
      </c>
      <c r="N36" s="115">
        <f t="shared" si="6"/>
        <v>7.7587468891817668E-3</v>
      </c>
      <c r="O36" s="1121">
        <f t="shared" si="8"/>
        <v>7.7468330002928775E-3</v>
      </c>
      <c r="P36" s="1122"/>
      <c r="R36" s="367"/>
      <c r="S36" s="367"/>
      <c r="T36" s="367"/>
      <c r="U36" s="367"/>
      <c r="V36" s="367"/>
      <c r="W36" s="367"/>
      <c r="X36" s="367"/>
      <c r="Y36" s="367"/>
      <c r="Z36" s="367"/>
      <c r="AA36" s="367"/>
      <c r="AB36" s="367"/>
    </row>
    <row r="37" spans="1:28">
      <c r="A37" s="423">
        <v>39447</v>
      </c>
      <c r="B37" s="744">
        <v>3.29</v>
      </c>
      <c r="F37" s="1121">
        <f t="shared" si="7"/>
        <v>3.6457604177912222E-5</v>
      </c>
      <c r="G37" s="1122"/>
      <c r="H37" s="436">
        <v>40525</v>
      </c>
      <c r="I37" s="738">
        <v>1240.46</v>
      </c>
      <c r="J37" s="440">
        <f t="shared" si="5"/>
        <v>4.8371493066801108E-5</v>
      </c>
      <c r="L37" s="436">
        <v>40525</v>
      </c>
      <c r="M37" s="738">
        <v>68.62</v>
      </c>
      <c r="N37" s="115">
        <f t="shared" si="6"/>
        <v>-3.1958163858222255E-3</v>
      </c>
      <c r="O37" s="1121">
        <f t="shared" si="8"/>
        <v>-3.2077302747111143E-3</v>
      </c>
      <c r="P37" s="1122"/>
      <c r="R37" s="367"/>
      <c r="S37" s="367"/>
      <c r="T37" s="367"/>
      <c r="U37" s="367"/>
      <c r="V37" s="367"/>
      <c r="W37" s="367"/>
      <c r="X37" s="367"/>
      <c r="Y37" s="367"/>
      <c r="Z37" s="367"/>
      <c r="AA37" s="367"/>
      <c r="AB37" s="367"/>
    </row>
    <row r="38" spans="1:28">
      <c r="A38" s="423">
        <v>39478</v>
      </c>
      <c r="B38" s="744">
        <v>1.92</v>
      </c>
      <c r="F38" s="1121">
        <f t="shared" si="7"/>
        <v>8.9903849974103751E-4</v>
      </c>
      <c r="G38" s="1122"/>
      <c r="H38" s="436">
        <v>40526</v>
      </c>
      <c r="I38" s="738">
        <v>1241.5899999999999</v>
      </c>
      <c r="J38" s="440">
        <f t="shared" si="5"/>
        <v>9.1095238862992645E-4</v>
      </c>
      <c r="L38" s="436">
        <v>40526</v>
      </c>
      <c r="M38" s="738">
        <v>70.02</v>
      </c>
      <c r="N38" s="115">
        <f t="shared" si="6"/>
        <v>2.0402215097639065E-2</v>
      </c>
      <c r="O38" s="1121">
        <f t="shared" si="8"/>
        <v>2.0390301208750176E-2</v>
      </c>
      <c r="P38" s="1122"/>
      <c r="R38" s="367"/>
      <c r="S38" s="367"/>
      <c r="T38" s="367"/>
      <c r="U38" s="367"/>
      <c r="V38" s="367"/>
      <c r="W38" s="367"/>
      <c r="X38" s="367"/>
      <c r="Y38" s="367"/>
      <c r="Z38" s="367"/>
      <c r="AA38" s="367"/>
      <c r="AB38" s="367"/>
    </row>
    <row r="39" spans="1:28">
      <c r="A39" s="423">
        <v>39507</v>
      </c>
      <c r="B39" s="744">
        <v>1.81</v>
      </c>
      <c r="F39" s="1121">
        <f t="shared" si="7"/>
        <v>-5.1343778262594808E-3</v>
      </c>
      <c r="G39" s="1122"/>
      <c r="H39" s="436">
        <v>40527</v>
      </c>
      <c r="I39" s="738">
        <v>1235.23</v>
      </c>
      <c r="J39" s="440">
        <f t="shared" si="5"/>
        <v>-5.1224639373705916E-3</v>
      </c>
      <c r="L39" s="436">
        <v>40527</v>
      </c>
      <c r="M39" s="738">
        <v>69.72</v>
      </c>
      <c r="N39" s="115">
        <f t="shared" si="6"/>
        <v>-4.2844901456726703E-3</v>
      </c>
      <c r="O39" s="1121">
        <f t="shared" si="8"/>
        <v>-4.2964040345615595E-3</v>
      </c>
      <c r="P39" s="1122"/>
      <c r="R39" s="367"/>
      <c r="S39" s="367"/>
      <c r="T39" s="367"/>
      <c r="U39" s="367"/>
      <c r="V39" s="367"/>
      <c r="W39" s="367"/>
      <c r="X39" s="367"/>
      <c r="Y39" s="367"/>
      <c r="Z39" s="367"/>
      <c r="AA39" s="367"/>
      <c r="AB39" s="367"/>
    </row>
    <row r="40" spans="1:28">
      <c r="A40" s="423">
        <v>39538</v>
      </c>
      <c r="B40" s="744">
        <v>1.36</v>
      </c>
      <c r="F40" s="1121">
        <f t="shared" si="7"/>
        <v>6.1731690511302928E-3</v>
      </c>
      <c r="G40" s="1122"/>
      <c r="H40" s="436">
        <v>40528</v>
      </c>
      <c r="I40" s="738">
        <v>1242.8699999999999</v>
      </c>
      <c r="J40" s="440">
        <f t="shared" si="5"/>
        <v>6.185082940019182E-3</v>
      </c>
      <c r="L40" s="436">
        <v>40528</v>
      </c>
      <c r="M40" s="738">
        <v>70.37</v>
      </c>
      <c r="N40" s="115">
        <f t="shared" si="6"/>
        <v>9.3230063109581707E-3</v>
      </c>
      <c r="O40" s="1121">
        <f t="shared" si="8"/>
        <v>9.3110924220692823E-3</v>
      </c>
      <c r="P40" s="1122"/>
      <c r="R40" s="367"/>
      <c r="S40" s="367"/>
      <c r="T40" s="367"/>
      <c r="U40" s="367"/>
      <c r="V40" s="367"/>
      <c r="W40" s="367"/>
      <c r="X40" s="367"/>
      <c r="Y40" s="367"/>
      <c r="Z40" s="367"/>
      <c r="AA40" s="367"/>
      <c r="AB40" s="367"/>
    </row>
    <row r="41" spans="1:28">
      <c r="A41" s="423">
        <v>39568</v>
      </c>
      <c r="B41" s="744">
        <v>1.41</v>
      </c>
      <c r="F41" s="1121">
        <f t="shared" si="7"/>
        <v>8.2485906403483662E-4</v>
      </c>
      <c r="G41" s="1122"/>
      <c r="H41" s="436">
        <v>40529</v>
      </c>
      <c r="I41" s="738">
        <v>1243.9100000000001</v>
      </c>
      <c r="J41" s="440">
        <f t="shared" si="5"/>
        <v>8.3677295292372555E-4</v>
      </c>
      <c r="L41" s="436">
        <v>40529</v>
      </c>
      <c r="M41" s="738">
        <v>70.069999999999993</v>
      </c>
      <c r="N41" s="115">
        <f t="shared" si="6"/>
        <v>-4.2631803325282602E-3</v>
      </c>
      <c r="O41" s="1121">
        <f t="shared" si="8"/>
        <v>-4.2750942214171495E-3</v>
      </c>
      <c r="P41" s="1122"/>
      <c r="R41" s="367"/>
      <c r="S41" s="367"/>
      <c r="T41" s="367"/>
      <c r="U41" s="367"/>
      <c r="V41" s="367"/>
      <c r="W41" s="367"/>
      <c r="X41" s="367"/>
      <c r="Y41" s="367"/>
      <c r="Z41" s="367"/>
      <c r="AA41" s="367"/>
      <c r="AB41" s="367"/>
    </row>
    <row r="42" spans="1:28">
      <c r="A42" s="423">
        <v>39598</v>
      </c>
      <c r="B42" s="744">
        <v>1.85</v>
      </c>
      <c r="F42" s="1121">
        <f t="shared" si="7"/>
        <v>2.5365019932889125E-3</v>
      </c>
      <c r="G42" s="1122"/>
      <c r="H42" s="436">
        <v>40532</v>
      </c>
      <c r="I42" s="738">
        <v>1247.08</v>
      </c>
      <c r="J42" s="440">
        <f t="shared" si="5"/>
        <v>2.5484158821778014E-3</v>
      </c>
      <c r="L42" s="436">
        <v>40532</v>
      </c>
      <c r="M42" s="738">
        <v>69.650000000000006</v>
      </c>
      <c r="N42" s="115">
        <f t="shared" si="6"/>
        <v>-5.994005994005791E-3</v>
      </c>
      <c r="O42" s="1121">
        <f t="shared" si="8"/>
        <v>-6.0059198828946803E-3</v>
      </c>
      <c r="P42" s="1122"/>
      <c r="R42" s="367"/>
      <c r="S42" s="367"/>
      <c r="T42" s="367"/>
      <c r="U42" s="367"/>
      <c r="V42" s="367"/>
      <c r="W42" s="367"/>
      <c r="X42" s="367"/>
      <c r="Y42" s="367"/>
      <c r="Z42" s="367"/>
      <c r="AA42" s="367"/>
      <c r="AB42" s="367"/>
    </row>
    <row r="43" spans="1:28">
      <c r="A43" s="423">
        <v>39629</v>
      </c>
      <c r="B43" s="744">
        <v>1.87</v>
      </c>
      <c r="F43" s="1121">
        <f t="shared" si="7"/>
        <v>6.0181723926647701E-3</v>
      </c>
      <c r="G43" s="1122"/>
      <c r="H43" s="436">
        <v>40533</v>
      </c>
      <c r="I43" s="738">
        <v>1254.5999999999999</v>
      </c>
      <c r="J43" s="440">
        <f t="shared" si="5"/>
        <v>6.0300862815536593E-3</v>
      </c>
      <c r="L43" s="436">
        <v>40533</v>
      </c>
      <c r="M43" s="738">
        <v>69.8</v>
      </c>
      <c r="N43" s="115">
        <f t="shared" si="6"/>
        <v>2.1536252692029301E-3</v>
      </c>
      <c r="O43" s="1121">
        <f t="shared" si="8"/>
        <v>2.1417113803140412E-3</v>
      </c>
      <c r="P43" s="1122"/>
      <c r="R43" s="367"/>
      <c r="S43" s="367"/>
      <c r="T43" s="367"/>
      <c r="U43" s="367"/>
      <c r="V43" s="367"/>
      <c r="W43" s="367"/>
      <c r="X43" s="367"/>
      <c r="Y43" s="367"/>
      <c r="Z43" s="367"/>
      <c r="AA43" s="367"/>
      <c r="AB43" s="367"/>
    </row>
    <row r="44" spans="1:28">
      <c r="A44" s="423">
        <v>39660</v>
      </c>
      <c r="B44" s="744">
        <v>1.65</v>
      </c>
      <c r="F44" s="1121">
        <f t="shared" si="7"/>
        <v>3.3676493185078519E-3</v>
      </c>
      <c r="G44" s="1122"/>
      <c r="H44" s="436">
        <v>40534</v>
      </c>
      <c r="I44" s="738">
        <v>1258.8399999999999</v>
      </c>
      <c r="J44" s="440">
        <f t="shared" si="5"/>
        <v>3.3795632073967408E-3</v>
      </c>
      <c r="L44" s="436">
        <v>40534</v>
      </c>
      <c r="M44" s="738">
        <v>69.349999999999994</v>
      </c>
      <c r="N44" s="115">
        <f t="shared" si="6"/>
        <v>-6.4469914040115039E-3</v>
      </c>
      <c r="O44" s="1121">
        <f t="shared" si="8"/>
        <v>-6.4589052929003932E-3</v>
      </c>
      <c r="P44" s="1122"/>
      <c r="R44" s="367"/>
      <c r="S44" s="367"/>
      <c r="T44" s="367"/>
      <c r="U44" s="367"/>
      <c r="V44" s="367"/>
      <c r="W44" s="367"/>
      <c r="X44" s="367"/>
      <c r="Y44" s="367"/>
      <c r="Z44" s="367"/>
      <c r="AA44" s="367"/>
      <c r="AB44" s="367"/>
    </row>
    <row r="45" spans="1:28">
      <c r="A45" s="423">
        <v>39689</v>
      </c>
      <c r="B45" s="744">
        <v>1.69</v>
      </c>
      <c r="F45" s="1121">
        <f t="shared" si="7"/>
        <v>-1.6562848971186724E-3</v>
      </c>
      <c r="G45" s="1122"/>
      <c r="H45" s="436">
        <v>40535</v>
      </c>
      <c r="I45" s="738">
        <v>1256.77</v>
      </c>
      <c r="J45" s="440">
        <f t="shared" si="5"/>
        <v>-1.6443710082297835E-3</v>
      </c>
      <c r="L45" s="436">
        <v>40535</v>
      </c>
      <c r="M45" s="738">
        <v>69.25</v>
      </c>
      <c r="N45" s="115">
        <f t="shared" si="6"/>
        <v>-1.4419610670510785E-3</v>
      </c>
      <c r="O45" s="1121">
        <f t="shared" si="8"/>
        <v>-1.4538749559399673E-3</v>
      </c>
      <c r="P45" s="1122"/>
      <c r="R45" s="367"/>
      <c r="S45" s="367"/>
      <c r="T45" s="367"/>
      <c r="U45" s="367"/>
      <c r="V45" s="367"/>
      <c r="W45" s="367"/>
      <c r="X45" s="367"/>
      <c r="Y45" s="367"/>
      <c r="Z45" s="367"/>
      <c r="AA45" s="367"/>
      <c r="AB45" s="367"/>
    </row>
    <row r="46" spans="1:28">
      <c r="A46" s="423">
        <v>39721</v>
      </c>
      <c r="B46" s="744">
        <v>0.9</v>
      </c>
      <c r="F46" s="1121">
        <f t="shared" si="7"/>
        <v>-1.1913888888888887E-5</v>
      </c>
      <c r="G46" s="1122"/>
      <c r="H46" s="436">
        <v>40536</v>
      </c>
      <c r="I46" s="738">
        <v>1256.77</v>
      </c>
      <c r="J46" s="440">
        <f t="shared" si="5"/>
        <v>0</v>
      </c>
      <c r="L46" s="436">
        <v>40536</v>
      </c>
      <c r="M46" s="738">
        <v>69.25</v>
      </c>
      <c r="N46" s="115">
        <f t="shared" si="6"/>
        <v>0</v>
      </c>
      <c r="O46" s="1121">
        <f t="shared" si="8"/>
        <v>-1.1913888888888887E-5</v>
      </c>
      <c r="P46" s="1122"/>
      <c r="R46" s="367"/>
      <c r="S46" s="367"/>
      <c r="T46" s="367"/>
      <c r="U46" s="367"/>
      <c r="V46" s="367"/>
      <c r="W46" s="367"/>
      <c r="X46" s="367"/>
      <c r="Y46" s="367"/>
      <c r="Z46" s="367"/>
      <c r="AA46" s="367"/>
      <c r="AB46" s="367"/>
    </row>
    <row r="47" spans="1:28">
      <c r="A47" s="423">
        <v>39752</v>
      </c>
      <c r="B47" s="744">
        <v>0.44</v>
      </c>
      <c r="F47" s="1121">
        <f t="shared" si="7"/>
        <v>6.0076782693806814E-4</v>
      </c>
      <c r="G47" s="1122"/>
      <c r="H47" s="436">
        <v>40539</v>
      </c>
      <c r="I47" s="738">
        <v>1257.54</v>
      </c>
      <c r="J47" s="440">
        <f t="shared" si="5"/>
        <v>6.1268171582695707E-4</v>
      </c>
      <c r="L47" s="436">
        <v>40539</v>
      </c>
      <c r="M47" s="738">
        <v>69.31</v>
      </c>
      <c r="N47" s="115">
        <f t="shared" si="6"/>
        <v>8.664259927797513E-4</v>
      </c>
      <c r="O47" s="1121">
        <f t="shared" si="8"/>
        <v>8.5451210389086236E-4</v>
      </c>
      <c r="P47" s="1122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</row>
    <row r="48" spans="1:28">
      <c r="A48" s="423">
        <v>39780</v>
      </c>
      <c r="B48" s="744">
        <v>0.01</v>
      </c>
      <c r="F48" s="1121">
        <f t="shared" si="7"/>
        <v>7.59433344598707E-4</v>
      </c>
      <c r="G48" s="1122"/>
      <c r="H48" s="436">
        <v>40540</v>
      </c>
      <c r="I48" s="738">
        <v>1258.51</v>
      </c>
      <c r="J48" s="440">
        <f t="shared" si="5"/>
        <v>7.7134723348759593E-4</v>
      </c>
      <c r="L48" s="436">
        <v>40540</v>
      </c>
      <c r="M48" s="738">
        <v>69.58</v>
      </c>
      <c r="N48" s="115">
        <f t="shared" si="6"/>
        <v>3.8955417688644189E-3</v>
      </c>
      <c r="O48" s="1121">
        <f t="shared" si="8"/>
        <v>3.8836278799755301E-3</v>
      </c>
      <c r="P48" s="1122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</row>
    <row r="49" spans="1:28">
      <c r="A49" s="423">
        <v>39813</v>
      </c>
      <c r="B49" s="744">
        <v>0.11</v>
      </c>
      <c r="F49" s="1121">
        <f t="shared" si="7"/>
        <v>9.9721595513290557E-4</v>
      </c>
      <c r="G49" s="1122"/>
      <c r="H49" s="436">
        <v>40541</v>
      </c>
      <c r="I49" s="738">
        <v>1259.78</v>
      </c>
      <c r="J49" s="440">
        <f t="shared" si="5"/>
        <v>1.0091298440217944E-3</v>
      </c>
      <c r="L49" s="436">
        <v>40541</v>
      </c>
      <c r="M49" s="738">
        <v>69.13</v>
      </c>
      <c r="N49" s="115">
        <f t="shared" ref="N49:N112" si="9">M49/M48-1</f>
        <v>-6.46737568266742E-3</v>
      </c>
      <c r="O49" s="1121">
        <f t="shared" si="8"/>
        <v>-6.4792895715563093E-3</v>
      </c>
      <c r="P49" s="1122"/>
      <c r="R49" s="367"/>
      <c r="S49" s="367"/>
      <c r="T49" s="367"/>
      <c r="U49" s="367"/>
      <c r="V49" s="367"/>
      <c r="W49" s="367"/>
      <c r="X49" s="367"/>
      <c r="Y49" s="367"/>
      <c r="Z49" s="367"/>
      <c r="AA49" s="367"/>
      <c r="AB49" s="367"/>
    </row>
    <row r="50" spans="1:28">
      <c r="A50" s="423">
        <v>39843</v>
      </c>
      <c r="B50" s="744">
        <v>0.24</v>
      </c>
      <c r="F50" s="1121">
        <f t="shared" si="7"/>
        <v>-1.5201137333060795E-3</v>
      </c>
      <c r="G50" s="1122"/>
      <c r="H50" s="436">
        <v>40542</v>
      </c>
      <c r="I50" s="738">
        <v>1257.8800000000001</v>
      </c>
      <c r="J50" s="440">
        <f t="shared" si="5"/>
        <v>-1.5081998444171907E-3</v>
      </c>
      <c r="L50" s="436">
        <v>40542</v>
      </c>
      <c r="M50" s="738">
        <v>68.69</v>
      </c>
      <c r="N50" s="115">
        <f t="shared" si="9"/>
        <v>-6.364819904527641E-3</v>
      </c>
      <c r="O50" s="1121">
        <f t="shared" si="8"/>
        <v>-6.3767337934165303E-3</v>
      </c>
      <c r="P50" s="1122"/>
      <c r="R50" s="367"/>
      <c r="S50" s="367"/>
      <c r="T50" s="367"/>
      <c r="U50" s="367"/>
      <c r="V50" s="367"/>
      <c r="W50" s="367"/>
      <c r="X50" s="367"/>
      <c r="Y50" s="367"/>
      <c r="Z50" s="367"/>
      <c r="AA50" s="367"/>
      <c r="AB50" s="367"/>
    </row>
    <row r="51" spans="1:28">
      <c r="A51" s="423">
        <v>39871</v>
      </c>
      <c r="B51" s="744">
        <v>0.26</v>
      </c>
      <c r="F51" s="1121">
        <f t="shared" si="7"/>
        <v>-2.0271110324954954E-4</v>
      </c>
      <c r="G51" s="1122"/>
      <c r="H51" s="436">
        <v>40543</v>
      </c>
      <c r="I51" s="738">
        <v>1257.6400000000001</v>
      </c>
      <c r="J51" s="440">
        <f t="shared" si="5"/>
        <v>-1.9079721436066066E-4</v>
      </c>
      <c r="L51" s="436">
        <v>40543</v>
      </c>
      <c r="M51" s="738">
        <v>69.91</v>
      </c>
      <c r="N51" s="115">
        <f t="shared" si="9"/>
        <v>1.7760955015285962E-2</v>
      </c>
      <c r="O51" s="1121">
        <f t="shared" si="8"/>
        <v>1.7749041126397073E-2</v>
      </c>
      <c r="P51" s="1122"/>
      <c r="R51" s="367"/>
      <c r="S51" s="367"/>
      <c r="T51" s="367"/>
      <c r="U51" s="367"/>
      <c r="V51" s="367"/>
      <c r="W51" s="367"/>
      <c r="X51" s="367"/>
      <c r="Y51" s="367"/>
      <c r="Z51" s="367"/>
      <c r="AA51" s="367"/>
      <c r="AB51" s="367"/>
    </row>
    <row r="52" spans="1:28">
      <c r="A52" s="423">
        <v>39903</v>
      </c>
      <c r="B52" s="744">
        <v>0.21</v>
      </c>
      <c r="F52" s="1121">
        <f t="shared" si="7"/>
        <v>1.1302929786566655E-2</v>
      </c>
      <c r="G52" s="1122"/>
      <c r="H52" s="436">
        <v>40546</v>
      </c>
      <c r="I52" s="738">
        <v>1271.8699999999999</v>
      </c>
      <c r="J52" s="440">
        <f t="shared" si="5"/>
        <v>1.1314843675455544E-2</v>
      </c>
      <c r="L52" s="436">
        <v>40546</v>
      </c>
      <c r="M52" s="738">
        <v>69.87</v>
      </c>
      <c r="N52" s="115">
        <f t="shared" si="9"/>
        <v>-5.721642111284897E-4</v>
      </c>
      <c r="O52" s="1121">
        <f t="shared" si="8"/>
        <v>-5.8407810001737863E-4</v>
      </c>
      <c r="P52" s="1122"/>
      <c r="R52" s="367"/>
      <c r="S52" s="367"/>
      <c r="T52" s="367"/>
      <c r="U52" s="367"/>
      <c r="V52" s="367"/>
      <c r="W52" s="367"/>
      <c r="X52" s="367"/>
      <c r="Y52" s="367"/>
      <c r="Z52" s="367"/>
      <c r="AA52" s="367"/>
      <c r="AB52" s="367"/>
    </row>
    <row r="53" spans="1:28">
      <c r="A53" s="423">
        <v>39933</v>
      </c>
      <c r="B53" s="744">
        <v>0.14000000000000001</v>
      </c>
      <c r="F53" s="1121">
        <f t="shared" si="7"/>
        <v>-1.3249411636888715E-3</v>
      </c>
      <c r="G53" s="1122"/>
      <c r="H53" s="436">
        <v>40547</v>
      </c>
      <c r="I53" s="738">
        <v>1270.2</v>
      </c>
      <c r="J53" s="440">
        <f t="shared" si="5"/>
        <v>-1.3130272747999827E-3</v>
      </c>
      <c r="L53" s="436">
        <v>40547</v>
      </c>
      <c r="M53" s="738">
        <v>70.31</v>
      </c>
      <c r="N53" s="115">
        <f t="shared" si="9"/>
        <v>6.2974094747387799E-3</v>
      </c>
      <c r="O53" s="1121">
        <f t="shared" si="8"/>
        <v>6.2854955858498906E-3</v>
      </c>
      <c r="P53" s="1122"/>
      <c r="R53" s="367"/>
      <c r="S53" s="367"/>
      <c r="T53" s="367"/>
      <c r="U53" s="367"/>
      <c r="V53" s="367"/>
      <c r="W53" s="367"/>
      <c r="X53" s="367"/>
      <c r="Y53" s="367"/>
      <c r="Z53" s="367"/>
      <c r="AA53" s="367"/>
      <c r="AB53" s="367"/>
    </row>
    <row r="54" spans="1:28">
      <c r="A54" s="423">
        <v>39962</v>
      </c>
      <c r="B54" s="744">
        <v>0.14000000000000001</v>
      </c>
      <c r="F54" s="1121">
        <f t="shared" si="7"/>
        <v>4.9951716094577192E-3</v>
      </c>
      <c r="G54" s="1122"/>
      <c r="H54" s="436">
        <v>40548</v>
      </c>
      <c r="I54" s="738">
        <v>1276.56</v>
      </c>
      <c r="J54" s="440">
        <f t="shared" si="5"/>
        <v>5.0070854983466084E-3</v>
      </c>
      <c r="L54" s="436">
        <v>40548</v>
      </c>
      <c r="M54" s="738">
        <v>71.92</v>
      </c>
      <c r="N54" s="115">
        <f t="shared" si="9"/>
        <v>2.2898591949936042E-2</v>
      </c>
      <c r="O54" s="1121">
        <f t="shared" si="8"/>
        <v>2.2886678061047154E-2</v>
      </c>
      <c r="P54" s="1122"/>
      <c r="R54" s="367"/>
      <c r="S54" s="367"/>
      <c r="T54" s="367"/>
      <c r="U54" s="367"/>
      <c r="V54" s="367"/>
      <c r="W54" s="367"/>
      <c r="X54" s="367"/>
      <c r="Y54" s="367"/>
      <c r="Z54" s="367"/>
      <c r="AA54" s="367"/>
      <c r="AB54" s="367"/>
    </row>
    <row r="55" spans="1:28">
      <c r="A55" s="423">
        <v>39994</v>
      </c>
      <c r="B55" s="744">
        <v>0.19</v>
      </c>
      <c r="F55" s="1121">
        <f t="shared" si="7"/>
        <v>-2.1348066632199754E-3</v>
      </c>
      <c r="G55" s="1122"/>
      <c r="H55" s="436">
        <v>40549</v>
      </c>
      <c r="I55" s="738">
        <v>1273.8499999999999</v>
      </c>
      <c r="J55" s="440">
        <f t="shared" si="5"/>
        <v>-2.1228927743310866E-3</v>
      </c>
      <c r="L55" s="436">
        <v>40549</v>
      </c>
      <c r="M55" s="738">
        <v>73.180000000000007</v>
      </c>
      <c r="N55" s="115">
        <f t="shared" si="9"/>
        <v>1.7519466073415035E-2</v>
      </c>
      <c r="O55" s="1121">
        <f t="shared" si="8"/>
        <v>1.7507552184526147E-2</v>
      </c>
      <c r="P55" s="1122"/>
      <c r="R55" s="367"/>
      <c r="S55" s="367"/>
      <c r="T55" s="367"/>
      <c r="U55" s="367"/>
      <c r="V55" s="367"/>
      <c r="W55" s="367"/>
      <c r="X55" s="367"/>
      <c r="Y55" s="367"/>
      <c r="Z55" s="367"/>
      <c r="AA55" s="367"/>
      <c r="AB55" s="367"/>
    </row>
    <row r="56" spans="1:28">
      <c r="A56" s="423">
        <v>40025</v>
      </c>
      <c r="B56" s="744">
        <v>0.18</v>
      </c>
      <c r="F56" s="1121">
        <f t="shared" si="7"/>
        <v>-1.8567150821219365E-3</v>
      </c>
      <c r="G56" s="1122"/>
      <c r="H56" s="436">
        <v>40550</v>
      </c>
      <c r="I56" s="738">
        <v>1271.5</v>
      </c>
      <c r="J56" s="440">
        <f t="shared" si="5"/>
        <v>-1.8448011932330477E-3</v>
      </c>
      <c r="L56" s="436">
        <v>40550</v>
      </c>
      <c r="M56" s="738">
        <v>73.63</v>
      </c>
      <c r="N56" s="115">
        <f t="shared" si="9"/>
        <v>6.1492210986606732E-3</v>
      </c>
      <c r="O56" s="1121">
        <f t="shared" si="8"/>
        <v>6.137307209771784E-3</v>
      </c>
      <c r="P56" s="1122"/>
      <c r="R56" s="367"/>
      <c r="S56" s="367"/>
      <c r="T56" s="367"/>
      <c r="U56" s="367"/>
      <c r="V56" s="367"/>
      <c r="W56" s="367"/>
      <c r="X56" s="367"/>
      <c r="Y56" s="367"/>
      <c r="Z56" s="367"/>
      <c r="AA56" s="367"/>
      <c r="AB56" s="367"/>
    </row>
    <row r="57" spans="1:28">
      <c r="A57" s="423">
        <v>40056</v>
      </c>
      <c r="B57" s="744">
        <v>0.15</v>
      </c>
      <c r="F57" s="1121">
        <f t="shared" si="7"/>
        <v>-1.3882410615195869E-3</v>
      </c>
      <c r="G57" s="1122"/>
      <c r="H57" s="436">
        <v>40553</v>
      </c>
      <c r="I57" s="738">
        <v>1269.75</v>
      </c>
      <c r="J57" s="440">
        <f t="shared" si="5"/>
        <v>-1.376327172630698E-3</v>
      </c>
      <c r="L57" s="436">
        <v>40553</v>
      </c>
      <c r="M57" s="738">
        <v>73.59</v>
      </c>
      <c r="N57" s="115">
        <f t="shared" si="9"/>
        <v>-5.4325682466371816E-4</v>
      </c>
      <c r="O57" s="1121">
        <f t="shared" si="8"/>
        <v>-5.551707135526071E-4</v>
      </c>
      <c r="P57" s="1122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</row>
    <row r="58" spans="1:28">
      <c r="A58" s="423">
        <v>40086</v>
      </c>
      <c r="B58" s="744">
        <v>0.14000000000000001</v>
      </c>
      <c r="F58" s="1121">
        <f t="shared" si="7"/>
        <v>3.7132288557458685E-3</v>
      </c>
      <c r="G58" s="1122"/>
      <c r="H58" s="436">
        <v>40554</v>
      </c>
      <c r="I58" s="738">
        <v>1274.48</v>
      </c>
      <c r="J58" s="440">
        <f t="shared" si="5"/>
        <v>3.7251427446347574E-3</v>
      </c>
      <c r="L58" s="436">
        <v>40554</v>
      </c>
      <c r="M58" s="738">
        <v>73.650000000000006</v>
      </c>
      <c r="N58" s="115">
        <f t="shared" si="9"/>
        <v>8.1532816958818088E-4</v>
      </c>
      <c r="O58" s="1121">
        <f t="shared" si="8"/>
        <v>8.0341428069929195E-4</v>
      </c>
      <c r="P58" s="1122"/>
      <c r="R58" s="367"/>
      <c r="S58" s="367"/>
      <c r="T58" s="367"/>
      <c r="U58" s="367"/>
      <c r="V58" s="367"/>
      <c r="W58" s="367"/>
      <c r="X58" s="367"/>
      <c r="Y58" s="367"/>
      <c r="Z58" s="367"/>
      <c r="AA58" s="367"/>
      <c r="AB58" s="367"/>
    </row>
    <row r="59" spans="1:28">
      <c r="A59" s="423">
        <v>40116</v>
      </c>
      <c r="B59" s="744">
        <v>0.05</v>
      </c>
      <c r="F59" s="1121">
        <f t="shared" si="7"/>
        <v>8.9956813656463172E-3</v>
      </c>
      <c r="G59" s="1122"/>
      <c r="H59" s="436">
        <v>40555</v>
      </c>
      <c r="I59" s="738">
        <v>1285.96</v>
      </c>
      <c r="J59" s="440">
        <f t="shared" si="5"/>
        <v>9.0075952545352056E-3</v>
      </c>
      <c r="L59" s="436">
        <v>40555</v>
      </c>
      <c r="M59" s="738">
        <v>74.239999999999995</v>
      </c>
      <c r="N59" s="115">
        <f t="shared" si="9"/>
        <v>8.0108621860148777E-3</v>
      </c>
      <c r="O59" s="1121">
        <f t="shared" si="8"/>
        <v>7.9989482971259893E-3</v>
      </c>
      <c r="P59" s="1122"/>
      <c r="R59" s="367"/>
      <c r="S59" s="367"/>
      <c r="T59" s="367"/>
      <c r="U59" s="367"/>
      <c r="V59" s="367"/>
      <c r="W59" s="367"/>
      <c r="X59" s="367"/>
      <c r="Y59" s="367"/>
      <c r="Z59" s="367"/>
      <c r="AA59" s="367"/>
      <c r="AB59" s="367"/>
    </row>
    <row r="60" spans="1:28">
      <c r="A60" s="423">
        <v>40147</v>
      </c>
      <c r="B60" s="744">
        <v>0.06</v>
      </c>
      <c r="F60" s="1121">
        <f t="shared" si="7"/>
        <v>-1.7226980501381457E-3</v>
      </c>
      <c r="G60" s="1122"/>
      <c r="H60" s="436">
        <v>40556</v>
      </c>
      <c r="I60" s="738">
        <v>1283.76</v>
      </c>
      <c r="J60" s="440">
        <f t="shared" si="5"/>
        <v>-1.7107841612492569E-3</v>
      </c>
      <c r="L60" s="436">
        <v>40556</v>
      </c>
      <c r="M60" s="738">
        <v>73.84</v>
      </c>
      <c r="N60" s="115">
        <f t="shared" si="9"/>
        <v>-5.3879310344826514E-3</v>
      </c>
      <c r="O60" s="1121">
        <f t="shared" si="8"/>
        <v>-5.3998449233715407E-3</v>
      </c>
      <c r="P60" s="1122"/>
      <c r="R60" s="367"/>
      <c r="S60" s="367"/>
      <c r="T60" s="367"/>
      <c r="U60" s="367"/>
      <c r="V60" s="367"/>
      <c r="W60" s="367"/>
      <c r="X60" s="367"/>
      <c r="Y60" s="367"/>
      <c r="Z60" s="367"/>
      <c r="AA60" s="367"/>
      <c r="AB60" s="367"/>
    </row>
    <row r="61" spans="1:28">
      <c r="A61" s="423">
        <v>40178</v>
      </c>
      <c r="B61" s="744">
        <v>0.06</v>
      </c>
      <c r="F61" s="1121">
        <f t="shared" si="7"/>
        <v>7.3726439723936698E-3</v>
      </c>
      <c r="G61" s="1122"/>
      <c r="H61" s="436">
        <v>40557</v>
      </c>
      <c r="I61" s="738">
        <v>1293.24</v>
      </c>
      <c r="J61" s="440">
        <f t="shared" si="5"/>
        <v>7.3845578612825591E-3</v>
      </c>
      <c r="L61" s="436">
        <v>40557</v>
      </c>
      <c r="M61" s="738">
        <v>74.5</v>
      </c>
      <c r="N61" s="115">
        <f t="shared" si="9"/>
        <v>8.9382448537378423E-3</v>
      </c>
      <c r="O61" s="1121">
        <f t="shared" si="8"/>
        <v>8.9263309648489539E-3</v>
      </c>
      <c r="P61" s="1122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</row>
    <row r="62" spans="1:28">
      <c r="A62" s="423">
        <v>40207</v>
      </c>
      <c r="B62" s="744">
        <v>0.08</v>
      </c>
      <c r="F62" s="1121">
        <f t="shared" si="7"/>
        <v>-1.1913888888888887E-5</v>
      </c>
      <c r="G62" s="1122"/>
      <c r="H62" s="436">
        <v>40560</v>
      </c>
      <c r="I62" s="738">
        <v>1293.24</v>
      </c>
      <c r="J62" s="440">
        <f t="shared" si="5"/>
        <v>0</v>
      </c>
      <c r="L62" s="436">
        <v>40560</v>
      </c>
      <c r="M62" s="738">
        <v>74.5</v>
      </c>
      <c r="N62" s="115">
        <f t="shared" si="9"/>
        <v>0</v>
      </c>
      <c r="O62" s="1121">
        <f t="shared" si="8"/>
        <v>-1.1913888888888887E-5</v>
      </c>
      <c r="P62" s="1122"/>
      <c r="R62" s="367"/>
      <c r="S62" s="367"/>
      <c r="T62" s="367"/>
      <c r="U62" s="367"/>
      <c r="V62" s="367"/>
      <c r="W62" s="367"/>
      <c r="X62" s="367"/>
      <c r="Y62" s="367"/>
      <c r="Z62" s="367"/>
      <c r="AA62" s="367"/>
      <c r="AB62" s="367"/>
    </row>
    <row r="63" spans="1:28">
      <c r="A63" s="423">
        <v>40235</v>
      </c>
      <c r="B63" s="744">
        <v>0.13</v>
      </c>
      <c r="F63" s="1121">
        <f t="shared" si="7"/>
        <v>1.3644740978729845E-3</v>
      </c>
      <c r="G63" s="1122"/>
      <c r="H63" s="436">
        <v>40561</v>
      </c>
      <c r="I63" s="738">
        <v>1295.02</v>
      </c>
      <c r="J63" s="440">
        <f t="shared" si="5"/>
        <v>1.3763879867618733E-3</v>
      </c>
      <c r="L63" s="436">
        <v>40561</v>
      </c>
      <c r="M63" s="738">
        <v>76.540000000000006</v>
      </c>
      <c r="N63" s="115">
        <f t="shared" si="9"/>
        <v>2.7382550335570466E-2</v>
      </c>
      <c r="O63" s="1121">
        <f t="shared" si="8"/>
        <v>2.7370636446681577E-2</v>
      </c>
      <c r="P63" s="1122"/>
    </row>
    <row r="64" spans="1:28">
      <c r="A64" s="423">
        <v>40268</v>
      </c>
      <c r="B64" s="744">
        <v>0.16</v>
      </c>
      <c r="F64" s="1121">
        <f t="shared" si="7"/>
        <v>-1.01275877780952E-2</v>
      </c>
      <c r="G64" s="1122"/>
      <c r="H64" s="436">
        <v>40562</v>
      </c>
      <c r="I64" s="738">
        <v>1281.92</v>
      </c>
      <c r="J64" s="440">
        <f t="shared" si="5"/>
        <v>-1.0115673889206311E-2</v>
      </c>
      <c r="L64" s="436">
        <v>40562</v>
      </c>
      <c r="M64" s="738">
        <v>77.66</v>
      </c>
      <c r="N64" s="115">
        <f t="shared" si="9"/>
        <v>1.4632871701071304E-2</v>
      </c>
      <c r="O64" s="1121">
        <f t="shared" si="8"/>
        <v>1.4620957812182415E-2</v>
      </c>
      <c r="P64" s="1122"/>
    </row>
    <row r="65" spans="1:16">
      <c r="A65" s="423">
        <v>40298</v>
      </c>
      <c r="B65" s="744">
        <v>0.16</v>
      </c>
      <c r="F65" s="1121">
        <f t="shared" si="7"/>
        <v>-1.306846489987253E-3</v>
      </c>
      <c r="G65" s="1122"/>
      <c r="H65" s="436">
        <v>40563</v>
      </c>
      <c r="I65" s="738">
        <v>1280.26</v>
      </c>
      <c r="J65" s="440">
        <f t="shared" si="5"/>
        <v>-1.2949326010983642E-3</v>
      </c>
      <c r="L65" s="436">
        <v>40563</v>
      </c>
      <c r="M65" s="738">
        <v>79.319999999999993</v>
      </c>
      <c r="N65" s="115">
        <f t="shared" si="9"/>
        <v>2.137522534123093E-2</v>
      </c>
      <c r="O65" s="1121">
        <f t="shared" si="8"/>
        <v>2.1363311452342042E-2</v>
      </c>
      <c r="P65" s="1122"/>
    </row>
    <row r="66" spans="1:16">
      <c r="A66" s="423">
        <v>40329</v>
      </c>
      <c r="B66" s="744">
        <v>0.16</v>
      </c>
      <c r="F66" s="1121">
        <f t="shared" si="7"/>
        <v>2.4016583542490959E-3</v>
      </c>
      <c r="G66" s="1122"/>
      <c r="H66" s="436">
        <v>40564</v>
      </c>
      <c r="I66" s="738">
        <v>1283.3499999999999</v>
      </c>
      <c r="J66" s="440">
        <f t="shared" si="5"/>
        <v>2.4135722431379847E-3</v>
      </c>
      <c r="L66" s="436">
        <v>40564</v>
      </c>
      <c r="M66" s="738">
        <v>79.22</v>
      </c>
      <c r="N66" s="115">
        <f t="shared" si="9"/>
        <v>-1.2607160867371681E-3</v>
      </c>
      <c r="O66" s="1121">
        <f t="shared" si="8"/>
        <v>-1.2726299756260569E-3</v>
      </c>
      <c r="P66" s="1122"/>
    </row>
    <row r="67" spans="1:16">
      <c r="A67" s="423">
        <v>40359</v>
      </c>
      <c r="B67" s="744">
        <v>0.18</v>
      </c>
      <c r="F67" s="1121">
        <f t="shared" si="7"/>
        <v>5.8243739515287862E-3</v>
      </c>
      <c r="G67" s="1122"/>
      <c r="H67" s="436">
        <v>40567</v>
      </c>
      <c r="I67" s="738">
        <v>1290.8399999999999</v>
      </c>
      <c r="J67" s="440">
        <f t="shared" si="5"/>
        <v>5.8362878404176755E-3</v>
      </c>
      <c r="L67" s="436">
        <v>40567</v>
      </c>
      <c r="M67" s="738">
        <v>78.03</v>
      </c>
      <c r="N67" s="115">
        <f t="shared" si="9"/>
        <v>-1.5021459227467782E-2</v>
      </c>
      <c r="O67" s="1121">
        <f t="shared" si="8"/>
        <v>-1.503337311635667E-2</v>
      </c>
      <c r="P67" s="1122"/>
    </row>
    <row r="68" spans="1:16">
      <c r="A68" s="423">
        <v>40389</v>
      </c>
      <c r="B68" s="744">
        <v>0.15</v>
      </c>
      <c r="F68" s="1121">
        <f t="shared" si="7"/>
        <v>2.5148048996525375E-4</v>
      </c>
      <c r="G68" s="1122"/>
      <c r="H68" s="436">
        <v>40568</v>
      </c>
      <c r="I68" s="738">
        <v>1291.18</v>
      </c>
      <c r="J68" s="440">
        <f t="shared" si="5"/>
        <v>2.6339437885414263E-4</v>
      </c>
      <c r="L68" s="436">
        <v>40568</v>
      </c>
      <c r="M68" s="738">
        <v>79.069999999999993</v>
      </c>
      <c r="N68" s="115">
        <f t="shared" si="9"/>
        <v>1.3328207099833289E-2</v>
      </c>
      <c r="O68" s="1121">
        <f t="shared" si="8"/>
        <v>1.3316293210944401E-2</v>
      </c>
      <c r="P68" s="1122"/>
    </row>
    <row r="69" spans="1:16">
      <c r="A69" s="423">
        <v>40421</v>
      </c>
      <c r="B69" s="744">
        <v>0.14000000000000001</v>
      </c>
      <c r="F69" s="1121">
        <f t="shared" si="7"/>
        <v>4.2090312930377271E-3</v>
      </c>
      <c r="G69" s="1122"/>
      <c r="H69" s="436">
        <v>40569</v>
      </c>
      <c r="I69" s="738">
        <v>1296.6300000000001</v>
      </c>
      <c r="J69" s="440">
        <f t="shared" si="5"/>
        <v>4.2209451819266164E-3</v>
      </c>
      <c r="L69" s="436">
        <v>40569</v>
      </c>
      <c r="M69" s="738">
        <v>78.39</v>
      </c>
      <c r="N69" s="115">
        <f t="shared" si="9"/>
        <v>-8.5999747059566367E-3</v>
      </c>
      <c r="O69" s="1121">
        <f t="shared" si="8"/>
        <v>-8.6118885948455251E-3</v>
      </c>
      <c r="P69" s="1122"/>
    </row>
    <row r="70" spans="1:16">
      <c r="A70" s="423">
        <v>40451</v>
      </c>
      <c r="B70" s="744">
        <v>0.16</v>
      </c>
      <c r="F70" s="1121">
        <f t="shared" si="7"/>
        <v>2.2323655123280754E-3</v>
      </c>
      <c r="G70" s="1122"/>
      <c r="H70" s="436">
        <v>40570</v>
      </c>
      <c r="I70" s="738">
        <v>1299.54</v>
      </c>
      <c r="J70" s="440">
        <f t="shared" si="5"/>
        <v>2.2442794012169642E-3</v>
      </c>
      <c r="L70" s="436">
        <v>40570</v>
      </c>
      <c r="M70" s="738">
        <v>79.099999999999994</v>
      </c>
      <c r="N70" s="115">
        <f t="shared" si="9"/>
        <v>9.0572777139941163E-3</v>
      </c>
      <c r="O70" s="1121">
        <f t="shared" si="8"/>
        <v>9.0453638251052279E-3</v>
      </c>
      <c r="P70" s="1122"/>
    </row>
    <row r="71" spans="1:16">
      <c r="A71" s="423">
        <v>40480</v>
      </c>
      <c r="B71" s="744">
        <v>0.12</v>
      </c>
      <c r="F71" s="1121">
        <f t="shared" si="7"/>
        <v>-1.78643847631983E-2</v>
      </c>
      <c r="G71" s="1122"/>
      <c r="H71" s="436">
        <v>40571</v>
      </c>
      <c r="I71" s="738">
        <v>1276.3399999999999</v>
      </c>
      <c r="J71" s="440">
        <f t="shared" si="5"/>
        <v>-1.7852470874309412E-2</v>
      </c>
      <c r="L71" s="436">
        <v>40571</v>
      </c>
      <c r="M71" s="738">
        <v>78.2</v>
      </c>
      <c r="N71" s="115">
        <f t="shared" si="9"/>
        <v>-1.1378002528444897E-2</v>
      </c>
      <c r="O71" s="1121">
        <f t="shared" si="8"/>
        <v>-1.1389916417333786E-2</v>
      </c>
      <c r="P71" s="1122"/>
    </row>
    <row r="72" spans="1:16">
      <c r="A72" s="423">
        <v>40512</v>
      </c>
      <c r="B72" s="744">
        <v>0.17</v>
      </c>
      <c r="F72" s="1121">
        <f t="shared" si="7"/>
        <v>7.6506211723016337E-3</v>
      </c>
      <c r="G72" s="1122"/>
      <c r="H72" s="436">
        <v>40574</v>
      </c>
      <c r="I72" s="738">
        <v>1286.1199999999999</v>
      </c>
      <c r="J72" s="440">
        <f t="shared" si="5"/>
        <v>7.662535061190523E-3</v>
      </c>
      <c r="L72" s="436">
        <v>40574</v>
      </c>
      <c r="M72" s="738">
        <v>79.599999999999994</v>
      </c>
      <c r="N72" s="115">
        <f t="shared" si="9"/>
        <v>1.7902813299232712E-2</v>
      </c>
      <c r="O72" s="1121">
        <f t="shared" si="8"/>
        <v>1.7890899410343823E-2</v>
      </c>
      <c r="P72" s="1122"/>
    </row>
    <row r="73" spans="1:16">
      <c r="A73" s="423">
        <v>40543</v>
      </c>
      <c r="B73" s="744">
        <v>0.12</v>
      </c>
      <c r="F73" s="1121">
        <f t="shared" si="7"/>
        <v>1.668170723511208E-2</v>
      </c>
      <c r="G73" s="1122"/>
      <c r="H73" s="436">
        <v>40575</v>
      </c>
      <c r="I73" s="738">
        <v>1307.5899999999999</v>
      </c>
      <c r="J73" s="440">
        <f t="shared" si="5"/>
        <v>1.6693621124000968E-2</v>
      </c>
      <c r="L73" s="436">
        <v>40575</v>
      </c>
      <c r="M73" s="738">
        <v>80.59</v>
      </c>
      <c r="N73" s="115">
        <f t="shared" si="9"/>
        <v>1.2437185929648376E-2</v>
      </c>
      <c r="O73" s="1121">
        <f t="shared" si="8"/>
        <v>1.2425272040759487E-2</v>
      </c>
      <c r="P73" s="1122"/>
    </row>
    <row r="74" spans="1:16">
      <c r="A74" s="423">
        <v>40574</v>
      </c>
      <c r="B74" s="744">
        <v>0.15</v>
      </c>
      <c r="F74" s="1121">
        <f t="shared" si="7"/>
        <v>-2.7344798308125491E-3</v>
      </c>
      <c r="G74" s="1122"/>
      <c r="H74" s="436">
        <v>40576</v>
      </c>
      <c r="I74" s="738">
        <v>1304.03</v>
      </c>
      <c r="J74" s="440">
        <f t="shared" si="5"/>
        <v>-2.7225659419236603E-3</v>
      </c>
      <c r="L74" s="436">
        <v>40576</v>
      </c>
      <c r="M74" s="738">
        <v>81.069999999999993</v>
      </c>
      <c r="N74" s="115">
        <f t="shared" si="9"/>
        <v>5.9560739545847508E-3</v>
      </c>
      <c r="O74" s="1121">
        <f t="shared" si="8"/>
        <v>5.9441600656958615E-3</v>
      </c>
      <c r="P74" s="1122"/>
    </row>
    <row r="75" spans="1:16">
      <c r="A75" s="423">
        <v>40602</v>
      </c>
      <c r="B75" s="744">
        <v>0.15</v>
      </c>
      <c r="F75" s="1121">
        <f t="shared" si="7"/>
        <v>2.342326427668177E-3</v>
      </c>
      <c r="G75" s="1122"/>
      <c r="H75" s="436">
        <v>40577</v>
      </c>
      <c r="I75" s="738">
        <v>1307.0999999999999</v>
      </c>
      <c r="J75" s="440">
        <f t="shared" si="5"/>
        <v>2.3542403165570658E-3</v>
      </c>
      <c r="L75" s="436">
        <v>40577</v>
      </c>
      <c r="M75" s="738">
        <v>80.72</v>
      </c>
      <c r="N75" s="115">
        <f t="shared" si="9"/>
        <v>-4.3172566917477617E-3</v>
      </c>
      <c r="O75" s="1121">
        <f t="shared" si="8"/>
        <v>-4.329170580636651E-3</v>
      </c>
      <c r="P75" s="1122"/>
    </row>
    <row r="76" spans="1:16">
      <c r="A76" s="423">
        <v>40633</v>
      </c>
      <c r="B76" s="744">
        <v>0.09</v>
      </c>
      <c r="F76" s="1121">
        <f t="shared" si="7"/>
        <v>2.8723336820696203E-3</v>
      </c>
      <c r="G76" s="1122"/>
      <c r="H76" s="436">
        <v>40578</v>
      </c>
      <c r="I76" s="738">
        <v>1310.87</v>
      </c>
      <c r="J76" s="440">
        <f t="shared" si="5"/>
        <v>2.8842475709585091E-3</v>
      </c>
      <c r="L76" s="436">
        <v>40578</v>
      </c>
      <c r="M76" s="738">
        <v>80.709999999999994</v>
      </c>
      <c r="N76" s="115">
        <f t="shared" si="9"/>
        <v>-1.2388503468785395E-4</v>
      </c>
      <c r="O76" s="1121">
        <f t="shared" si="8"/>
        <v>-1.3579892357674282E-4</v>
      </c>
      <c r="P76" s="1122"/>
    </row>
    <row r="77" spans="1:16">
      <c r="A77" s="423">
        <v>40662</v>
      </c>
      <c r="B77" s="744">
        <v>0.04</v>
      </c>
      <c r="F77" s="1121">
        <f t="shared" si="7"/>
        <v>6.2282167113994957E-3</v>
      </c>
      <c r="G77" s="1122"/>
      <c r="H77" s="436">
        <v>40581</v>
      </c>
      <c r="I77" s="738">
        <v>1319.05</v>
      </c>
      <c r="J77" s="440">
        <f t="shared" si="5"/>
        <v>6.240130600288385E-3</v>
      </c>
      <c r="L77" s="436">
        <v>40581</v>
      </c>
      <c r="M77" s="738">
        <v>81.52</v>
      </c>
      <c r="N77" s="115">
        <f t="shared" si="9"/>
        <v>1.0035931111386454E-2</v>
      </c>
      <c r="O77" s="1121">
        <f t="shared" si="8"/>
        <v>1.0024017222497565E-2</v>
      </c>
      <c r="P77" s="1122"/>
    </row>
    <row r="78" spans="1:16">
      <c r="A78" s="423">
        <v>40694</v>
      </c>
      <c r="B78" s="744">
        <v>0.06</v>
      </c>
      <c r="F78" s="1121">
        <f t="shared" si="7"/>
        <v>4.1729161023927796E-3</v>
      </c>
      <c r="G78" s="1122"/>
      <c r="H78" s="436">
        <v>40582</v>
      </c>
      <c r="I78" s="738">
        <v>1324.57</v>
      </c>
      <c r="J78" s="440">
        <f t="shared" si="5"/>
        <v>4.1848299912816689E-3</v>
      </c>
      <c r="L78" s="436">
        <v>40582</v>
      </c>
      <c r="M78" s="738">
        <v>81.400000000000006</v>
      </c>
      <c r="N78" s="115">
        <f t="shared" si="9"/>
        <v>-1.4720314033365156E-3</v>
      </c>
      <c r="O78" s="1121">
        <f t="shared" si="8"/>
        <v>-1.4839452922254044E-3</v>
      </c>
      <c r="P78" s="1122"/>
    </row>
    <row r="79" spans="1:16">
      <c r="A79" s="423">
        <v>40724</v>
      </c>
      <c r="B79" s="744">
        <v>0.03</v>
      </c>
      <c r="F79" s="1121">
        <f t="shared" si="7"/>
        <v>-2.7977236233686161E-3</v>
      </c>
      <c r="G79" s="1122"/>
      <c r="H79" s="436">
        <v>40583</v>
      </c>
      <c r="I79" s="738">
        <v>1320.88</v>
      </c>
      <c r="J79" s="440">
        <f t="shared" si="5"/>
        <v>-2.7858097344797272E-3</v>
      </c>
      <c r="L79" s="436">
        <v>40583</v>
      </c>
      <c r="M79" s="738">
        <v>82.27</v>
      </c>
      <c r="N79" s="115">
        <f t="shared" si="9"/>
        <v>1.0687960687960629E-2</v>
      </c>
      <c r="O79" s="1121">
        <f t="shared" si="8"/>
        <v>1.0676046799071741E-2</v>
      </c>
      <c r="P79" s="1122"/>
    </row>
    <row r="80" spans="1:16">
      <c r="A80" s="423">
        <v>40753</v>
      </c>
      <c r="B80" s="744">
        <v>0.1</v>
      </c>
      <c r="F80" s="1121">
        <f t="shared" si="7"/>
        <v>7.3758644422216386E-4</v>
      </c>
      <c r="G80" s="1122"/>
      <c r="H80" s="436">
        <v>40584</v>
      </c>
      <c r="I80" s="738">
        <v>1321.87</v>
      </c>
      <c r="J80" s="440">
        <f t="shared" si="5"/>
        <v>7.495003331110528E-4</v>
      </c>
      <c r="L80" s="436">
        <v>40584</v>
      </c>
      <c r="M80" s="738">
        <v>81.89</v>
      </c>
      <c r="N80" s="115">
        <f t="shared" si="9"/>
        <v>-4.6189376443417363E-3</v>
      </c>
      <c r="O80" s="1121">
        <f t="shared" si="8"/>
        <v>-4.6308515332306255E-3</v>
      </c>
      <c r="P80" s="1122"/>
    </row>
    <row r="81" spans="1:16">
      <c r="A81" s="423">
        <v>40786</v>
      </c>
      <c r="B81" s="744">
        <v>0.02</v>
      </c>
      <c r="F81" s="1121">
        <f t="shared" si="7"/>
        <v>5.4954355478941041E-3</v>
      </c>
      <c r="G81" s="1122"/>
      <c r="H81" s="436">
        <v>40585</v>
      </c>
      <c r="I81" s="738">
        <v>1329.15</v>
      </c>
      <c r="J81" s="440">
        <f t="shared" si="5"/>
        <v>5.5073494367829934E-3</v>
      </c>
      <c r="L81" s="436">
        <v>40585</v>
      </c>
      <c r="M81" s="738">
        <v>81.69</v>
      </c>
      <c r="N81" s="115">
        <f t="shared" si="9"/>
        <v>-2.4423006472097386E-3</v>
      </c>
      <c r="O81" s="1121">
        <f t="shared" si="8"/>
        <v>-2.4542145360986274E-3</v>
      </c>
      <c r="P81" s="1122"/>
    </row>
    <row r="82" spans="1:16">
      <c r="A82" s="423">
        <v>40816</v>
      </c>
      <c r="B82" s="744">
        <v>0.02</v>
      </c>
      <c r="F82" s="1121">
        <f t="shared" si="7"/>
        <v>2.3730689949089593E-3</v>
      </c>
      <c r="G82" s="1122"/>
      <c r="H82" s="436">
        <v>40588</v>
      </c>
      <c r="I82" s="738">
        <v>1332.32</v>
      </c>
      <c r="J82" s="440">
        <f t="shared" si="5"/>
        <v>2.3849828837978482E-3</v>
      </c>
      <c r="L82" s="436">
        <v>40588</v>
      </c>
      <c r="M82" s="738">
        <v>80.92</v>
      </c>
      <c r="N82" s="115">
        <f t="shared" si="9"/>
        <v>-9.425878320479808E-3</v>
      </c>
      <c r="O82" s="1121">
        <f t="shared" si="8"/>
        <v>-9.4377922093686964E-3</v>
      </c>
      <c r="P82" s="1122"/>
    </row>
    <row r="83" spans="1:16">
      <c r="A83" s="423">
        <v>40847</v>
      </c>
      <c r="B83" s="744">
        <v>0.01</v>
      </c>
      <c r="F83" s="1121">
        <f t="shared" si="7"/>
        <v>-3.2468724574009696E-3</v>
      </c>
      <c r="G83" s="1122"/>
      <c r="H83" s="436">
        <v>40589</v>
      </c>
      <c r="I83" s="738">
        <v>1328.01</v>
      </c>
      <c r="J83" s="440">
        <f t="shared" si="5"/>
        <v>-3.2349585685120807E-3</v>
      </c>
      <c r="L83" s="436">
        <v>40589</v>
      </c>
      <c r="M83" s="738">
        <v>81.48</v>
      </c>
      <c r="N83" s="115">
        <f t="shared" si="9"/>
        <v>6.9204152249136008E-3</v>
      </c>
      <c r="O83" s="1121">
        <f t="shared" si="8"/>
        <v>6.9085013360247116E-3</v>
      </c>
      <c r="P83" s="1122"/>
    </row>
    <row r="84" spans="1:16">
      <c r="A84" s="423">
        <v>40877</v>
      </c>
      <c r="B84" s="744">
        <v>0.01</v>
      </c>
      <c r="F84" s="1121">
        <f t="shared" si="7"/>
        <v>6.2455691119921363E-3</v>
      </c>
      <c r="G84" s="1122"/>
      <c r="H84" s="436">
        <v>40590</v>
      </c>
      <c r="I84" s="738">
        <v>1336.32</v>
      </c>
      <c r="J84" s="440">
        <f t="shared" si="5"/>
        <v>6.2574830008810256E-3</v>
      </c>
      <c r="L84" s="436">
        <v>40590</v>
      </c>
      <c r="M84" s="738">
        <v>81.28</v>
      </c>
      <c r="N84" s="115">
        <f t="shared" si="9"/>
        <v>-2.4545900834560541E-3</v>
      </c>
      <c r="O84" s="1121">
        <f t="shared" si="8"/>
        <v>-2.4665039723449429E-3</v>
      </c>
      <c r="P84" s="1122"/>
    </row>
    <row r="85" spans="1:16">
      <c r="A85" s="423">
        <v>40907</v>
      </c>
      <c r="B85" s="744">
        <v>0.02</v>
      </c>
      <c r="F85" s="1121">
        <f t="shared" si="7"/>
        <v>3.0636967432952004E-3</v>
      </c>
      <c r="G85" s="1122"/>
      <c r="H85" s="436">
        <v>40591</v>
      </c>
      <c r="I85" s="738">
        <v>1340.43</v>
      </c>
      <c r="J85" s="440">
        <f t="shared" si="5"/>
        <v>3.0756106321840893E-3</v>
      </c>
      <c r="L85" s="436">
        <v>40591</v>
      </c>
      <c r="M85" s="738">
        <v>81.900000000000006</v>
      </c>
      <c r="N85" s="115">
        <f t="shared" si="9"/>
        <v>7.6279527559055538E-3</v>
      </c>
      <c r="O85" s="1121">
        <f t="shared" si="8"/>
        <v>7.6160388670166645E-3</v>
      </c>
      <c r="P85" s="1122"/>
    </row>
    <row r="86" spans="1:16">
      <c r="A86" s="423">
        <v>40939</v>
      </c>
      <c r="B86" s="744">
        <v>0.06</v>
      </c>
      <c r="F86" s="1121">
        <f t="shared" si="7"/>
        <v>1.912841600021246E-3</v>
      </c>
      <c r="G86" s="1122"/>
      <c r="H86" s="436">
        <v>40592</v>
      </c>
      <c r="I86" s="738">
        <v>1343.01</v>
      </c>
      <c r="J86" s="440">
        <f t="shared" si="5"/>
        <v>1.9247554889101348E-3</v>
      </c>
      <c r="L86" s="436">
        <v>40592</v>
      </c>
      <c r="M86" s="738">
        <v>81.81</v>
      </c>
      <c r="N86" s="115">
        <f t="shared" si="9"/>
        <v>-1.098901098901095E-3</v>
      </c>
      <c r="O86" s="1121">
        <f t="shared" si="8"/>
        <v>-1.1108149877899838E-3</v>
      </c>
      <c r="P86" s="1122"/>
    </row>
    <row r="87" spans="1:16">
      <c r="A87" s="423">
        <v>40968</v>
      </c>
      <c r="B87" s="744">
        <v>0.08</v>
      </c>
      <c r="F87" s="1121">
        <f t="shared" si="7"/>
        <v>-1.1913888888888887E-5</v>
      </c>
      <c r="G87" s="1122"/>
      <c r="H87" s="436">
        <v>40595</v>
      </c>
      <c r="I87" s="738">
        <v>1343.01</v>
      </c>
      <c r="J87" s="440">
        <f t="shared" si="5"/>
        <v>0</v>
      </c>
      <c r="L87" s="436">
        <v>40595</v>
      </c>
      <c r="M87" s="738">
        <v>81.81</v>
      </c>
      <c r="N87" s="115">
        <f t="shared" si="9"/>
        <v>0</v>
      </c>
      <c r="O87" s="1121">
        <f t="shared" si="8"/>
        <v>-1.1913888888888887E-5</v>
      </c>
      <c r="P87" s="1122"/>
    </row>
    <row r="88" spans="1:16">
      <c r="A88" s="423">
        <v>40998</v>
      </c>
      <c r="B88" s="744">
        <v>7.0000000000000007E-2</v>
      </c>
      <c r="F88" s="1121">
        <f t="shared" si="7"/>
        <v>-2.0540428196302758E-2</v>
      </c>
      <c r="G88" s="1122"/>
      <c r="H88" s="436">
        <v>40596</v>
      </c>
      <c r="I88" s="738">
        <v>1315.44</v>
      </c>
      <c r="J88" s="440">
        <f t="shared" si="5"/>
        <v>-2.052851430741387E-2</v>
      </c>
      <c r="L88" s="436">
        <v>40596</v>
      </c>
      <c r="M88" s="738">
        <v>80.180000000000007</v>
      </c>
      <c r="N88" s="115">
        <f t="shared" si="9"/>
        <v>-1.9924214643686544E-2</v>
      </c>
      <c r="O88" s="1121">
        <f t="shared" si="8"/>
        <v>-1.9936128532575433E-2</v>
      </c>
      <c r="P88" s="1122"/>
    </row>
    <row r="89" spans="1:16">
      <c r="A89" s="423">
        <v>41029</v>
      </c>
      <c r="B89" s="744">
        <v>0.1</v>
      </c>
      <c r="F89" s="1121">
        <f t="shared" si="7"/>
        <v>-6.1239372422915517E-3</v>
      </c>
      <c r="G89" s="1122"/>
      <c r="H89" s="436">
        <v>40597</v>
      </c>
      <c r="I89" s="738">
        <v>1307.4000000000001</v>
      </c>
      <c r="J89" s="440">
        <f t="shared" si="5"/>
        <v>-6.1120233534026625E-3</v>
      </c>
      <c r="L89" s="436">
        <v>40597</v>
      </c>
      <c r="M89" s="738">
        <v>80.14</v>
      </c>
      <c r="N89" s="115">
        <f t="shared" si="9"/>
        <v>-4.9887752556754261E-4</v>
      </c>
      <c r="O89" s="1121">
        <f t="shared" si="8"/>
        <v>-5.1079141445643155E-4</v>
      </c>
      <c r="P89" s="1122"/>
    </row>
    <row r="90" spans="1:16">
      <c r="A90" s="423">
        <v>41060</v>
      </c>
      <c r="B90" s="744">
        <v>7.0000000000000007E-2</v>
      </c>
      <c r="F90" s="1121">
        <f t="shared" si="7"/>
        <v>-1.0062538001632888E-3</v>
      </c>
      <c r="G90" s="1122"/>
      <c r="H90" s="436">
        <v>40598</v>
      </c>
      <c r="I90" s="738">
        <v>1306.0999999999999</v>
      </c>
      <c r="J90" s="440">
        <f t="shared" si="5"/>
        <v>-9.9433991127440002E-4</v>
      </c>
      <c r="L90" s="436">
        <v>40598</v>
      </c>
      <c r="M90" s="738">
        <v>80.22</v>
      </c>
      <c r="N90" s="115">
        <f t="shared" si="9"/>
        <v>9.9825305714995594E-4</v>
      </c>
      <c r="O90" s="1121">
        <f t="shared" si="8"/>
        <v>9.8633916826106711E-4</v>
      </c>
      <c r="P90" s="1122"/>
    </row>
    <row r="91" spans="1:16">
      <c r="A91" s="423">
        <v>41089</v>
      </c>
      <c r="B91" s="744">
        <v>0.09</v>
      </c>
      <c r="F91" s="1121">
        <f t="shared" si="7"/>
        <v>1.0538579947724107E-2</v>
      </c>
      <c r="G91" s="1122"/>
      <c r="H91" s="436">
        <v>40599</v>
      </c>
      <c r="I91" s="738">
        <v>1319.88</v>
      </c>
      <c r="J91" s="440">
        <f t="shared" si="5"/>
        <v>1.0550493836612995E-2</v>
      </c>
      <c r="L91" s="436">
        <v>40599</v>
      </c>
      <c r="M91" s="738">
        <v>80.11</v>
      </c>
      <c r="N91" s="115">
        <f t="shared" si="9"/>
        <v>-1.3712291199201587E-3</v>
      </c>
      <c r="O91" s="1121">
        <f t="shared" si="8"/>
        <v>-1.3831430088090475E-3</v>
      </c>
      <c r="P91" s="1122"/>
    </row>
    <row r="92" spans="1:16">
      <c r="A92" s="423">
        <v>41121</v>
      </c>
      <c r="B92" s="744">
        <v>0.11</v>
      </c>
      <c r="F92" s="1121">
        <f t="shared" si="7"/>
        <v>5.5491977273186477E-3</v>
      </c>
      <c r="G92" s="1122"/>
      <c r="H92" s="436">
        <v>40602</v>
      </c>
      <c r="I92" s="738">
        <v>1327.22</v>
      </c>
      <c r="J92" s="440">
        <f t="shared" si="5"/>
        <v>5.5611116162075369E-3</v>
      </c>
      <c r="L92" s="436">
        <v>40602</v>
      </c>
      <c r="M92" s="738">
        <v>79.16</v>
      </c>
      <c r="N92" s="115">
        <f t="shared" si="9"/>
        <v>-1.1858694295343919E-2</v>
      </c>
      <c r="O92" s="1121">
        <f t="shared" si="8"/>
        <v>-1.1870608184232807E-2</v>
      </c>
      <c r="P92" s="1122"/>
    </row>
    <row r="93" spans="1:16">
      <c r="A93" s="423">
        <v>41152</v>
      </c>
      <c r="B93" s="744">
        <v>0.09</v>
      </c>
      <c r="F93" s="1121">
        <f t="shared" si="7"/>
        <v>-1.575158025919688E-2</v>
      </c>
      <c r="G93" s="1122"/>
      <c r="H93" s="436">
        <v>40603</v>
      </c>
      <c r="I93" s="738">
        <v>1306.33</v>
      </c>
      <c r="J93" s="440">
        <f t="shared" ref="J93:J156" si="10">I93/I92-1</f>
        <v>-1.5739666370307992E-2</v>
      </c>
      <c r="L93" s="436">
        <v>40603</v>
      </c>
      <c r="M93" s="738">
        <v>79.12</v>
      </c>
      <c r="N93" s="115">
        <f t="shared" si="9"/>
        <v>-5.0530570995444002E-4</v>
      </c>
      <c r="O93" s="1121">
        <f t="shared" si="8"/>
        <v>-5.1721959884332895E-4</v>
      </c>
      <c r="P93" s="1122"/>
    </row>
    <row r="94" spans="1:16">
      <c r="A94" s="423">
        <v>41180</v>
      </c>
      <c r="B94" s="744">
        <v>0.1</v>
      </c>
      <c r="F94" s="1121">
        <f t="shared" ref="F94:F157" si="11">J94-$I$19</f>
        <v>1.6032981938162087E-3</v>
      </c>
      <c r="G94" s="1122"/>
      <c r="H94" s="436">
        <v>40604</v>
      </c>
      <c r="I94" s="738">
        <v>1308.44</v>
      </c>
      <c r="J94" s="440">
        <f t="shared" si="10"/>
        <v>1.6152120827050975E-3</v>
      </c>
      <c r="L94" s="436">
        <v>40604</v>
      </c>
      <c r="M94" s="738">
        <v>79.459999999999994</v>
      </c>
      <c r="N94" s="115">
        <f t="shared" si="9"/>
        <v>4.2972699696661731E-3</v>
      </c>
      <c r="O94" s="1121">
        <f t="shared" ref="O94:O157" si="12">N94-$I$19</f>
        <v>4.2853560807772839E-3</v>
      </c>
      <c r="P94" s="1122"/>
    </row>
    <row r="95" spans="1:16">
      <c r="A95" s="423">
        <v>41213</v>
      </c>
      <c r="B95" s="744">
        <v>0.11</v>
      </c>
      <c r="F95" s="1121">
        <f t="shared" si="11"/>
        <v>1.7207064436445145E-2</v>
      </c>
      <c r="G95" s="1122"/>
      <c r="H95" s="436">
        <v>40605</v>
      </c>
      <c r="I95" s="738">
        <v>1330.97</v>
      </c>
      <c r="J95" s="440">
        <f t="shared" si="10"/>
        <v>1.7218978325334033E-2</v>
      </c>
      <c r="L95" s="436">
        <v>40605</v>
      </c>
      <c r="M95" s="738">
        <v>80.78</v>
      </c>
      <c r="N95" s="115">
        <f t="shared" si="9"/>
        <v>1.6612131890259452E-2</v>
      </c>
      <c r="O95" s="1121">
        <f t="shared" si="12"/>
        <v>1.6600218001370563E-2</v>
      </c>
      <c r="P95" s="1122"/>
    </row>
    <row r="96" spans="1:16">
      <c r="A96" s="423">
        <v>41243</v>
      </c>
      <c r="B96" s="744">
        <v>0.08</v>
      </c>
      <c r="F96" s="1121">
        <f t="shared" si="11"/>
        <v>-7.3899915315104392E-3</v>
      </c>
      <c r="G96" s="1122"/>
      <c r="H96" s="436">
        <v>40606</v>
      </c>
      <c r="I96" s="738">
        <v>1321.15</v>
      </c>
      <c r="J96" s="440">
        <f t="shared" si="10"/>
        <v>-7.37807764262155E-3</v>
      </c>
      <c r="L96" s="436">
        <v>40606</v>
      </c>
      <c r="M96" s="738">
        <v>79.849999999999994</v>
      </c>
      <c r="N96" s="115">
        <f t="shared" si="9"/>
        <v>-1.1512750680861661E-2</v>
      </c>
      <c r="O96" s="1121">
        <f t="shared" si="12"/>
        <v>-1.1524664569750549E-2</v>
      </c>
      <c r="P96" s="1122"/>
    </row>
    <row r="97" spans="1:16">
      <c r="A97" s="423">
        <v>41274</v>
      </c>
      <c r="B97" s="744">
        <v>0.05</v>
      </c>
      <c r="F97" s="1121">
        <f t="shared" si="11"/>
        <v>-8.3531317672523933E-3</v>
      </c>
      <c r="G97" s="1122"/>
      <c r="H97" s="436">
        <v>40609</v>
      </c>
      <c r="I97" s="738">
        <v>1310.1300000000001</v>
      </c>
      <c r="J97" s="440">
        <f t="shared" si="10"/>
        <v>-8.3412178783635049E-3</v>
      </c>
      <c r="L97" s="436">
        <v>40609</v>
      </c>
      <c r="M97" s="738">
        <v>79.3</v>
      </c>
      <c r="N97" s="115">
        <f t="shared" si="9"/>
        <v>-6.8879148403255819E-3</v>
      </c>
      <c r="O97" s="1121">
        <f t="shared" si="12"/>
        <v>-6.8998287292144711E-3</v>
      </c>
      <c r="P97" s="1122"/>
    </row>
    <row r="98" spans="1:16">
      <c r="A98" s="423">
        <v>41305</v>
      </c>
      <c r="B98" s="744">
        <v>7.0000000000000007E-2</v>
      </c>
      <c r="F98" s="1121">
        <f t="shared" si="11"/>
        <v>8.9108647666643545E-3</v>
      </c>
      <c r="G98" s="1122"/>
      <c r="H98" s="436">
        <v>40610</v>
      </c>
      <c r="I98" s="738">
        <v>1321.82</v>
      </c>
      <c r="J98" s="440">
        <f t="shared" si="10"/>
        <v>8.9227786555532429E-3</v>
      </c>
      <c r="L98" s="436">
        <v>40610</v>
      </c>
      <c r="M98" s="738">
        <v>80.27</v>
      </c>
      <c r="N98" s="115">
        <f t="shared" si="9"/>
        <v>1.2232030264817118E-2</v>
      </c>
      <c r="O98" s="1121">
        <f t="shared" si="12"/>
        <v>1.2220116375928229E-2</v>
      </c>
      <c r="P98" s="1122"/>
    </row>
    <row r="99" spans="1:16">
      <c r="A99" s="423">
        <v>41333</v>
      </c>
      <c r="B99" s="744">
        <v>0.11</v>
      </c>
      <c r="F99" s="1121">
        <f t="shared" si="11"/>
        <v>-1.3736726760157432E-3</v>
      </c>
      <c r="G99" s="1122"/>
      <c r="H99" s="436">
        <v>40611</v>
      </c>
      <c r="I99" s="738">
        <v>1320.02</v>
      </c>
      <c r="J99" s="440">
        <f t="shared" si="10"/>
        <v>-1.3617587871268544E-3</v>
      </c>
      <c r="L99" s="436">
        <v>40611</v>
      </c>
      <c r="M99" s="738">
        <v>80.48</v>
      </c>
      <c r="N99" s="115">
        <f t="shared" si="9"/>
        <v>2.616170424816433E-3</v>
      </c>
      <c r="O99" s="1121">
        <f t="shared" si="12"/>
        <v>2.6042565359275442E-3</v>
      </c>
      <c r="P99" s="1122"/>
    </row>
    <row r="100" spans="1:16">
      <c r="A100" s="423">
        <v>41362</v>
      </c>
      <c r="B100" s="744">
        <v>7.0000000000000007E-2</v>
      </c>
      <c r="F100" s="1121">
        <f t="shared" si="11"/>
        <v>-1.8882840086976833E-2</v>
      </c>
      <c r="G100" s="1122"/>
      <c r="H100" s="436">
        <v>40612</v>
      </c>
      <c r="I100" s="738">
        <v>1295.1099999999999</v>
      </c>
      <c r="J100" s="440">
        <f t="shared" si="10"/>
        <v>-1.8870926198087945E-2</v>
      </c>
      <c r="L100" s="436">
        <v>40612</v>
      </c>
      <c r="M100" s="738">
        <v>79.040000000000006</v>
      </c>
      <c r="N100" s="115">
        <f t="shared" si="9"/>
        <v>-1.7892644135188873E-2</v>
      </c>
      <c r="O100" s="1121">
        <f t="shared" si="12"/>
        <v>-1.7904558024077762E-2</v>
      </c>
      <c r="P100" s="1122"/>
    </row>
    <row r="101" spans="1:16">
      <c r="A101" s="423">
        <v>41394</v>
      </c>
      <c r="B101" s="744">
        <v>0.05</v>
      </c>
      <c r="F101" s="1121">
        <f t="shared" si="11"/>
        <v>7.0685657614882802E-3</v>
      </c>
      <c r="G101" s="1122"/>
      <c r="H101" s="436">
        <v>40613</v>
      </c>
      <c r="I101" s="738">
        <v>1304.28</v>
      </c>
      <c r="J101" s="440">
        <f t="shared" si="10"/>
        <v>7.0804796503771694E-3</v>
      </c>
      <c r="L101" s="436">
        <v>40613</v>
      </c>
      <c r="M101" s="738">
        <v>80.47</v>
      </c>
      <c r="N101" s="115">
        <f t="shared" si="9"/>
        <v>1.8092105263157743E-2</v>
      </c>
      <c r="O101" s="1121">
        <f t="shared" si="12"/>
        <v>1.8080191374268854E-2</v>
      </c>
      <c r="P101" s="1122"/>
    </row>
    <row r="102" spans="1:16">
      <c r="A102" s="423">
        <v>41425</v>
      </c>
      <c r="B102" s="744">
        <v>0.04</v>
      </c>
      <c r="F102" s="1121">
        <f t="shared" si="11"/>
        <v>-6.0612284532460892E-3</v>
      </c>
      <c r="G102" s="1122"/>
      <c r="H102" s="436">
        <v>40616</v>
      </c>
      <c r="I102" s="738">
        <v>1296.3900000000001</v>
      </c>
      <c r="J102" s="440">
        <f t="shared" si="10"/>
        <v>-6.0493145643571999E-3</v>
      </c>
      <c r="L102" s="436">
        <v>40616</v>
      </c>
      <c r="M102" s="738">
        <v>80.47</v>
      </c>
      <c r="N102" s="115">
        <f t="shared" si="9"/>
        <v>0</v>
      </c>
      <c r="O102" s="1121">
        <f t="shared" si="12"/>
        <v>-1.1913888888888887E-5</v>
      </c>
      <c r="P102" s="1122"/>
    </row>
    <row r="103" spans="1:16">
      <c r="A103" s="423">
        <v>41453</v>
      </c>
      <c r="B103" s="744">
        <v>0.04</v>
      </c>
      <c r="F103" s="1121">
        <f t="shared" si="11"/>
        <v>-1.1212247121943915E-2</v>
      </c>
      <c r="G103" s="1122"/>
      <c r="H103" s="436">
        <v>40617</v>
      </c>
      <c r="I103" s="738">
        <v>1281.8699999999999</v>
      </c>
      <c r="J103" s="440">
        <f t="shared" si="10"/>
        <v>-1.1200333233055026E-2</v>
      </c>
      <c r="L103" s="436">
        <v>40617</v>
      </c>
      <c r="M103" s="738">
        <v>79.680000000000007</v>
      </c>
      <c r="N103" s="115">
        <f t="shared" si="9"/>
        <v>-9.8173232260468923E-3</v>
      </c>
      <c r="O103" s="1121">
        <f t="shared" si="12"/>
        <v>-9.8292371149357807E-3</v>
      </c>
      <c r="P103" s="1122"/>
    </row>
    <row r="104" spans="1:16">
      <c r="A104" s="423">
        <v>41486</v>
      </c>
      <c r="B104" s="744">
        <v>0.04</v>
      </c>
      <c r="F104" s="1121">
        <f t="shared" si="11"/>
        <v>-1.9506870475750067E-2</v>
      </c>
      <c r="G104" s="1122"/>
      <c r="H104" s="436">
        <v>40618</v>
      </c>
      <c r="I104" s="738">
        <v>1256.8800000000001</v>
      </c>
      <c r="J104" s="440">
        <f t="shared" si="10"/>
        <v>-1.9494956586861178E-2</v>
      </c>
      <c r="L104" s="436">
        <v>40618</v>
      </c>
      <c r="M104" s="738">
        <v>78.41</v>
      </c>
      <c r="N104" s="115">
        <f t="shared" si="9"/>
        <v>-1.5938755020080464E-2</v>
      </c>
      <c r="O104" s="1121">
        <f t="shared" si="12"/>
        <v>-1.5950668908969352E-2</v>
      </c>
      <c r="P104" s="1122"/>
    </row>
    <row r="105" spans="1:16">
      <c r="A105" s="423">
        <v>41516</v>
      </c>
      <c r="B105" s="744">
        <v>0.03</v>
      </c>
      <c r="F105" s="1121">
        <f t="shared" si="11"/>
        <v>1.3386342110092701E-2</v>
      </c>
      <c r="G105" s="1122"/>
      <c r="H105" s="436">
        <v>40619</v>
      </c>
      <c r="I105" s="738">
        <v>1273.72</v>
      </c>
      <c r="J105" s="440">
        <f t="shared" si="10"/>
        <v>1.339825599898159E-2</v>
      </c>
      <c r="L105" s="436">
        <v>40619</v>
      </c>
      <c r="M105" s="738">
        <v>80.41</v>
      </c>
      <c r="N105" s="115">
        <f t="shared" si="9"/>
        <v>2.5506950644050397E-2</v>
      </c>
      <c r="O105" s="1121">
        <f t="shared" si="12"/>
        <v>2.5495036755161508E-2</v>
      </c>
      <c r="P105" s="1122"/>
    </row>
    <row r="106" spans="1:16">
      <c r="A106" s="423">
        <v>41547</v>
      </c>
      <c r="B106" s="744">
        <v>0.02</v>
      </c>
      <c r="F106" s="1121">
        <f t="shared" si="11"/>
        <v>4.2904445572374749E-3</v>
      </c>
      <c r="G106" s="1122"/>
      <c r="H106" s="436">
        <v>40620</v>
      </c>
      <c r="I106" s="738">
        <v>1279.2</v>
      </c>
      <c r="J106" s="440">
        <f t="shared" si="10"/>
        <v>4.3023584461263642E-3</v>
      </c>
      <c r="L106" s="436">
        <v>40620</v>
      </c>
      <c r="M106" s="738">
        <v>80.53</v>
      </c>
      <c r="N106" s="115">
        <f t="shared" si="9"/>
        <v>1.4923516975500206E-3</v>
      </c>
      <c r="O106" s="1121">
        <f t="shared" si="12"/>
        <v>1.4804378086611318E-3</v>
      </c>
      <c r="P106" s="1122"/>
    </row>
    <row r="107" spans="1:16">
      <c r="A107" s="423">
        <v>41578</v>
      </c>
      <c r="B107" s="744">
        <v>0.04</v>
      </c>
      <c r="F107" s="1121">
        <f t="shared" si="11"/>
        <v>1.4981832202418326E-2</v>
      </c>
      <c r="G107" s="1122"/>
      <c r="H107" s="436">
        <v>40623</v>
      </c>
      <c r="I107" s="738">
        <v>1298.3800000000001</v>
      </c>
      <c r="J107" s="440">
        <f t="shared" si="10"/>
        <v>1.4993746091307214E-2</v>
      </c>
      <c r="L107" s="436">
        <v>40623</v>
      </c>
      <c r="M107" s="738">
        <v>81.23</v>
      </c>
      <c r="N107" s="115">
        <f t="shared" si="9"/>
        <v>8.6924127654290917E-3</v>
      </c>
      <c r="O107" s="1121">
        <f t="shared" si="12"/>
        <v>8.6804988765402033E-3</v>
      </c>
      <c r="P107" s="1122"/>
    </row>
    <row r="108" spans="1:16">
      <c r="A108" s="423">
        <v>41607</v>
      </c>
      <c r="B108" s="744">
        <v>0.06</v>
      </c>
      <c r="F108" s="1121">
        <f t="shared" si="11"/>
        <v>-3.5624923019883588E-3</v>
      </c>
      <c r="G108" s="1122"/>
      <c r="H108" s="436">
        <v>40624</v>
      </c>
      <c r="I108" s="738">
        <v>1293.77</v>
      </c>
      <c r="J108" s="440">
        <f t="shared" si="10"/>
        <v>-3.55057841309947E-3</v>
      </c>
      <c r="L108" s="436">
        <v>40624</v>
      </c>
      <c r="M108" s="738">
        <v>81.3</v>
      </c>
      <c r="N108" s="115">
        <f t="shared" si="9"/>
        <v>8.6175058475923549E-4</v>
      </c>
      <c r="O108" s="1121">
        <f t="shared" si="12"/>
        <v>8.4983669587034656E-4</v>
      </c>
      <c r="P108" s="1122"/>
    </row>
    <row r="109" spans="1:16">
      <c r="A109" s="423">
        <v>41639</v>
      </c>
      <c r="B109" s="744">
        <v>7.0000000000000007E-2</v>
      </c>
      <c r="F109" s="1121">
        <f t="shared" si="11"/>
        <v>2.9020507261508992E-3</v>
      </c>
      <c r="G109" s="1122"/>
      <c r="H109" s="436">
        <v>40625</v>
      </c>
      <c r="I109" s="738">
        <v>1297.54</v>
      </c>
      <c r="J109" s="440">
        <f t="shared" si="10"/>
        <v>2.913964615039788E-3</v>
      </c>
      <c r="L109" s="436">
        <v>40625</v>
      </c>
      <c r="M109" s="738">
        <v>81.180000000000007</v>
      </c>
      <c r="N109" s="115">
        <f t="shared" si="9"/>
        <v>-1.4760147601474705E-3</v>
      </c>
      <c r="O109" s="1121">
        <f t="shared" si="12"/>
        <v>-1.4879286490363593E-3</v>
      </c>
      <c r="P109" s="1122"/>
    </row>
    <row r="110" spans="1:16">
      <c r="A110" s="423">
        <v>41670</v>
      </c>
      <c r="B110" s="744">
        <v>0.02</v>
      </c>
      <c r="F110" s="1121">
        <f t="shared" si="11"/>
        <v>9.3288386119975072E-3</v>
      </c>
      <c r="G110" s="1122"/>
      <c r="H110" s="436">
        <v>40626</v>
      </c>
      <c r="I110" s="738">
        <v>1309.6600000000001</v>
      </c>
      <c r="J110" s="440">
        <f t="shared" si="10"/>
        <v>9.3407525008863956E-3</v>
      </c>
      <c r="L110" s="436">
        <v>40626</v>
      </c>
      <c r="M110" s="738">
        <v>80.8</v>
      </c>
      <c r="N110" s="115">
        <f t="shared" si="9"/>
        <v>-4.6809559004682422E-3</v>
      </c>
      <c r="O110" s="1121">
        <f t="shared" si="12"/>
        <v>-4.6928697893571314E-3</v>
      </c>
      <c r="P110" s="1122"/>
    </row>
    <row r="111" spans="1:16">
      <c r="A111" s="423">
        <v>41698</v>
      </c>
      <c r="B111" s="744">
        <v>0.05</v>
      </c>
      <c r="F111" s="1121">
        <f t="shared" si="11"/>
        <v>3.1492118994834654E-3</v>
      </c>
      <c r="G111" s="1122"/>
      <c r="H111" s="436">
        <v>40627</v>
      </c>
      <c r="I111" s="738">
        <v>1313.8</v>
      </c>
      <c r="J111" s="440">
        <f t="shared" si="10"/>
        <v>3.1611257883723543E-3</v>
      </c>
      <c r="L111" s="436">
        <v>40627</v>
      </c>
      <c r="M111" s="738">
        <v>80.37</v>
      </c>
      <c r="N111" s="115">
        <f t="shared" si="9"/>
        <v>-5.321782178217771E-3</v>
      </c>
      <c r="O111" s="1121">
        <f t="shared" si="12"/>
        <v>-5.3336960671066603E-3</v>
      </c>
      <c r="P111" s="1122"/>
    </row>
    <row r="112" spans="1:16">
      <c r="A112" s="423">
        <v>41729</v>
      </c>
      <c r="B112" s="744">
        <v>0.05</v>
      </c>
      <c r="F112" s="1121">
        <f t="shared" si="11"/>
        <v>-2.759668493851571E-3</v>
      </c>
      <c r="G112" s="1122"/>
      <c r="H112" s="436">
        <v>40630</v>
      </c>
      <c r="I112" s="738">
        <v>1310.19</v>
      </c>
      <c r="J112" s="440">
        <f t="shared" si="10"/>
        <v>-2.7477546049626822E-3</v>
      </c>
      <c r="L112" s="436">
        <v>40630</v>
      </c>
      <c r="M112" s="738">
        <v>80.260000000000005</v>
      </c>
      <c r="N112" s="115">
        <f t="shared" si="9"/>
        <v>-1.3686699017045889E-3</v>
      </c>
      <c r="O112" s="1121">
        <f t="shared" si="12"/>
        <v>-1.3805837905934777E-3</v>
      </c>
      <c r="P112" s="1122"/>
    </row>
    <row r="113" spans="1:16">
      <c r="A113" s="423">
        <v>41759</v>
      </c>
      <c r="B113" s="744">
        <v>0.03</v>
      </c>
      <c r="F113" s="1121">
        <f t="shared" si="11"/>
        <v>7.0481308374484774E-3</v>
      </c>
      <c r="G113" s="1122"/>
      <c r="H113" s="436">
        <v>40631</v>
      </c>
      <c r="I113" s="738">
        <v>1319.44</v>
      </c>
      <c r="J113" s="440">
        <f t="shared" si="10"/>
        <v>7.0600447263373667E-3</v>
      </c>
      <c r="L113" s="436">
        <v>40631</v>
      </c>
      <c r="M113" s="738">
        <v>80.349999999999994</v>
      </c>
      <c r="N113" s="115">
        <f t="shared" ref="N113:N176" si="13">M113/M112-1</f>
        <v>1.1213555943183628E-3</v>
      </c>
      <c r="O113" s="1121">
        <f t="shared" si="12"/>
        <v>1.109441705429474E-3</v>
      </c>
      <c r="P113" s="1122"/>
    </row>
    <row r="114" spans="1:16">
      <c r="A114" s="423">
        <v>41789</v>
      </c>
      <c r="B114" s="744">
        <v>0.04</v>
      </c>
      <c r="F114" s="1121">
        <f t="shared" si="11"/>
        <v>6.6727402067879782E-3</v>
      </c>
      <c r="G114" s="1122"/>
      <c r="H114" s="436">
        <v>40632</v>
      </c>
      <c r="I114" s="738">
        <v>1328.26</v>
      </c>
      <c r="J114" s="440">
        <f t="shared" si="10"/>
        <v>6.6846540956768674E-3</v>
      </c>
      <c r="L114" s="436">
        <v>40632</v>
      </c>
      <c r="M114" s="738">
        <v>79.760000000000005</v>
      </c>
      <c r="N114" s="115">
        <f t="shared" si="13"/>
        <v>-7.3428749222151923E-3</v>
      </c>
      <c r="O114" s="1121">
        <f t="shared" si="12"/>
        <v>-7.3547888111040816E-3</v>
      </c>
      <c r="P114" s="1122"/>
    </row>
    <row r="115" spans="1:16">
      <c r="A115" s="423">
        <v>41820</v>
      </c>
      <c r="B115" s="744">
        <v>0.04</v>
      </c>
      <c r="F115" s="1121">
        <f t="shared" si="11"/>
        <v>-1.8413749883724535E-3</v>
      </c>
      <c r="G115" s="1122"/>
      <c r="H115" s="436">
        <v>40633</v>
      </c>
      <c r="I115" s="738">
        <v>1325.83</v>
      </c>
      <c r="J115" s="440">
        <f t="shared" si="10"/>
        <v>-1.8294610994835647E-3</v>
      </c>
      <c r="L115" s="436">
        <v>40633</v>
      </c>
      <c r="M115" s="738">
        <v>80.400000000000006</v>
      </c>
      <c r="N115" s="115">
        <f t="shared" si="13"/>
        <v>8.0240722166500245E-3</v>
      </c>
      <c r="O115" s="1121">
        <f t="shared" si="12"/>
        <v>8.0121583277611361E-3</v>
      </c>
      <c r="P115" s="1122"/>
    </row>
    <row r="116" spans="1:16">
      <c r="A116" s="423">
        <v>41851</v>
      </c>
      <c r="B116" s="744">
        <v>0.03</v>
      </c>
      <c r="F116" s="1121">
        <f t="shared" si="11"/>
        <v>4.9510149933963332E-3</v>
      </c>
      <c r="G116" s="1122"/>
      <c r="H116" s="436">
        <v>40634</v>
      </c>
      <c r="I116" s="738">
        <v>1332.41</v>
      </c>
      <c r="J116" s="440">
        <f t="shared" si="10"/>
        <v>4.9629288822852224E-3</v>
      </c>
      <c r="L116" s="436">
        <v>40634</v>
      </c>
      <c r="M116" s="738">
        <v>80.98</v>
      </c>
      <c r="N116" s="115">
        <f t="shared" si="13"/>
        <v>7.2139303482587902E-3</v>
      </c>
      <c r="O116" s="1121">
        <f t="shared" si="12"/>
        <v>7.2020164593699009E-3</v>
      </c>
      <c r="P116" s="1122"/>
    </row>
    <row r="117" spans="1:16">
      <c r="A117" s="423">
        <v>41880</v>
      </c>
      <c r="B117" s="744">
        <v>0.03</v>
      </c>
      <c r="F117" s="1121">
        <f t="shared" si="11"/>
        <v>3.3332518917249899E-4</v>
      </c>
      <c r="G117" s="1122"/>
      <c r="H117" s="436">
        <v>40637</v>
      </c>
      <c r="I117" s="738">
        <v>1332.87</v>
      </c>
      <c r="J117" s="440">
        <f t="shared" si="10"/>
        <v>3.4523907806138787E-4</v>
      </c>
      <c r="L117" s="436">
        <v>40637</v>
      </c>
      <c r="M117" s="738">
        <v>80.989999999999995</v>
      </c>
      <c r="N117" s="115">
        <f t="shared" si="13"/>
        <v>1.2348728081001958E-4</v>
      </c>
      <c r="O117" s="1121">
        <f t="shared" si="12"/>
        <v>1.1157339192113069E-4</v>
      </c>
      <c r="P117" s="1122"/>
    </row>
    <row r="118" spans="1:16">
      <c r="A118" s="423">
        <v>41912</v>
      </c>
      <c r="B118" s="744">
        <v>0.02</v>
      </c>
      <c r="F118" s="1121">
        <f t="shared" si="11"/>
        <v>-1.9197646063241113E-4</v>
      </c>
      <c r="G118" s="1122"/>
      <c r="H118" s="436">
        <v>40638</v>
      </c>
      <c r="I118" s="738">
        <v>1332.63</v>
      </c>
      <c r="J118" s="440">
        <f t="shared" si="10"/>
        <v>-1.8006257174352225E-4</v>
      </c>
      <c r="L118" s="436">
        <v>40638</v>
      </c>
      <c r="M118" s="738">
        <v>81.11</v>
      </c>
      <c r="N118" s="115">
        <f t="shared" si="13"/>
        <v>1.4816644030126724E-3</v>
      </c>
      <c r="O118" s="1121">
        <f t="shared" si="12"/>
        <v>1.4697505141237836E-3</v>
      </c>
      <c r="P118" s="1122"/>
    </row>
    <row r="119" spans="1:16">
      <c r="A119" s="423">
        <v>41943</v>
      </c>
      <c r="B119" s="744">
        <v>0.01</v>
      </c>
      <c r="F119" s="1121">
        <f t="shared" si="11"/>
        <v>2.1717379874758229E-3</v>
      </c>
      <c r="G119" s="1122"/>
      <c r="H119" s="436">
        <v>40639</v>
      </c>
      <c r="I119" s="738">
        <v>1335.54</v>
      </c>
      <c r="J119" s="440">
        <f t="shared" si="10"/>
        <v>2.1836518763647117E-3</v>
      </c>
      <c r="L119" s="436">
        <v>40639</v>
      </c>
      <c r="M119" s="738">
        <v>81.489999999999995</v>
      </c>
      <c r="N119" s="115">
        <f t="shared" si="13"/>
        <v>4.6849956848722396E-3</v>
      </c>
      <c r="O119" s="1121">
        <f t="shared" si="12"/>
        <v>4.6730817959833503E-3</v>
      </c>
      <c r="P119" s="1122"/>
    </row>
    <row r="120" spans="1:16">
      <c r="A120" s="423">
        <v>41971</v>
      </c>
      <c r="B120" s="744">
        <v>0.02</v>
      </c>
      <c r="F120" s="1121">
        <f t="shared" si="11"/>
        <v>-1.531898314664167E-3</v>
      </c>
      <c r="G120" s="1122"/>
      <c r="H120" s="436">
        <v>40640</v>
      </c>
      <c r="I120" s="738">
        <v>1333.51</v>
      </c>
      <c r="J120" s="440">
        <f t="shared" si="10"/>
        <v>-1.5199844257752781E-3</v>
      </c>
      <c r="L120" s="436">
        <v>40640</v>
      </c>
      <c r="M120" s="738">
        <v>81.790000000000006</v>
      </c>
      <c r="N120" s="115">
        <f t="shared" si="13"/>
        <v>3.6814333047001657E-3</v>
      </c>
      <c r="O120" s="1121">
        <f t="shared" si="12"/>
        <v>3.6695194158112769E-3</v>
      </c>
      <c r="P120" s="1122"/>
    </row>
    <row r="121" spans="1:16">
      <c r="A121" s="423">
        <v>42004</v>
      </c>
      <c r="B121" s="744">
        <v>0.04</v>
      </c>
      <c r="F121" s="1121">
        <f t="shared" si="11"/>
        <v>-4.0163832966923019E-3</v>
      </c>
      <c r="G121" s="1122"/>
      <c r="H121" s="436">
        <v>40641</v>
      </c>
      <c r="I121" s="738">
        <v>1328.17</v>
      </c>
      <c r="J121" s="440">
        <f t="shared" si="10"/>
        <v>-4.0044694078034127E-3</v>
      </c>
      <c r="L121" s="436">
        <v>40641</v>
      </c>
      <c r="M121" s="738">
        <v>80.5</v>
      </c>
      <c r="N121" s="115">
        <f t="shared" si="13"/>
        <v>-1.5772099278640539E-2</v>
      </c>
      <c r="O121" s="1121">
        <f t="shared" si="12"/>
        <v>-1.5784013167529427E-2</v>
      </c>
      <c r="P121" s="1122"/>
    </row>
    <row r="122" spans="1:16">
      <c r="A122" s="423">
        <v>42034</v>
      </c>
      <c r="B122" s="744">
        <v>0.02</v>
      </c>
      <c r="F122" s="1121">
        <f t="shared" si="11"/>
        <v>-2.805231009438199E-3</v>
      </c>
      <c r="G122" s="1122"/>
      <c r="H122" s="436">
        <v>40644</v>
      </c>
      <c r="I122" s="738">
        <v>1324.46</v>
      </c>
      <c r="J122" s="440">
        <f t="shared" si="10"/>
        <v>-2.7933171205493101E-3</v>
      </c>
      <c r="L122" s="436">
        <v>40644</v>
      </c>
      <c r="M122" s="738">
        <v>80.510000000000005</v>
      </c>
      <c r="N122" s="115">
        <f t="shared" si="13"/>
        <v>1.2422360248454112E-4</v>
      </c>
      <c r="O122" s="1121">
        <f t="shared" si="12"/>
        <v>1.1230971359565223E-4</v>
      </c>
      <c r="P122" s="1122"/>
    </row>
    <row r="123" spans="1:16">
      <c r="A123" s="423">
        <v>42062</v>
      </c>
      <c r="B123" s="744">
        <v>0.02</v>
      </c>
      <c r="F123" s="1121">
        <f t="shared" si="11"/>
        <v>-7.7886681887544629E-3</v>
      </c>
      <c r="G123" s="1122"/>
      <c r="H123" s="436">
        <v>40645</v>
      </c>
      <c r="I123" s="738">
        <v>1314.16</v>
      </c>
      <c r="J123" s="440">
        <f t="shared" si="10"/>
        <v>-7.7767542998655736E-3</v>
      </c>
      <c r="L123" s="436">
        <v>40645</v>
      </c>
      <c r="M123" s="738">
        <v>80.37</v>
      </c>
      <c r="N123" s="115">
        <f t="shared" si="13"/>
        <v>-1.7389144205688378E-3</v>
      </c>
      <c r="O123" s="1121">
        <f t="shared" si="12"/>
        <v>-1.7508283094577267E-3</v>
      </c>
      <c r="P123" s="1122"/>
    </row>
    <row r="124" spans="1:16">
      <c r="A124" s="423">
        <v>42094</v>
      </c>
      <c r="B124" s="744">
        <v>0.03</v>
      </c>
      <c r="F124" s="1121">
        <f t="shared" si="11"/>
        <v>1.7832169886299688E-4</v>
      </c>
      <c r="G124" s="1122"/>
      <c r="H124" s="436">
        <v>40646</v>
      </c>
      <c r="I124" s="738">
        <v>1314.41</v>
      </c>
      <c r="J124" s="440">
        <f t="shared" si="10"/>
        <v>1.9023558775188576E-4</v>
      </c>
      <c r="L124" s="436">
        <v>40646</v>
      </c>
      <c r="M124" s="738">
        <v>78.31</v>
      </c>
      <c r="N124" s="115">
        <f t="shared" si="13"/>
        <v>-2.5631454522831887E-2</v>
      </c>
      <c r="O124" s="1121">
        <f t="shared" si="12"/>
        <v>-2.5643368411720775E-2</v>
      </c>
      <c r="P124" s="1122"/>
    </row>
    <row r="125" spans="1:16">
      <c r="A125" s="423">
        <v>42124</v>
      </c>
      <c r="B125" s="744">
        <v>0.01</v>
      </c>
      <c r="F125" s="1121">
        <f t="shared" si="11"/>
        <v>7.1773849335758142E-5</v>
      </c>
      <c r="G125" s="1122"/>
      <c r="H125" s="436">
        <v>40647</v>
      </c>
      <c r="I125" s="738">
        <v>1314.52</v>
      </c>
      <c r="J125" s="440">
        <f t="shared" si="10"/>
        <v>8.3687738224647035E-5</v>
      </c>
      <c r="L125" s="436">
        <v>40647</v>
      </c>
      <c r="M125" s="738">
        <v>77.73</v>
      </c>
      <c r="N125" s="115">
        <f t="shared" si="13"/>
        <v>-7.4064614991699029E-3</v>
      </c>
      <c r="O125" s="1121">
        <f t="shared" si="12"/>
        <v>-7.4183753880587922E-3</v>
      </c>
      <c r="P125" s="1122"/>
    </row>
    <row r="126" spans="1:16">
      <c r="A126" s="423">
        <v>42153</v>
      </c>
      <c r="B126" s="744">
        <v>0.01</v>
      </c>
      <c r="F126" s="1121">
        <f t="shared" si="11"/>
        <v>3.9134733246949304E-3</v>
      </c>
      <c r="G126" s="1122"/>
      <c r="H126" s="436">
        <v>40648</v>
      </c>
      <c r="I126" s="738">
        <v>1319.68</v>
      </c>
      <c r="J126" s="440">
        <f t="shared" si="10"/>
        <v>3.9253872135838197E-3</v>
      </c>
      <c r="L126" s="436">
        <v>40648</v>
      </c>
      <c r="M126" s="738">
        <v>78.19</v>
      </c>
      <c r="N126" s="115">
        <f t="shared" si="13"/>
        <v>5.9179210086195422E-3</v>
      </c>
      <c r="O126" s="1121">
        <f t="shared" si="12"/>
        <v>5.9060071197306529E-3</v>
      </c>
      <c r="P126" s="1122"/>
    </row>
    <row r="127" spans="1:16">
      <c r="A127" s="423">
        <v>42185</v>
      </c>
      <c r="B127" s="744">
        <v>0.01</v>
      </c>
      <c r="F127" s="1121">
        <f t="shared" si="11"/>
        <v>-1.1029736391313667E-2</v>
      </c>
      <c r="G127" s="1122"/>
      <c r="H127" s="436">
        <v>40651</v>
      </c>
      <c r="I127" s="738">
        <v>1305.1400000000001</v>
      </c>
      <c r="J127" s="440">
        <f t="shared" si="10"/>
        <v>-1.1017822502424779E-2</v>
      </c>
      <c r="L127" s="436">
        <v>40651</v>
      </c>
      <c r="M127" s="738">
        <v>76.900000000000006</v>
      </c>
      <c r="N127" s="115">
        <f t="shared" si="13"/>
        <v>-1.6498273436500677E-2</v>
      </c>
      <c r="O127" s="1121">
        <f t="shared" si="12"/>
        <v>-1.6510187325389565E-2</v>
      </c>
      <c r="P127" s="1122"/>
    </row>
    <row r="128" spans="1:16">
      <c r="A128" s="423">
        <v>42216</v>
      </c>
      <c r="B128" s="744">
        <v>0.08</v>
      </c>
      <c r="F128" s="1121">
        <f t="shared" si="11"/>
        <v>5.7192720375250838E-3</v>
      </c>
      <c r="G128" s="1122"/>
      <c r="H128" s="436">
        <v>40652</v>
      </c>
      <c r="I128" s="738">
        <v>1312.62</v>
      </c>
      <c r="J128" s="440">
        <f t="shared" si="10"/>
        <v>5.7311859264139731E-3</v>
      </c>
      <c r="L128" s="436">
        <v>40652</v>
      </c>
      <c r="M128" s="738">
        <v>77.010000000000005</v>
      </c>
      <c r="N128" s="115">
        <f t="shared" si="13"/>
        <v>1.4304291287385862E-3</v>
      </c>
      <c r="O128" s="1121">
        <f t="shared" si="12"/>
        <v>1.4185152398496974E-3</v>
      </c>
      <c r="P128" s="1122"/>
    </row>
    <row r="129" spans="1:16">
      <c r="A129" s="423">
        <v>42247</v>
      </c>
      <c r="B129" s="744">
        <v>0.08</v>
      </c>
      <c r="F129" s="1121">
        <f t="shared" si="11"/>
        <v>1.3503040934289216E-2</v>
      </c>
      <c r="G129" s="1122"/>
      <c r="H129" s="436">
        <v>40653</v>
      </c>
      <c r="I129" s="738">
        <v>1330.36</v>
      </c>
      <c r="J129" s="440">
        <f t="shared" si="10"/>
        <v>1.3514954823178105E-2</v>
      </c>
      <c r="L129" s="436">
        <v>40653</v>
      </c>
      <c r="M129" s="738">
        <v>77.88</v>
      </c>
      <c r="N129" s="115">
        <f t="shared" si="13"/>
        <v>1.1297234125438038E-2</v>
      </c>
      <c r="O129" s="1121">
        <f t="shared" si="12"/>
        <v>1.128532023654915E-2</v>
      </c>
      <c r="P129" s="1122"/>
    </row>
    <row r="130" spans="1:16">
      <c r="A130" s="423">
        <v>42277</v>
      </c>
      <c r="B130" s="744">
        <v>-0.01</v>
      </c>
      <c r="F130" s="1121">
        <f t="shared" si="11"/>
        <v>5.2648533019469179E-3</v>
      </c>
      <c r="G130" s="1122"/>
      <c r="H130" s="436">
        <v>40654</v>
      </c>
      <c r="I130" s="738">
        <v>1337.38</v>
      </c>
      <c r="J130" s="440">
        <f t="shared" si="10"/>
        <v>5.2767671908358071E-3</v>
      </c>
      <c r="L130" s="436">
        <v>40654</v>
      </c>
      <c r="M130" s="738">
        <v>77.78</v>
      </c>
      <c r="N130" s="115">
        <f t="shared" si="13"/>
        <v>-1.2840267077554035E-3</v>
      </c>
      <c r="O130" s="1121">
        <f t="shared" si="12"/>
        <v>-1.2959405966442923E-3</v>
      </c>
      <c r="P130" s="1122"/>
    </row>
    <row r="131" spans="1:16">
      <c r="A131" s="423">
        <v>42307</v>
      </c>
      <c r="B131" s="744">
        <v>0.08</v>
      </c>
      <c r="F131" s="1121">
        <f t="shared" si="11"/>
        <v>-1.1913888888888887E-5</v>
      </c>
      <c r="G131" s="1122"/>
      <c r="H131" s="436">
        <v>40655</v>
      </c>
      <c r="I131" s="738">
        <v>1337.38</v>
      </c>
      <c r="J131" s="440">
        <f t="shared" si="10"/>
        <v>0</v>
      </c>
      <c r="L131" s="436">
        <v>40655</v>
      </c>
      <c r="M131" s="738">
        <v>77.78</v>
      </c>
      <c r="N131" s="115">
        <f t="shared" si="13"/>
        <v>0</v>
      </c>
      <c r="O131" s="1121">
        <f t="shared" si="12"/>
        <v>-1.1913888888888887E-5</v>
      </c>
      <c r="P131" s="1122"/>
    </row>
    <row r="132" spans="1:16">
      <c r="A132" s="423">
        <v>42338</v>
      </c>
      <c r="B132" s="744">
        <v>0.22</v>
      </c>
      <c r="F132" s="1121">
        <f t="shared" si="11"/>
        <v>-1.6045801467962158E-3</v>
      </c>
      <c r="G132" s="1122"/>
      <c r="H132" s="436">
        <v>40658</v>
      </c>
      <c r="I132" s="738">
        <v>1335.25</v>
      </c>
      <c r="J132" s="440">
        <f t="shared" si="10"/>
        <v>-1.592666257907327E-3</v>
      </c>
      <c r="L132" s="436">
        <v>40658</v>
      </c>
      <c r="M132" s="738">
        <v>77.44</v>
      </c>
      <c r="N132" s="115">
        <f t="shared" si="13"/>
        <v>-4.3713036770378633E-3</v>
      </c>
      <c r="O132" s="1121">
        <f t="shared" si="12"/>
        <v>-4.3832175659267525E-3</v>
      </c>
      <c r="P132" s="1122"/>
    </row>
    <row r="133" spans="1:16">
      <c r="A133" s="423">
        <v>42369</v>
      </c>
      <c r="B133" s="744">
        <v>0.16</v>
      </c>
      <c r="F133" s="1121">
        <f t="shared" si="11"/>
        <v>8.9676779478459132E-3</v>
      </c>
      <c r="G133" s="1122"/>
      <c r="H133" s="436">
        <v>40659</v>
      </c>
      <c r="I133" s="738">
        <v>1347.24</v>
      </c>
      <c r="J133" s="440">
        <f t="shared" si="10"/>
        <v>8.9795918367348015E-3</v>
      </c>
      <c r="L133" s="436">
        <v>40659</v>
      </c>
      <c r="M133" s="738">
        <v>79.040000000000006</v>
      </c>
      <c r="N133" s="115">
        <f t="shared" si="13"/>
        <v>2.0661157024793431E-2</v>
      </c>
      <c r="O133" s="1121">
        <f t="shared" si="12"/>
        <v>2.0649243135904542E-2</v>
      </c>
      <c r="P133" s="1122"/>
    </row>
    <row r="134" spans="1:16">
      <c r="A134" s="423">
        <v>42398</v>
      </c>
      <c r="B134" s="744">
        <v>0.32</v>
      </c>
      <c r="F134" s="1121">
        <f t="shared" si="11"/>
        <v>6.237900546549483E-3</v>
      </c>
      <c r="G134" s="1122"/>
      <c r="H134" s="436">
        <v>40660</v>
      </c>
      <c r="I134" s="738">
        <v>1355.66</v>
      </c>
      <c r="J134" s="440">
        <f t="shared" si="10"/>
        <v>6.2498144354383722E-3</v>
      </c>
      <c r="L134" s="436">
        <v>40660</v>
      </c>
      <c r="M134" s="738">
        <v>79.16</v>
      </c>
      <c r="N134" s="115">
        <f t="shared" si="13"/>
        <v>1.5182186234816708E-3</v>
      </c>
      <c r="O134" s="1121">
        <f t="shared" si="12"/>
        <v>1.506304734592782E-3</v>
      </c>
      <c r="P134" s="1122"/>
    </row>
    <row r="135" spans="1:16">
      <c r="A135" s="423">
        <v>42429</v>
      </c>
      <c r="B135" s="744">
        <v>0.33</v>
      </c>
      <c r="F135" s="1121">
        <f t="shared" si="11"/>
        <v>3.5435498704606753E-3</v>
      </c>
      <c r="G135" s="1122"/>
      <c r="H135" s="436">
        <v>40661</v>
      </c>
      <c r="I135" s="738">
        <v>1360.48</v>
      </c>
      <c r="J135" s="440">
        <f t="shared" si="10"/>
        <v>3.5554637593495642E-3</v>
      </c>
      <c r="L135" s="436">
        <v>40661</v>
      </c>
      <c r="M135" s="738">
        <v>79.06</v>
      </c>
      <c r="N135" s="115">
        <f t="shared" si="13"/>
        <v>-1.2632642748862111E-3</v>
      </c>
      <c r="O135" s="1121">
        <f t="shared" si="12"/>
        <v>-1.2751781637750999E-3</v>
      </c>
      <c r="P135" s="1122"/>
    </row>
    <row r="136" spans="1:16">
      <c r="A136" s="423">
        <v>42460</v>
      </c>
      <c r="B136" s="744">
        <v>0.21</v>
      </c>
      <c r="F136" s="1121">
        <f t="shared" si="11"/>
        <v>2.288744702196525E-3</v>
      </c>
      <c r="G136" s="1122"/>
      <c r="H136" s="436">
        <v>40662</v>
      </c>
      <c r="I136" s="738">
        <v>1363.61</v>
      </c>
      <c r="J136" s="440">
        <f t="shared" si="10"/>
        <v>2.3006585910854138E-3</v>
      </c>
      <c r="L136" s="436">
        <v>40662</v>
      </c>
      <c r="M136" s="738">
        <v>79.25</v>
      </c>
      <c r="N136" s="115">
        <f t="shared" si="13"/>
        <v>2.4032380470528913E-3</v>
      </c>
      <c r="O136" s="1121">
        <f t="shared" si="12"/>
        <v>2.3913241581640025E-3</v>
      </c>
      <c r="P136" s="1122"/>
    </row>
    <row r="137" spans="1:16">
      <c r="A137" s="423">
        <v>42489</v>
      </c>
      <c r="B137" s="744">
        <v>0.22</v>
      </c>
      <c r="F137" s="1121">
        <f t="shared" si="11"/>
        <v>-1.7646144410994398E-3</v>
      </c>
      <c r="G137" s="1122"/>
      <c r="H137" s="436">
        <v>40665</v>
      </c>
      <c r="I137" s="738">
        <v>1361.22</v>
      </c>
      <c r="J137" s="440">
        <f t="shared" si="10"/>
        <v>-1.752700552210551E-3</v>
      </c>
      <c r="L137" s="436">
        <v>40665</v>
      </c>
      <c r="M137" s="738">
        <v>78.739999999999995</v>
      </c>
      <c r="N137" s="115">
        <f t="shared" si="13"/>
        <v>-6.4353312302839472E-3</v>
      </c>
      <c r="O137" s="1121">
        <f t="shared" si="12"/>
        <v>-6.4472451191728364E-3</v>
      </c>
      <c r="P137" s="1122"/>
    </row>
    <row r="138" spans="1:16">
      <c r="A138" s="423">
        <v>42521</v>
      </c>
      <c r="B138" s="744">
        <v>0.34</v>
      </c>
      <c r="F138" s="1121">
        <f t="shared" si="11"/>
        <v>-3.3912353799043856E-3</v>
      </c>
      <c r="G138" s="1122"/>
      <c r="H138" s="436">
        <v>40666</v>
      </c>
      <c r="I138" s="738">
        <v>1356.62</v>
      </c>
      <c r="J138" s="440">
        <f t="shared" si="10"/>
        <v>-3.3793214910154967E-3</v>
      </c>
      <c r="L138" s="436">
        <v>40666</v>
      </c>
      <c r="M138" s="738">
        <v>79.89</v>
      </c>
      <c r="N138" s="115">
        <f t="shared" si="13"/>
        <v>1.4605029210058573E-2</v>
      </c>
      <c r="O138" s="1121">
        <f t="shared" si="12"/>
        <v>1.4593115321169685E-2</v>
      </c>
      <c r="P138" s="1122"/>
    </row>
    <row r="139" spans="1:16">
      <c r="A139" s="423">
        <v>42551</v>
      </c>
      <c r="B139" s="744">
        <v>0.26</v>
      </c>
      <c r="F139" s="1121">
        <f t="shared" si="11"/>
        <v>-6.8671865518306141E-3</v>
      </c>
      <c r="G139" s="1122"/>
      <c r="H139" s="436">
        <v>40667</v>
      </c>
      <c r="I139" s="738">
        <v>1347.32</v>
      </c>
      <c r="J139" s="440">
        <f t="shared" si="10"/>
        <v>-6.8552726629417249E-3</v>
      </c>
      <c r="L139" s="436">
        <v>40667</v>
      </c>
      <c r="M139" s="738">
        <v>78.91</v>
      </c>
      <c r="N139" s="115">
        <f t="shared" si="13"/>
        <v>-1.2266866942045374E-2</v>
      </c>
      <c r="O139" s="1121">
        <f t="shared" si="12"/>
        <v>-1.2278780830934262E-2</v>
      </c>
      <c r="P139" s="1122"/>
    </row>
    <row r="140" spans="1:16">
      <c r="A140" s="423">
        <v>42580</v>
      </c>
      <c r="B140" s="744">
        <v>0.27</v>
      </c>
      <c r="F140" s="1121">
        <f t="shared" si="11"/>
        <v>-9.0817710868819138E-3</v>
      </c>
      <c r="G140" s="1122"/>
      <c r="H140" s="436">
        <v>40668</v>
      </c>
      <c r="I140" s="738">
        <v>1335.1</v>
      </c>
      <c r="J140" s="440">
        <f t="shared" si="10"/>
        <v>-9.0698571979930254E-3</v>
      </c>
      <c r="L140" s="436">
        <v>40668</v>
      </c>
      <c r="M140" s="738">
        <v>79.81</v>
      </c>
      <c r="N140" s="115">
        <f t="shared" si="13"/>
        <v>1.1405398555316193E-2</v>
      </c>
      <c r="O140" s="1121">
        <f t="shared" si="12"/>
        <v>1.1393484666427305E-2</v>
      </c>
      <c r="P140" s="1122"/>
    </row>
    <row r="141" spans="1:16">
      <c r="A141" s="423">
        <v>42613</v>
      </c>
      <c r="B141" s="744">
        <v>0.33</v>
      </c>
      <c r="F141" s="1121">
        <f t="shared" si="11"/>
        <v>3.808024692490856E-3</v>
      </c>
      <c r="G141" s="1122"/>
      <c r="H141" s="436">
        <v>40669</v>
      </c>
      <c r="I141" s="738">
        <v>1340.2</v>
      </c>
      <c r="J141" s="440">
        <f t="shared" si="10"/>
        <v>3.8199385813797448E-3</v>
      </c>
      <c r="L141" s="436">
        <v>40669</v>
      </c>
      <c r="M141" s="738">
        <v>79.95</v>
      </c>
      <c r="N141" s="115">
        <f t="shared" si="13"/>
        <v>1.7541661445934498E-3</v>
      </c>
      <c r="O141" s="1121">
        <f t="shared" si="12"/>
        <v>1.7422522557045609E-3</v>
      </c>
      <c r="P141" s="1122"/>
    </row>
    <row r="142" spans="1:16">
      <c r="A142" s="423">
        <v>42643</v>
      </c>
      <c r="B142" s="744">
        <v>0.28000000000000003</v>
      </c>
      <c r="F142" s="1121">
        <f t="shared" si="11"/>
        <v>4.5321840069475405E-3</v>
      </c>
      <c r="G142" s="1122"/>
      <c r="H142" s="436">
        <v>40672</v>
      </c>
      <c r="I142" s="738">
        <v>1346.29</v>
      </c>
      <c r="J142" s="440">
        <f t="shared" si="10"/>
        <v>4.5440978958364298E-3</v>
      </c>
      <c r="L142" s="436">
        <v>40672</v>
      </c>
      <c r="M142" s="738">
        <v>79.930000000000007</v>
      </c>
      <c r="N142" s="115">
        <f t="shared" si="13"/>
        <v>-2.5015634771730078E-4</v>
      </c>
      <c r="O142" s="1121">
        <f t="shared" si="12"/>
        <v>-2.6207023660618965E-4</v>
      </c>
      <c r="P142" s="1122"/>
    </row>
    <row r="143" spans="1:16">
      <c r="A143" s="423">
        <v>42674</v>
      </c>
      <c r="B143" s="744">
        <v>0.34</v>
      </c>
      <c r="F143" s="1121">
        <f t="shared" si="11"/>
        <v>8.0621266224424268E-3</v>
      </c>
      <c r="G143" s="1122"/>
      <c r="H143" s="436">
        <v>40673</v>
      </c>
      <c r="I143" s="738">
        <v>1357.16</v>
      </c>
      <c r="J143" s="440">
        <f t="shared" si="10"/>
        <v>8.0740405113313152E-3</v>
      </c>
      <c r="L143" s="436">
        <v>40673</v>
      </c>
      <c r="M143" s="738">
        <v>79.45</v>
      </c>
      <c r="N143" s="115">
        <f t="shared" si="13"/>
        <v>-6.0052545977731242E-3</v>
      </c>
      <c r="O143" s="1121">
        <f t="shared" si="12"/>
        <v>-6.0171684866620135E-3</v>
      </c>
      <c r="P143" s="1122"/>
    </row>
    <row r="144" spans="1:16">
      <c r="A144" s="423">
        <v>42704</v>
      </c>
      <c r="B144" s="744">
        <v>0.48</v>
      </c>
      <c r="F144" s="1121">
        <f t="shared" si="11"/>
        <v>-1.1123352481243638E-2</v>
      </c>
      <c r="G144" s="1122"/>
      <c r="H144" s="436">
        <v>40674</v>
      </c>
      <c r="I144" s="738">
        <v>1342.08</v>
      </c>
      <c r="J144" s="440">
        <f t="shared" si="10"/>
        <v>-1.111143859235475E-2</v>
      </c>
      <c r="L144" s="436">
        <v>40674</v>
      </c>
      <c r="M144" s="738">
        <v>79.38</v>
      </c>
      <c r="N144" s="115">
        <f t="shared" si="13"/>
        <v>-8.8105726872256263E-4</v>
      </c>
      <c r="O144" s="1121">
        <f t="shared" si="12"/>
        <v>-8.9297115761145156E-4</v>
      </c>
      <c r="P144" s="1122"/>
    </row>
    <row r="145" spans="1:16">
      <c r="A145" s="423">
        <v>42734</v>
      </c>
      <c r="B145" s="744">
        <v>0.5</v>
      </c>
      <c r="F145" s="1121">
        <f t="shared" si="11"/>
        <v>4.8834723772056476E-3</v>
      </c>
      <c r="G145" s="1122"/>
      <c r="H145" s="436">
        <v>40675</v>
      </c>
      <c r="I145" s="738">
        <v>1348.65</v>
      </c>
      <c r="J145" s="440">
        <f t="shared" si="10"/>
        <v>4.8953862660945369E-3</v>
      </c>
      <c r="L145" s="436">
        <v>40675</v>
      </c>
      <c r="M145" s="738">
        <v>80.069999999999993</v>
      </c>
      <c r="N145" s="115">
        <f t="shared" si="13"/>
        <v>8.6923658352229261E-3</v>
      </c>
      <c r="O145" s="1121">
        <f t="shared" si="12"/>
        <v>8.6804519463340377E-3</v>
      </c>
      <c r="P145" s="1122"/>
    </row>
    <row r="146" spans="1:16">
      <c r="A146" s="423">
        <v>42766</v>
      </c>
      <c r="B146" s="744">
        <v>0.52</v>
      </c>
      <c r="F146" s="1121">
        <f t="shared" si="11"/>
        <v>-8.0792404747340799E-3</v>
      </c>
      <c r="G146" s="1122"/>
      <c r="H146" s="436">
        <v>40676</v>
      </c>
      <c r="I146" s="738">
        <v>1337.77</v>
      </c>
      <c r="J146" s="440">
        <f t="shared" si="10"/>
        <v>-8.0673265858451915E-3</v>
      </c>
      <c r="L146" s="436">
        <v>40676</v>
      </c>
      <c r="M146" s="738">
        <v>79.59</v>
      </c>
      <c r="N146" s="115">
        <f t="shared" si="13"/>
        <v>-5.9947545897338639E-3</v>
      </c>
      <c r="O146" s="1121">
        <f t="shared" si="12"/>
        <v>-6.0066684786227531E-3</v>
      </c>
      <c r="P146" s="1122"/>
    </row>
    <row r="147" spans="1:16">
      <c r="A147" s="423">
        <v>42794</v>
      </c>
      <c r="B147" s="744">
        <v>0.53</v>
      </c>
      <c r="F147" s="1121">
        <f t="shared" si="11"/>
        <v>-6.2162688975974179E-3</v>
      </c>
      <c r="G147" s="1122"/>
      <c r="H147" s="436">
        <v>40679</v>
      </c>
      <c r="I147" s="738">
        <v>1329.47</v>
      </c>
      <c r="J147" s="440">
        <f t="shared" si="10"/>
        <v>-6.2043550087085286E-3</v>
      </c>
      <c r="L147" s="436">
        <v>40679</v>
      </c>
      <c r="M147" s="738">
        <v>80.34</v>
      </c>
      <c r="N147" s="115">
        <f t="shared" si="13"/>
        <v>9.423294383716474E-3</v>
      </c>
      <c r="O147" s="1121">
        <f t="shared" si="12"/>
        <v>9.4113804948275856E-3</v>
      </c>
      <c r="P147" s="1122"/>
    </row>
    <row r="148" spans="1:16">
      <c r="A148" s="423">
        <v>42825</v>
      </c>
      <c r="B148" s="744">
        <v>0.75</v>
      </c>
      <c r="F148" s="1121">
        <f t="shared" si="11"/>
        <v>-3.8048181445316708E-4</v>
      </c>
      <c r="G148" s="1122"/>
      <c r="H148" s="436">
        <v>40680</v>
      </c>
      <c r="I148" s="738">
        <v>1328.98</v>
      </c>
      <c r="J148" s="440">
        <f t="shared" si="10"/>
        <v>-3.685679255642782E-4</v>
      </c>
      <c r="L148" s="436">
        <v>40680</v>
      </c>
      <c r="M148" s="738">
        <v>79.56</v>
      </c>
      <c r="N148" s="115">
        <f t="shared" si="13"/>
        <v>-9.7087378640776656E-3</v>
      </c>
      <c r="O148" s="1121">
        <f t="shared" si="12"/>
        <v>-9.720651752966554E-3</v>
      </c>
      <c r="P148" s="1122"/>
    </row>
    <row r="149" spans="1:16">
      <c r="A149" s="423">
        <v>42853</v>
      </c>
      <c r="B149" s="744">
        <v>0.79</v>
      </c>
      <c r="F149" s="1121">
        <f t="shared" si="11"/>
        <v>8.7918303360053837E-3</v>
      </c>
      <c r="G149" s="1122"/>
      <c r="H149" s="436">
        <v>40681</v>
      </c>
      <c r="I149" s="738">
        <v>1340.68</v>
      </c>
      <c r="J149" s="440">
        <f t="shared" si="10"/>
        <v>8.8037442248942721E-3</v>
      </c>
      <c r="L149" s="436">
        <v>40681</v>
      </c>
      <c r="M149" s="738">
        <v>80.010000000000005</v>
      </c>
      <c r="N149" s="115">
        <f t="shared" si="13"/>
        <v>5.6561085972850478E-3</v>
      </c>
      <c r="O149" s="1121">
        <f t="shared" si="12"/>
        <v>5.6441947083961585E-3</v>
      </c>
      <c r="P149" s="1122"/>
    </row>
    <row r="150" spans="1:16">
      <c r="A150" s="423">
        <v>42886</v>
      </c>
      <c r="B150" s="744">
        <v>0.96</v>
      </c>
      <c r="F150" s="1121">
        <f t="shared" si="11"/>
        <v>2.1660853353851965E-3</v>
      </c>
      <c r="G150" s="1122"/>
      <c r="H150" s="436">
        <v>40682</v>
      </c>
      <c r="I150" s="738">
        <v>1343.6</v>
      </c>
      <c r="J150" s="440">
        <f t="shared" si="10"/>
        <v>2.1779992242740853E-3</v>
      </c>
      <c r="L150" s="436">
        <v>40682</v>
      </c>
      <c r="M150" s="738">
        <v>80.38</v>
      </c>
      <c r="N150" s="115">
        <f t="shared" si="13"/>
        <v>4.6244219472564296E-3</v>
      </c>
      <c r="O150" s="1121">
        <f t="shared" si="12"/>
        <v>4.6125080583675404E-3</v>
      </c>
      <c r="P150" s="1122"/>
    </row>
    <row r="151" spans="1:16">
      <c r="A151" s="423">
        <v>42916</v>
      </c>
      <c r="B151" s="744">
        <v>1.01</v>
      </c>
      <c r="F151" s="1121">
        <f t="shared" si="11"/>
        <v>-7.7002139782010948E-3</v>
      </c>
      <c r="G151" s="1122"/>
      <c r="H151" s="436">
        <v>40683</v>
      </c>
      <c r="I151" s="738">
        <v>1333.27</v>
      </c>
      <c r="J151" s="440">
        <f t="shared" si="10"/>
        <v>-7.6883000893122055E-3</v>
      </c>
      <c r="L151" s="436">
        <v>40683</v>
      </c>
      <c r="M151" s="738">
        <v>79.75</v>
      </c>
      <c r="N151" s="115">
        <f t="shared" si="13"/>
        <v>-7.8377705896989225E-3</v>
      </c>
      <c r="O151" s="1121">
        <f t="shared" si="12"/>
        <v>-7.8496844785878109E-3</v>
      </c>
      <c r="P151" s="1122"/>
    </row>
    <row r="152" spans="1:16">
      <c r="A152" s="423">
        <v>42947</v>
      </c>
      <c r="B152" s="744">
        <v>1.05</v>
      </c>
      <c r="F152" s="1121">
        <f t="shared" si="11"/>
        <v>-1.1937480353296011E-2</v>
      </c>
      <c r="G152" s="1122"/>
      <c r="H152" s="436">
        <v>40686</v>
      </c>
      <c r="I152" s="738">
        <v>1317.37</v>
      </c>
      <c r="J152" s="440">
        <f t="shared" si="10"/>
        <v>-1.1925566464407122E-2</v>
      </c>
      <c r="L152" s="436">
        <v>40686</v>
      </c>
      <c r="M152" s="738">
        <v>79.23</v>
      </c>
      <c r="N152" s="115">
        <f t="shared" si="13"/>
        <v>-6.5203761755485701E-3</v>
      </c>
      <c r="O152" s="1121">
        <f t="shared" si="12"/>
        <v>-6.5322900644374593E-3</v>
      </c>
      <c r="P152" s="1122"/>
    </row>
    <row r="153" spans="1:16">
      <c r="A153" s="423">
        <v>42978</v>
      </c>
      <c r="B153" s="744">
        <v>0.99</v>
      </c>
      <c r="F153" s="1121">
        <f t="shared" si="11"/>
        <v>-8.3932000865772542E-4</v>
      </c>
      <c r="G153" s="1122"/>
      <c r="H153" s="436">
        <v>40687</v>
      </c>
      <c r="I153" s="738">
        <v>1316.28</v>
      </c>
      <c r="J153" s="440">
        <f t="shared" si="10"/>
        <v>-8.2740611976883649E-4</v>
      </c>
      <c r="L153" s="436">
        <v>40687</v>
      </c>
      <c r="M153" s="738">
        <v>78.599999999999994</v>
      </c>
      <c r="N153" s="115">
        <f t="shared" si="13"/>
        <v>-7.9515335100341922E-3</v>
      </c>
      <c r="O153" s="1121">
        <f t="shared" si="12"/>
        <v>-7.9634473989230806E-3</v>
      </c>
      <c r="P153" s="1122"/>
    </row>
    <row r="154" spans="1:16">
      <c r="A154" s="423">
        <v>43007</v>
      </c>
      <c r="B154" s="744">
        <v>1.04</v>
      </c>
      <c r="F154" s="1121">
        <f t="shared" si="11"/>
        <v>3.1712994091935768E-3</v>
      </c>
      <c r="G154" s="1122"/>
      <c r="H154" s="436">
        <v>40688</v>
      </c>
      <c r="I154" s="738">
        <v>1320.47</v>
      </c>
      <c r="J154" s="440">
        <f t="shared" si="10"/>
        <v>3.1832132980824657E-3</v>
      </c>
      <c r="L154" s="436">
        <v>40688</v>
      </c>
      <c r="M154" s="738">
        <v>78.459999999999994</v>
      </c>
      <c r="N154" s="115">
        <f t="shared" si="13"/>
        <v>-1.7811704834606035E-3</v>
      </c>
      <c r="O154" s="1121">
        <f t="shared" si="12"/>
        <v>-1.7930843723494923E-3</v>
      </c>
      <c r="P154" s="1122"/>
    </row>
    <row r="155" spans="1:16">
      <c r="A155" s="423">
        <v>43039</v>
      </c>
      <c r="B155" s="744">
        <v>1.1299999999999999</v>
      </c>
      <c r="F155" s="1121">
        <f t="shared" si="11"/>
        <v>3.9412240089807737E-3</v>
      </c>
      <c r="G155" s="1122"/>
      <c r="H155" s="436">
        <v>40689</v>
      </c>
      <c r="I155" s="738">
        <v>1325.69</v>
      </c>
      <c r="J155" s="440">
        <f t="shared" si="10"/>
        <v>3.953137897869663E-3</v>
      </c>
      <c r="L155" s="436">
        <v>40689</v>
      </c>
      <c r="M155" s="738">
        <v>77.739999999999995</v>
      </c>
      <c r="N155" s="115">
        <f t="shared" si="13"/>
        <v>-9.1766505225592265E-3</v>
      </c>
      <c r="O155" s="1121">
        <f t="shared" si="12"/>
        <v>-9.1885644114481149E-3</v>
      </c>
      <c r="P155" s="1122"/>
    </row>
    <row r="156" spans="1:16">
      <c r="A156" s="423">
        <v>43069</v>
      </c>
      <c r="B156" s="744">
        <v>1.25</v>
      </c>
      <c r="F156" s="1121">
        <f t="shared" si="11"/>
        <v>4.0689798343796968E-3</v>
      </c>
      <c r="G156" s="1122"/>
      <c r="H156" s="436">
        <v>40690</v>
      </c>
      <c r="I156" s="738">
        <v>1331.1</v>
      </c>
      <c r="J156" s="440">
        <f t="shared" si="10"/>
        <v>4.080893723268586E-3</v>
      </c>
      <c r="L156" s="436">
        <v>40690</v>
      </c>
      <c r="M156" s="738">
        <v>77.260000000000005</v>
      </c>
      <c r="N156" s="115">
        <f t="shared" si="13"/>
        <v>-6.174427579109687E-3</v>
      </c>
      <c r="O156" s="1121">
        <f t="shared" si="12"/>
        <v>-6.1863414679985762E-3</v>
      </c>
      <c r="P156" s="1122"/>
    </row>
    <row r="157" spans="1:16">
      <c r="A157" s="423">
        <v>43098</v>
      </c>
      <c r="B157" s="744">
        <v>1.37</v>
      </c>
      <c r="F157" s="1121">
        <f t="shared" si="11"/>
        <v>-1.1913888888888887E-5</v>
      </c>
      <c r="G157" s="1122"/>
      <c r="H157" s="436">
        <v>40693</v>
      </c>
      <c r="I157" s="738">
        <v>1331.1</v>
      </c>
      <c r="J157" s="440">
        <f t="shared" ref="J157:J220" si="14">I157/I156-1</f>
        <v>0</v>
      </c>
      <c r="L157" s="436">
        <v>40693</v>
      </c>
      <c r="M157" s="738">
        <v>77.260000000000005</v>
      </c>
      <c r="N157" s="115">
        <f t="shared" si="13"/>
        <v>0</v>
      </c>
      <c r="O157" s="1121">
        <f t="shared" si="12"/>
        <v>-1.1913888888888887E-5</v>
      </c>
      <c r="P157" s="1122"/>
    </row>
    <row r="158" spans="1:16">
      <c r="A158" s="423">
        <v>43131</v>
      </c>
      <c r="B158" s="744">
        <v>1.44</v>
      </c>
      <c r="F158" s="1121">
        <f t="shared" ref="F158:F221" si="15">J158-$I$19</f>
        <v>1.058082895537537E-2</v>
      </c>
      <c r="G158" s="1122"/>
      <c r="H158" s="436">
        <v>40694</v>
      </c>
      <c r="I158" s="738">
        <v>1345.2</v>
      </c>
      <c r="J158" s="440">
        <f t="shared" si="14"/>
        <v>1.0592742844264258E-2</v>
      </c>
      <c r="L158" s="436">
        <v>40694</v>
      </c>
      <c r="M158" s="738">
        <v>77.900000000000006</v>
      </c>
      <c r="N158" s="115">
        <f t="shared" si="13"/>
        <v>8.2837173181464774E-3</v>
      </c>
      <c r="O158" s="1121">
        <f t="shared" ref="O158:O221" si="16">N158-$I$19</f>
        <v>8.271803429257589E-3</v>
      </c>
      <c r="P158" s="1122"/>
    </row>
    <row r="159" spans="1:16">
      <c r="A159" s="423">
        <v>43159</v>
      </c>
      <c r="B159" s="744">
        <v>1.63</v>
      </c>
      <c r="F159" s="1121">
        <f t="shared" si="15"/>
        <v>-2.2796629916245433E-2</v>
      </c>
      <c r="G159" s="1122"/>
      <c r="H159" s="436">
        <v>40695</v>
      </c>
      <c r="I159" s="738">
        <v>1314.55</v>
      </c>
      <c r="J159" s="440">
        <f t="shared" si="14"/>
        <v>-2.2784716027356544E-2</v>
      </c>
      <c r="L159" s="436">
        <v>40695</v>
      </c>
      <c r="M159" s="738">
        <v>75.760000000000005</v>
      </c>
      <c r="N159" s="115">
        <f t="shared" si="13"/>
        <v>-2.7471116816431329E-2</v>
      </c>
      <c r="O159" s="1121">
        <f t="shared" si="16"/>
        <v>-2.7483030705320217E-2</v>
      </c>
      <c r="P159" s="1122"/>
    </row>
    <row r="160" spans="1:16">
      <c r="A160" s="423">
        <v>43189</v>
      </c>
      <c r="B160" s="744">
        <v>1.7</v>
      </c>
      <c r="F160" s="1121">
        <f t="shared" si="15"/>
        <v>-1.2366676068911249E-3</v>
      </c>
      <c r="G160" s="1122"/>
      <c r="H160" s="436">
        <v>40696</v>
      </c>
      <c r="I160" s="738">
        <v>1312.94</v>
      </c>
      <c r="J160" s="440">
        <f t="shared" si="14"/>
        <v>-1.2247537180022361E-3</v>
      </c>
      <c r="L160" s="436">
        <v>40696</v>
      </c>
      <c r="M160" s="738">
        <v>75.73</v>
      </c>
      <c r="N160" s="115">
        <f t="shared" si="13"/>
        <v>-3.9598732840551154E-4</v>
      </c>
      <c r="O160" s="1121">
        <f t="shared" si="16"/>
        <v>-4.0790121729440042E-4</v>
      </c>
      <c r="P160" s="1122"/>
    </row>
    <row r="161" spans="1:16">
      <c r="A161" s="423">
        <v>43220</v>
      </c>
      <c r="B161" s="744">
        <v>1.84</v>
      </c>
      <c r="F161" s="1121">
        <f t="shared" si="15"/>
        <v>-9.7457935787451724E-3</v>
      </c>
      <c r="G161" s="1122"/>
      <c r="H161" s="436">
        <v>40697</v>
      </c>
      <c r="I161" s="738">
        <v>1300.1600000000001</v>
      </c>
      <c r="J161" s="440">
        <f t="shared" si="14"/>
        <v>-9.733879689856284E-3</v>
      </c>
      <c r="L161" s="436">
        <v>40697</v>
      </c>
      <c r="M161" s="738">
        <v>76.28</v>
      </c>
      <c r="N161" s="115">
        <f t="shared" si="13"/>
        <v>7.2626436022711349E-3</v>
      </c>
      <c r="O161" s="1121">
        <f t="shared" si="16"/>
        <v>7.2507297133822457E-3</v>
      </c>
      <c r="P161" s="1122"/>
    </row>
    <row r="162" spans="1:16">
      <c r="A162" s="423">
        <v>43251</v>
      </c>
      <c r="B162" s="744">
        <v>1.89</v>
      </c>
      <c r="F162" s="1121">
        <f t="shared" si="15"/>
        <v>-1.0772128016380951E-2</v>
      </c>
      <c r="G162" s="1122"/>
      <c r="H162" s="436">
        <v>40700</v>
      </c>
      <c r="I162" s="738">
        <v>1286.17</v>
      </c>
      <c r="J162" s="440">
        <f t="shared" si="14"/>
        <v>-1.0760214127492063E-2</v>
      </c>
      <c r="L162" s="436">
        <v>40700</v>
      </c>
      <c r="M162" s="738">
        <v>77.38</v>
      </c>
      <c r="N162" s="115">
        <f t="shared" si="13"/>
        <v>1.4420555846879735E-2</v>
      </c>
      <c r="O162" s="1121">
        <f t="shared" si="16"/>
        <v>1.4408641957990846E-2</v>
      </c>
      <c r="P162" s="1122"/>
    </row>
    <row r="163" spans="1:16">
      <c r="A163" s="423">
        <v>43280</v>
      </c>
      <c r="B163" s="744">
        <v>1.89</v>
      </c>
      <c r="F163" s="1121">
        <f t="shared" si="15"/>
        <v>-9.6824159051468099E-4</v>
      </c>
      <c r="G163" s="1122"/>
      <c r="H163" s="436">
        <v>40701</v>
      </c>
      <c r="I163" s="738">
        <v>1284.94</v>
      </c>
      <c r="J163" s="440">
        <f t="shared" si="14"/>
        <v>-9.5632770162579206E-4</v>
      </c>
      <c r="L163" s="436">
        <v>40701</v>
      </c>
      <c r="M163" s="738">
        <v>77.290000000000006</v>
      </c>
      <c r="N163" s="115">
        <f t="shared" si="13"/>
        <v>-1.1630912380459213E-3</v>
      </c>
      <c r="O163" s="1121">
        <f t="shared" si="16"/>
        <v>-1.1750051269348101E-3</v>
      </c>
      <c r="P163" s="1122"/>
    </row>
    <row r="164" spans="1:16">
      <c r="A164" s="423">
        <v>43312</v>
      </c>
      <c r="B164" s="744">
        <v>1.99</v>
      </c>
      <c r="F164" s="1121">
        <f t="shared" si="15"/>
        <v>-4.1988798172592013E-3</v>
      </c>
      <c r="G164" s="1122"/>
      <c r="H164" s="436">
        <v>40702</v>
      </c>
      <c r="I164" s="738">
        <v>1279.56</v>
      </c>
      <c r="J164" s="440">
        <f t="shared" si="14"/>
        <v>-4.186965928370312E-3</v>
      </c>
      <c r="L164" s="436">
        <v>40702</v>
      </c>
      <c r="M164" s="738">
        <v>77.12</v>
      </c>
      <c r="N164" s="115">
        <f t="shared" si="13"/>
        <v>-2.1995083451934461E-3</v>
      </c>
      <c r="O164" s="1121">
        <f t="shared" si="16"/>
        <v>-2.2114222340823349E-3</v>
      </c>
      <c r="P164" s="1122"/>
    </row>
    <row r="165" spans="1:16">
      <c r="A165" s="423">
        <v>43343</v>
      </c>
      <c r="B165" s="744">
        <v>2.0699999999999998</v>
      </c>
      <c r="F165" s="1121">
        <f t="shared" si="15"/>
        <v>7.3656221391208343E-3</v>
      </c>
      <c r="G165" s="1122"/>
      <c r="H165" s="436">
        <v>40703</v>
      </c>
      <c r="I165" s="738">
        <v>1289</v>
      </c>
      <c r="J165" s="440">
        <f t="shared" si="14"/>
        <v>7.3775360280097235E-3</v>
      </c>
      <c r="L165" s="436">
        <v>40703</v>
      </c>
      <c r="M165" s="738">
        <v>77.89</v>
      </c>
      <c r="N165" s="115">
        <f t="shared" si="13"/>
        <v>9.9844398340247498E-3</v>
      </c>
      <c r="O165" s="1121">
        <f t="shared" si="16"/>
        <v>9.9725259451358614E-3</v>
      </c>
      <c r="P165" s="1122"/>
    </row>
    <row r="166" spans="1:16">
      <c r="A166" s="423">
        <v>43371</v>
      </c>
      <c r="B166" s="744">
        <v>2.15</v>
      </c>
      <c r="F166" s="1121">
        <f t="shared" si="15"/>
        <v>-1.3991743213947035E-2</v>
      </c>
      <c r="G166" s="1122"/>
      <c r="H166" s="436">
        <v>40704</v>
      </c>
      <c r="I166" s="738">
        <v>1270.98</v>
      </c>
      <c r="J166" s="440">
        <f t="shared" si="14"/>
        <v>-1.3979829325058146E-2</v>
      </c>
      <c r="L166" s="436">
        <v>40704</v>
      </c>
      <c r="M166" s="738">
        <v>77.3</v>
      </c>
      <c r="N166" s="115">
        <f t="shared" si="13"/>
        <v>-7.5747849531391243E-3</v>
      </c>
      <c r="O166" s="1121">
        <f t="shared" si="16"/>
        <v>-7.5866988420280135E-3</v>
      </c>
      <c r="P166" s="1122"/>
    </row>
    <row r="167" spans="1:16">
      <c r="A167" s="423">
        <v>43404</v>
      </c>
      <c r="B167" s="744">
        <v>2.29</v>
      </c>
      <c r="F167" s="1121">
        <f t="shared" si="15"/>
        <v>6.5686138688258262E-4</v>
      </c>
      <c r="G167" s="1122"/>
      <c r="H167" s="436">
        <v>40707</v>
      </c>
      <c r="I167" s="738">
        <v>1271.83</v>
      </c>
      <c r="J167" s="440">
        <f t="shared" si="14"/>
        <v>6.6877527577147156E-4</v>
      </c>
      <c r="L167" s="436">
        <v>40707</v>
      </c>
      <c r="M167" s="738">
        <v>78.86</v>
      </c>
      <c r="N167" s="115">
        <f t="shared" si="13"/>
        <v>2.0181112548512292E-2</v>
      </c>
      <c r="O167" s="1121">
        <f t="shared" si="16"/>
        <v>2.0169198659623404E-2</v>
      </c>
      <c r="P167" s="1122"/>
    </row>
    <row r="168" spans="1:16">
      <c r="A168" s="423">
        <v>43434</v>
      </c>
      <c r="B168" s="744">
        <v>2.3199999999999998</v>
      </c>
      <c r="F168" s="1121">
        <f t="shared" si="15"/>
        <v>1.2599834536608172E-2</v>
      </c>
      <c r="G168" s="1122"/>
      <c r="H168" s="436">
        <v>40708</v>
      </c>
      <c r="I168" s="738">
        <v>1287.8699999999999</v>
      </c>
      <c r="J168" s="440">
        <f t="shared" si="14"/>
        <v>1.261174842549706E-2</v>
      </c>
      <c r="L168" s="436">
        <v>40708</v>
      </c>
      <c r="M168" s="738">
        <v>79.64</v>
      </c>
      <c r="N168" s="115">
        <f t="shared" si="13"/>
        <v>9.8909459802181132E-3</v>
      </c>
      <c r="O168" s="1121">
        <f t="shared" si="16"/>
        <v>9.8790320913292248E-3</v>
      </c>
      <c r="P168" s="1122"/>
    </row>
    <row r="169" spans="1:16" ht="17" thickBot="1">
      <c r="A169" s="423">
        <v>43465</v>
      </c>
      <c r="B169" s="744">
        <v>2.4</v>
      </c>
      <c r="F169" s="1121">
        <f t="shared" si="15"/>
        <v>-1.7443797541741864E-2</v>
      </c>
      <c r="G169" s="1122"/>
      <c r="H169" s="436">
        <v>40709</v>
      </c>
      <c r="I169" s="738">
        <v>1265.42</v>
      </c>
      <c r="J169" s="440">
        <f t="shared" si="14"/>
        <v>-1.7431883652852975E-2</v>
      </c>
      <c r="L169" s="436">
        <v>40709</v>
      </c>
      <c r="M169" s="738">
        <v>79.63</v>
      </c>
      <c r="N169" s="115">
        <f t="shared" si="13"/>
        <v>-1.2556504269223279E-4</v>
      </c>
      <c r="O169" s="1121">
        <f t="shared" si="16"/>
        <v>-1.3747893158112167E-4</v>
      </c>
      <c r="P169" s="1122"/>
    </row>
    <row r="170" spans="1:16" ht="16" customHeight="1">
      <c r="A170" s="423">
        <v>43496</v>
      </c>
      <c r="B170" s="745">
        <f>_xlfn.FORECAST.ETS(A170,B$2:B169,A$2:A169)</f>
        <v>2.3811806353480689</v>
      </c>
      <c r="C170" s="1113" t="s">
        <v>181</v>
      </c>
      <c r="D170" s="1114"/>
      <c r="E170" s="1114"/>
      <c r="F170" s="1121">
        <f t="shared" si="15"/>
        <v>1.7424443479020428E-3</v>
      </c>
      <c r="G170" s="1122"/>
      <c r="H170" s="436">
        <v>40710</v>
      </c>
      <c r="I170" s="738">
        <v>1267.6400000000001</v>
      </c>
      <c r="J170" s="440">
        <f t="shared" si="14"/>
        <v>1.7543582367909316E-3</v>
      </c>
      <c r="L170" s="436">
        <v>40710</v>
      </c>
      <c r="M170" s="738">
        <v>79.91</v>
      </c>
      <c r="N170" s="115">
        <f t="shared" si="13"/>
        <v>3.5162627150571168E-3</v>
      </c>
      <c r="O170" s="1121">
        <f t="shared" si="16"/>
        <v>3.504348826168228E-3</v>
      </c>
      <c r="P170" s="1122"/>
    </row>
    <row r="171" spans="1:16">
      <c r="A171" s="423">
        <v>43524</v>
      </c>
      <c r="B171" s="745">
        <f>_xlfn.FORECAST.ETS(A171,B$2:B170,A$2:A170)</f>
        <v>2.3646977169046508</v>
      </c>
      <c r="C171" s="1115"/>
      <c r="D171" s="1116"/>
      <c r="E171" s="1116"/>
      <c r="F171" s="1121">
        <f t="shared" si="15"/>
        <v>3.0331146681145042E-3</v>
      </c>
      <c r="G171" s="1122"/>
      <c r="H171" s="436">
        <v>40711</v>
      </c>
      <c r="I171" s="738">
        <v>1271.5</v>
      </c>
      <c r="J171" s="440">
        <f t="shared" si="14"/>
        <v>3.045028557003393E-3</v>
      </c>
      <c r="L171" s="436">
        <v>40711</v>
      </c>
      <c r="M171" s="738">
        <v>80.010000000000005</v>
      </c>
      <c r="N171" s="115">
        <f t="shared" si="13"/>
        <v>1.2514078338130563E-3</v>
      </c>
      <c r="O171" s="1121">
        <f t="shared" si="16"/>
        <v>1.2394939449241675E-3</v>
      </c>
      <c r="P171" s="1122"/>
    </row>
    <row r="172" spans="1:16">
      <c r="A172" s="423">
        <v>43553</v>
      </c>
      <c r="B172" s="745">
        <f>_xlfn.FORECAST.ETS(A172,B$2:B171,A$2:A171)</f>
        <v>2.3464287531283019</v>
      </c>
      <c r="C172" s="1115"/>
      <c r="D172" s="1116"/>
      <c r="E172" s="1116"/>
      <c r="F172" s="1121">
        <f t="shared" si="15"/>
        <v>5.3832886278236602E-3</v>
      </c>
      <c r="G172" s="1122"/>
      <c r="H172" s="436">
        <v>40714</v>
      </c>
      <c r="I172" s="738">
        <v>1278.3599999999999</v>
      </c>
      <c r="J172" s="440">
        <f t="shared" si="14"/>
        <v>5.3952025167125495E-3</v>
      </c>
      <c r="L172" s="436">
        <v>40714</v>
      </c>
      <c r="M172" s="738">
        <v>80.34</v>
      </c>
      <c r="N172" s="115">
        <f t="shared" si="13"/>
        <v>4.1244844394450197E-3</v>
      </c>
      <c r="O172" s="1121">
        <f t="shared" si="16"/>
        <v>4.1125705505561305E-3</v>
      </c>
      <c r="P172" s="1122"/>
    </row>
    <row r="173" spans="1:16">
      <c r="A173" s="423">
        <v>43585</v>
      </c>
      <c r="B173" s="745">
        <f>_xlfn.FORECAST.ETS(A173,B$2:B172,A$2:A172)</f>
        <v>2.3286901470686754</v>
      </c>
      <c r="C173" s="1115"/>
      <c r="D173" s="1116"/>
      <c r="E173" s="1116"/>
      <c r="F173" s="1121">
        <f t="shared" si="15"/>
        <v>1.3411534904878113E-2</v>
      </c>
      <c r="G173" s="1122"/>
      <c r="H173" s="436">
        <v>40715</v>
      </c>
      <c r="I173" s="738">
        <v>1295.52</v>
      </c>
      <c r="J173" s="440">
        <f t="shared" si="14"/>
        <v>1.3423448793767001E-2</v>
      </c>
      <c r="L173" s="436">
        <v>40715</v>
      </c>
      <c r="M173" s="738">
        <v>80.650000000000006</v>
      </c>
      <c r="N173" s="115">
        <f t="shared" si="13"/>
        <v>3.8586009459795623E-3</v>
      </c>
      <c r="O173" s="1121">
        <f t="shared" si="16"/>
        <v>3.8466870570906734E-3</v>
      </c>
      <c r="P173" s="1122"/>
    </row>
    <row r="174" spans="1:16">
      <c r="A174" s="423">
        <v>43616</v>
      </c>
      <c r="B174" s="745">
        <f>_xlfn.FORECAST.ETS(A174,B$2:B173,A$2:A173)</f>
        <v>2.3114997731721676</v>
      </c>
      <c r="C174" s="1115"/>
      <c r="D174" s="1116"/>
      <c r="E174" s="1116"/>
      <c r="F174" s="1121">
        <f t="shared" si="15"/>
        <v>-6.4803589920133875E-3</v>
      </c>
      <c r="G174" s="1122"/>
      <c r="H174" s="436">
        <v>40716</v>
      </c>
      <c r="I174" s="738">
        <v>1287.1400000000001</v>
      </c>
      <c r="J174" s="440">
        <f t="shared" si="14"/>
        <v>-6.4684451031244983E-3</v>
      </c>
      <c r="L174" s="436">
        <v>40716</v>
      </c>
      <c r="M174" s="738">
        <v>80.010000000000005</v>
      </c>
      <c r="N174" s="115">
        <f t="shared" si="13"/>
        <v>-7.9355238685678842E-3</v>
      </c>
      <c r="O174" s="1121">
        <f t="shared" si="16"/>
        <v>-7.9474377574567726E-3</v>
      </c>
      <c r="P174" s="1122"/>
    </row>
    <row r="175" spans="1:16">
      <c r="A175" s="423">
        <v>43644</v>
      </c>
      <c r="B175" s="745">
        <f>_xlfn.FORECAST.ETS(A175,B$2:B174,A$2:A174)</f>
        <v>2.2969057591113491</v>
      </c>
      <c r="C175" s="1115"/>
      <c r="D175" s="1116"/>
      <c r="E175" s="1116"/>
      <c r="F175" s="1121">
        <f t="shared" si="15"/>
        <v>-2.8398890897217773E-3</v>
      </c>
      <c r="G175" s="1122"/>
      <c r="H175" s="436">
        <v>40717</v>
      </c>
      <c r="I175" s="738">
        <v>1283.5</v>
      </c>
      <c r="J175" s="440">
        <f t="shared" si="14"/>
        <v>-2.8279752008328884E-3</v>
      </c>
      <c r="L175" s="436">
        <v>40717</v>
      </c>
      <c r="M175" s="738">
        <v>79.69</v>
      </c>
      <c r="N175" s="115">
        <f t="shared" si="13"/>
        <v>-3.9995000624922783E-3</v>
      </c>
      <c r="O175" s="1121">
        <f t="shared" si="16"/>
        <v>-4.0114139513811676E-3</v>
      </c>
      <c r="P175" s="1122"/>
    </row>
    <row r="176" spans="1:16">
      <c r="A176" s="423">
        <v>43677</v>
      </c>
      <c r="B176" s="745">
        <f>_xlfn.FORECAST.ETS(A176,B$2:B175,A$2:A175)</f>
        <v>2.2797097375725834</v>
      </c>
      <c r="C176" s="1115"/>
      <c r="D176" s="1116"/>
      <c r="E176" s="1116"/>
      <c r="F176" s="1121">
        <f t="shared" si="15"/>
        <v>-1.1737663791498883E-2</v>
      </c>
      <c r="G176" s="1122"/>
      <c r="H176" s="436">
        <v>40718</v>
      </c>
      <c r="I176" s="738">
        <v>1268.45</v>
      </c>
      <c r="J176" s="440">
        <f t="shared" si="14"/>
        <v>-1.1725749902609994E-2</v>
      </c>
      <c r="L176" s="436">
        <v>40718</v>
      </c>
      <c r="M176" s="738">
        <v>79.2</v>
      </c>
      <c r="N176" s="115">
        <f t="shared" si="13"/>
        <v>-6.1488267034759403E-3</v>
      </c>
      <c r="O176" s="1121">
        <f t="shared" si="16"/>
        <v>-6.1607405923648296E-3</v>
      </c>
      <c r="P176" s="1122"/>
    </row>
    <row r="177" spans="1:16">
      <c r="A177" s="423">
        <v>43707</v>
      </c>
      <c r="B177" s="745">
        <f>_xlfn.FORECAST.ETS(A177,B$2:B176,A$2:A176)</f>
        <v>2.2649842645208924</v>
      </c>
      <c r="C177" s="1115"/>
      <c r="D177" s="1116"/>
      <c r="E177" s="1116"/>
      <c r="F177" s="1121">
        <f t="shared" si="15"/>
        <v>9.1725238106655713E-3</v>
      </c>
      <c r="G177" s="1122"/>
      <c r="H177" s="436">
        <v>40721</v>
      </c>
      <c r="I177" s="738">
        <v>1280.0999999999999</v>
      </c>
      <c r="J177" s="440">
        <f t="shared" si="14"/>
        <v>9.1844376995544597E-3</v>
      </c>
      <c r="L177" s="436">
        <v>40721</v>
      </c>
      <c r="M177" s="738">
        <v>79.67</v>
      </c>
      <c r="N177" s="115">
        <f t="shared" ref="N177:N240" si="17">M177/M176-1</f>
        <v>5.9343434343435142E-3</v>
      </c>
      <c r="O177" s="1121">
        <f t="shared" si="16"/>
        <v>5.9224295454546249E-3</v>
      </c>
      <c r="P177" s="1122"/>
    </row>
    <row r="178" spans="1:16">
      <c r="A178" s="423">
        <v>43738</v>
      </c>
      <c r="B178" s="745">
        <f>_xlfn.FORECAST.ETS(A178,B$2:B177,A$2:A177)</f>
        <v>2.2502148546445304</v>
      </c>
      <c r="C178" s="1115"/>
      <c r="D178" s="1116"/>
      <c r="E178" s="1116"/>
      <c r="F178" s="1121">
        <f t="shared" si="15"/>
        <v>1.2932387337577837E-2</v>
      </c>
      <c r="G178" s="1122"/>
      <c r="H178" s="436">
        <v>40722</v>
      </c>
      <c r="I178" s="738">
        <v>1296.67</v>
      </c>
      <c r="J178" s="440">
        <f t="shared" si="14"/>
        <v>1.2944301226466726E-2</v>
      </c>
      <c r="L178" s="436">
        <v>40722</v>
      </c>
      <c r="M178" s="738">
        <v>79.44</v>
      </c>
      <c r="N178" s="115">
        <f t="shared" si="17"/>
        <v>-2.886908497552465E-3</v>
      </c>
      <c r="O178" s="1121">
        <f t="shared" si="16"/>
        <v>-2.8988223864413539E-3</v>
      </c>
      <c r="P178" s="1122"/>
    </row>
    <row r="179" spans="1:16">
      <c r="A179" s="423">
        <v>43769</v>
      </c>
      <c r="B179" s="745">
        <f>_xlfn.FORECAST.ETS(A179,B$2:B178,A$2:A178)</f>
        <v>2.2354148784399923</v>
      </c>
      <c r="C179" s="1115"/>
      <c r="D179" s="1116"/>
      <c r="E179" s="1116"/>
      <c r="F179" s="1121">
        <f t="shared" si="15"/>
        <v>8.2708411682960101E-3</v>
      </c>
      <c r="G179" s="1122"/>
      <c r="H179" s="436">
        <v>40723</v>
      </c>
      <c r="I179" s="738">
        <v>1307.4100000000001</v>
      </c>
      <c r="J179" s="440">
        <f t="shared" si="14"/>
        <v>8.2827550571848985E-3</v>
      </c>
      <c r="L179" s="436">
        <v>40723</v>
      </c>
      <c r="M179" s="738">
        <v>80.37</v>
      </c>
      <c r="N179" s="115">
        <f t="shared" si="17"/>
        <v>1.1706948640483494E-2</v>
      </c>
      <c r="O179" s="1121">
        <f t="shared" si="16"/>
        <v>1.1695034751594606E-2</v>
      </c>
      <c r="P179" s="1122"/>
    </row>
    <row r="180" spans="1:16" ht="17" thickBot="1">
      <c r="A180" s="423">
        <v>43798</v>
      </c>
      <c r="B180" s="745">
        <f>_xlfn.FORECAST.ETS(A180,B$2:B179,A$2:A179)</f>
        <v>2.222392916786283</v>
      </c>
      <c r="C180" s="1117"/>
      <c r="D180" s="1118"/>
      <c r="E180" s="1118"/>
      <c r="F180" s="1121">
        <f t="shared" si="15"/>
        <v>1.0107329500713573E-2</v>
      </c>
      <c r="G180" s="1122"/>
      <c r="H180" s="436">
        <v>40724</v>
      </c>
      <c r="I180" s="738">
        <v>1320.64</v>
      </c>
      <c r="J180" s="440">
        <f t="shared" si="14"/>
        <v>1.0119243389602461E-2</v>
      </c>
      <c r="L180" s="436">
        <v>40724</v>
      </c>
      <c r="M180" s="738">
        <v>80.97</v>
      </c>
      <c r="N180" s="115">
        <f t="shared" si="17"/>
        <v>7.4654721911160404E-3</v>
      </c>
      <c r="O180" s="1121">
        <f t="shared" si="16"/>
        <v>7.4535583022271512E-3</v>
      </c>
      <c r="P180" s="1122"/>
    </row>
    <row r="181" spans="1:16" ht="16" customHeight="1">
      <c r="A181" s="424">
        <v>43861</v>
      </c>
      <c r="B181" s="745">
        <f>_xlfn.FORECAST.ETS(A181,B$2:B180,A$2:A180)</f>
        <v>2.1944884027382239</v>
      </c>
      <c r="C181" s="1113" t="s">
        <v>190</v>
      </c>
      <c r="D181" s="1114"/>
      <c r="E181" s="1114"/>
      <c r="F181" s="1121">
        <f t="shared" si="15"/>
        <v>1.4397766266187488E-2</v>
      </c>
      <c r="G181" s="1122"/>
      <c r="H181" s="436">
        <v>40725</v>
      </c>
      <c r="I181" s="738">
        <v>1339.67</v>
      </c>
      <c r="J181" s="440">
        <f t="shared" si="14"/>
        <v>1.4409680155076376E-2</v>
      </c>
      <c r="L181" s="436">
        <v>40725</v>
      </c>
      <c r="M181" s="738">
        <v>81.97</v>
      </c>
      <c r="N181" s="115">
        <f t="shared" si="17"/>
        <v>1.2350253180190229E-2</v>
      </c>
      <c r="O181" s="1121">
        <f t="shared" si="16"/>
        <v>1.2338339291301341E-2</v>
      </c>
      <c r="P181" s="1122"/>
    </row>
    <row r="182" spans="1:16">
      <c r="A182" s="424">
        <v>43889</v>
      </c>
      <c r="B182" s="745">
        <f>_xlfn.FORECAST.ETS(A182,B$2:B181,A$2:A181)</f>
        <v>2.1829736988822792</v>
      </c>
      <c r="C182" s="1115"/>
      <c r="D182" s="1116"/>
      <c r="E182" s="1116"/>
      <c r="F182" s="1121">
        <f t="shared" si="15"/>
        <v>-1.1913888888888887E-5</v>
      </c>
      <c r="G182" s="1122"/>
      <c r="H182" s="436">
        <v>40728</v>
      </c>
      <c r="I182" s="738">
        <v>1339.67</v>
      </c>
      <c r="J182" s="440">
        <f t="shared" si="14"/>
        <v>0</v>
      </c>
      <c r="L182" s="436">
        <v>40728</v>
      </c>
      <c r="M182" s="738">
        <v>81.97</v>
      </c>
      <c r="N182" s="115">
        <f t="shared" si="17"/>
        <v>0</v>
      </c>
      <c r="O182" s="1121">
        <f t="shared" si="16"/>
        <v>-1.1913888888888887E-5</v>
      </c>
      <c r="P182" s="1122"/>
    </row>
    <row r="183" spans="1:16">
      <c r="A183" s="424">
        <v>43919</v>
      </c>
      <c r="B183" s="745">
        <f>_xlfn.FORECAST.ETS(A183,B$2:B182,A$2:A182)</f>
        <v>2.1701911769065561</v>
      </c>
      <c r="C183" s="1115"/>
      <c r="D183" s="1116"/>
      <c r="E183" s="1116"/>
      <c r="F183" s="1121">
        <f t="shared" si="15"/>
        <v>-1.3480638362639648E-3</v>
      </c>
      <c r="G183" s="1122"/>
      <c r="H183" s="436">
        <v>40729</v>
      </c>
      <c r="I183" s="738">
        <v>1337.88</v>
      </c>
      <c r="J183" s="440">
        <f t="shared" si="14"/>
        <v>-1.336149947375076E-3</v>
      </c>
      <c r="L183" s="436">
        <v>40729</v>
      </c>
      <c r="M183" s="738">
        <v>80.97</v>
      </c>
      <c r="N183" s="115">
        <f t="shared" si="17"/>
        <v>-1.2199585214102693E-2</v>
      </c>
      <c r="O183" s="1121">
        <f t="shared" si="16"/>
        <v>-1.2211499102991581E-2</v>
      </c>
      <c r="P183" s="1122"/>
    </row>
    <row r="184" spans="1:16">
      <c r="A184" s="424">
        <v>43951</v>
      </c>
      <c r="B184" s="745">
        <f>_xlfn.FORECAST.ETS(A184,B$2:B183,A$2:A183)</f>
        <v>2.157760555112616</v>
      </c>
      <c r="C184" s="1115"/>
      <c r="D184" s="1116"/>
      <c r="E184" s="1116"/>
      <c r="F184" s="1121">
        <f t="shared" si="15"/>
        <v>9.8967070763699523E-4</v>
      </c>
      <c r="G184" s="1122"/>
      <c r="H184" s="436">
        <v>40730</v>
      </c>
      <c r="I184" s="738">
        <v>1339.22</v>
      </c>
      <c r="J184" s="440">
        <f t="shared" si="14"/>
        <v>1.0015845965258841E-3</v>
      </c>
      <c r="L184" s="436">
        <v>40730</v>
      </c>
      <c r="M184" s="738">
        <v>81.62</v>
      </c>
      <c r="N184" s="115">
        <f t="shared" si="17"/>
        <v>8.0276645671237823E-3</v>
      </c>
      <c r="O184" s="1121">
        <f t="shared" si="16"/>
        <v>8.0157506782348939E-3</v>
      </c>
      <c r="P184" s="1122"/>
    </row>
    <row r="185" spans="1:16">
      <c r="A185" s="424">
        <v>43982</v>
      </c>
      <c r="B185" s="745">
        <f>_xlfn.FORECAST.ETS(A185,B$2:B184,A$2:A184)</f>
        <v>2.1456958625334375</v>
      </c>
      <c r="C185" s="1115"/>
      <c r="D185" s="1116"/>
      <c r="E185" s="1116"/>
      <c r="F185" s="1121">
        <f t="shared" si="15"/>
        <v>1.0441932379834699E-2</v>
      </c>
      <c r="G185" s="1122"/>
      <c r="H185" s="436">
        <v>40731</v>
      </c>
      <c r="I185" s="738">
        <v>1353.22</v>
      </c>
      <c r="J185" s="440">
        <f t="shared" si="14"/>
        <v>1.0453846268723588E-2</v>
      </c>
      <c r="L185" s="436">
        <v>40731</v>
      </c>
      <c r="M185" s="738">
        <v>81.36</v>
      </c>
      <c r="N185" s="115">
        <f t="shared" si="17"/>
        <v>-3.1854937515315429E-3</v>
      </c>
      <c r="O185" s="1121">
        <f t="shared" si="16"/>
        <v>-3.1974076404204317E-3</v>
      </c>
      <c r="P185" s="1122"/>
    </row>
    <row r="186" spans="1:16">
      <c r="A186" s="424">
        <v>44010</v>
      </c>
      <c r="B186" s="745">
        <f>_xlfn.FORECAST.ETS(A186,B$2:B185,A$2:A185)</f>
        <v>2.1354381573202099</v>
      </c>
      <c r="C186" s="1115"/>
      <c r="D186" s="1116"/>
      <c r="E186" s="1116"/>
      <c r="F186" s="1121">
        <f t="shared" si="15"/>
        <v>-6.9730879773594124E-3</v>
      </c>
      <c r="G186" s="1122"/>
      <c r="H186" s="436">
        <v>40732</v>
      </c>
      <c r="I186" s="738">
        <v>1343.8</v>
      </c>
      <c r="J186" s="440">
        <f t="shared" si="14"/>
        <v>-6.9611740884705231E-3</v>
      </c>
      <c r="L186" s="436">
        <v>40732</v>
      </c>
      <c r="M186" s="738">
        <v>80.510000000000005</v>
      </c>
      <c r="N186" s="115">
        <f t="shared" si="17"/>
        <v>-1.044739429695174E-2</v>
      </c>
      <c r="O186" s="1121">
        <f t="shared" si="16"/>
        <v>-1.0459308185840628E-2</v>
      </c>
      <c r="P186" s="1122"/>
    </row>
    <row r="187" spans="1:16">
      <c r="A187" s="424">
        <v>44043</v>
      </c>
      <c r="B187" s="745">
        <f>_xlfn.FORECAST.ETS(A187,B$2:B186,A$2:A186)</f>
        <v>2.1233339484415916</v>
      </c>
      <c r="C187" s="1115"/>
      <c r="D187" s="1116"/>
      <c r="E187" s="1116"/>
      <c r="F187" s="1121">
        <f t="shared" si="15"/>
        <v>-1.8102403545087638E-2</v>
      </c>
      <c r="G187" s="1122"/>
      <c r="H187" s="436">
        <v>40735</v>
      </c>
      <c r="I187" s="738">
        <v>1319.49</v>
      </c>
      <c r="J187" s="440">
        <f t="shared" si="14"/>
        <v>-1.8090489656198749E-2</v>
      </c>
      <c r="L187" s="436">
        <v>40735</v>
      </c>
      <c r="M187" s="738">
        <v>79.98</v>
      </c>
      <c r="N187" s="115">
        <f t="shared" si="17"/>
        <v>-6.5830331635822192E-3</v>
      </c>
      <c r="O187" s="1121">
        <f t="shared" si="16"/>
        <v>-6.5949470524711085E-3</v>
      </c>
      <c r="P187" s="1122"/>
    </row>
    <row r="188" spans="1:16">
      <c r="A188" s="424">
        <v>44073</v>
      </c>
      <c r="B188" s="745">
        <f>_xlfn.FORECAST.ETS(A188,B$2:B187,A$2:A187)</f>
        <v>2.11295395437083</v>
      </c>
      <c r="C188" s="1115"/>
      <c r="D188" s="1116"/>
      <c r="E188" s="1116"/>
      <c r="F188" s="1121">
        <f t="shared" si="15"/>
        <v>-4.4454450259190448E-3</v>
      </c>
      <c r="G188" s="1122"/>
      <c r="H188" s="436">
        <v>40736</v>
      </c>
      <c r="I188" s="738">
        <v>1313.64</v>
      </c>
      <c r="J188" s="440">
        <f t="shared" si="14"/>
        <v>-4.4335311370301556E-3</v>
      </c>
      <c r="L188" s="436">
        <v>40736</v>
      </c>
      <c r="M188" s="738">
        <v>79.709999999999994</v>
      </c>
      <c r="N188" s="115">
        <f t="shared" si="17"/>
        <v>-3.3758439609903323E-3</v>
      </c>
      <c r="O188" s="1121">
        <f t="shared" si="16"/>
        <v>-3.3877578498792212E-3</v>
      </c>
      <c r="P188" s="1122"/>
    </row>
    <row r="189" spans="1:16">
      <c r="A189" s="424">
        <v>44104</v>
      </c>
      <c r="B189" s="745">
        <f>_xlfn.FORECAST.ETS(A189,B$2:B188,A$2:A188)</f>
        <v>2.1025284203689667</v>
      </c>
      <c r="C189" s="1115"/>
      <c r="D189" s="1116"/>
      <c r="E189" s="1116"/>
      <c r="F189" s="1121">
        <f t="shared" si="15"/>
        <v>3.0939598664777505E-3</v>
      </c>
      <c r="G189" s="1122"/>
      <c r="H189" s="436">
        <v>40737</v>
      </c>
      <c r="I189" s="738">
        <v>1317.72</v>
      </c>
      <c r="J189" s="440">
        <f t="shared" si="14"/>
        <v>3.1058737553666393E-3</v>
      </c>
      <c r="L189" s="436">
        <v>40737</v>
      </c>
      <c r="M189" s="738">
        <v>79.67</v>
      </c>
      <c r="N189" s="115">
        <f t="shared" si="17"/>
        <v>-5.018190942164269E-4</v>
      </c>
      <c r="O189" s="1121">
        <f t="shared" si="16"/>
        <v>-5.1373298310531583E-4</v>
      </c>
      <c r="P189" s="1122"/>
    </row>
    <row r="190" spans="1:16">
      <c r="A190" s="424">
        <v>44135</v>
      </c>
      <c r="B190" s="745">
        <f>_xlfn.FORECAST.ETS(A190,B$2:B189,A$2:A189)</f>
        <v>2.0920669884877667</v>
      </c>
      <c r="C190" s="1115"/>
      <c r="D190" s="1116"/>
      <c r="E190" s="1116"/>
      <c r="F190" s="1121">
        <f t="shared" si="15"/>
        <v>-6.7280599593744295E-3</v>
      </c>
      <c r="G190" s="1122"/>
      <c r="H190" s="436">
        <v>40738</v>
      </c>
      <c r="I190" s="738">
        <v>1308.8699999999999</v>
      </c>
      <c r="J190" s="440">
        <f t="shared" si="14"/>
        <v>-6.7161460704855402E-3</v>
      </c>
      <c r="L190" s="436">
        <v>40738</v>
      </c>
      <c r="M190" s="738">
        <v>79.2</v>
      </c>
      <c r="N190" s="115">
        <f t="shared" si="17"/>
        <v>-5.8993347558679021E-3</v>
      </c>
      <c r="O190" s="1121">
        <f t="shared" si="16"/>
        <v>-5.9112486447567914E-3</v>
      </c>
      <c r="P190" s="1122"/>
    </row>
    <row r="191" spans="1:16" ht="17" thickBot="1">
      <c r="A191" s="424">
        <v>44164</v>
      </c>
      <c r="B191" s="745">
        <f>_xlfn.FORECAST.ETS(A191,B$2:B190,A$2:A190)</f>
        <v>2.0828500043171858</v>
      </c>
      <c r="C191" s="1117"/>
      <c r="D191" s="1118"/>
      <c r="E191" s="1118"/>
      <c r="F191" s="1121">
        <f t="shared" si="15"/>
        <v>5.5424956399415725E-3</v>
      </c>
      <c r="G191" s="1122"/>
      <c r="H191" s="436">
        <v>40739</v>
      </c>
      <c r="I191" s="738">
        <v>1316.14</v>
      </c>
      <c r="J191" s="440">
        <f t="shared" si="14"/>
        <v>5.5544095288304618E-3</v>
      </c>
      <c r="L191" s="436">
        <v>40739</v>
      </c>
      <c r="M191" s="738">
        <v>78.37</v>
      </c>
      <c r="N191" s="115">
        <f t="shared" si="17"/>
        <v>-1.0479797979797922E-2</v>
      </c>
      <c r="O191" s="1121">
        <f t="shared" si="16"/>
        <v>-1.0491711868686811E-2</v>
      </c>
      <c r="P191" s="1122"/>
    </row>
    <row r="192" spans="1:16" ht="16" customHeight="1">
      <c r="A192" s="424">
        <v>44227</v>
      </c>
      <c r="B192" s="745">
        <f>_xlfn.FORECAST.ETS(A192,B$2:B191,A$2:A191)</f>
        <v>2.063073131424356</v>
      </c>
      <c r="C192" s="1113" t="s">
        <v>191</v>
      </c>
      <c r="D192" s="1114"/>
      <c r="E192" s="1114"/>
      <c r="F192" s="1121">
        <f t="shared" si="15"/>
        <v>-8.1417481010548423E-3</v>
      </c>
      <c r="G192" s="1122"/>
      <c r="H192" s="436">
        <v>40742</v>
      </c>
      <c r="I192" s="738">
        <v>1305.44</v>
      </c>
      <c r="J192" s="440">
        <f t="shared" si="14"/>
        <v>-8.1298342121659539E-3</v>
      </c>
      <c r="L192" s="436">
        <v>40742</v>
      </c>
      <c r="M192" s="738">
        <v>77.44</v>
      </c>
      <c r="N192" s="115">
        <f t="shared" si="17"/>
        <v>-1.1866785759857224E-2</v>
      </c>
      <c r="O192" s="1121">
        <f t="shared" si="16"/>
        <v>-1.1878699648746112E-2</v>
      </c>
      <c r="P192" s="1122"/>
    </row>
    <row r="193" spans="1:16">
      <c r="A193" s="424">
        <v>44255</v>
      </c>
      <c r="B193" s="745">
        <f>_xlfn.FORECAST.ETS(A193,B$2:B192,A$2:A192)</f>
        <v>2.054891506486519</v>
      </c>
      <c r="C193" s="1115"/>
      <c r="D193" s="1116"/>
      <c r="E193" s="1116"/>
      <c r="F193" s="1121">
        <f t="shared" si="15"/>
        <v>1.6296763645122662E-2</v>
      </c>
      <c r="G193" s="1122"/>
      <c r="H193" s="436">
        <v>40743</v>
      </c>
      <c r="I193" s="738">
        <v>1326.73</v>
      </c>
      <c r="J193" s="440">
        <f t="shared" si="14"/>
        <v>1.6308677534011551E-2</v>
      </c>
      <c r="L193" s="436">
        <v>40743</v>
      </c>
      <c r="M193" s="738">
        <v>78.400000000000006</v>
      </c>
      <c r="N193" s="115">
        <f t="shared" si="17"/>
        <v>1.2396694214876103E-2</v>
      </c>
      <c r="O193" s="1121">
        <f t="shared" si="16"/>
        <v>1.2384780325987214E-2</v>
      </c>
      <c r="P193" s="1122"/>
    </row>
    <row r="194" spans="1:16">
      <c r="A194" s="424">
        <v>44284</v>
      </c>
      <c r="B194" s="745">
        <f>_xlfn.FORECAST.ETS(A194,B$2:B193,A$2:A193)</f>
        <v>2.045797870074523</v>
      </c>
      <c r="C194" s="1115"/>
      <c r="D194" s="1116"/>
      <c r="E194" s="1116"/>
      <c r="F194" s="1121">
        <f t="shared" si="15"/>
        <v>-6.8273613606807031E-4</v>
      </c>
      <c r="G194" s="1122"/>
      <c r="H194" s="436">
        <v>40744</v>
      </c>
      <c r="I194" s="738">
        <v>1325.84</v>
      </c>
      <c r="J194" s="440">
        <f t="shared" si="14"/>
        <v>-6.7082224717918137E-4</v>
      </c>
      <c r="L194" s="436">
        <v>40744</v>
      </c>
      <c r="M194" s="738">
        <v>78.319999999999993</v>
      </c>
      <c r="N194" s="115">
        <f t="shared" si="17"/>
        <v>-1.0204081632654294E-3</v>
      </c>
      <c r="O194" s="1121">
        <f t="shared" si="16"/>
        <v>-1.0323220521543182E-3</v>
      </c>
      <c r="P194" s="1122"/>
    </row>
    <row r="195" spans="1:16">
      <c r="A195" s="424">
        <v>44316</v>
      </c>
      <c r="B195" s="745">
        <f>_xlfn.FORECAST.ETS(A195,B$2:B194,A$2:A194)</f>
        <v>2.0369439457899547</v>
      </c>
      <c r="C195" s="1115"/>
      <c r="D195" s="1116"/>
      <c r="E195" s="1116"/>
      <c r="F195" s="1121">
        <f t="shared" si="15"/>
        <v>1.3534215357475669E-2</v>
      </c>
      <c r="G195" s="1122"/>
      <c r="H195" s="436">
        <v>40745</v>
      </c>
      <c r="I195" s="738">
        <v>1343.8</v>
      </c>
      <c r="J195" s="440">
        <f t="shared" si="14"/>
        <v>1.3546129246364558E-2</v>
      </c>
      <c r="L195" s="436">
        <v>40745</v>
      </c>
      <c r="M195" s="738">
        <v>80.16</v>
      </c>
      <c r="N195" s="115">
        <f t="shared" si="17"/>
        <v>2.3493360572012234E-2</v>
      </c>
      <c r="O195" s="1121">
        <f t="shared" si="16"/>
        <v>2.3481446683123346E-2</v>
      </c>
      <c r="P195" s="1122"/>
    </row>
    <row r="196" spans="1:16">
      <c r="A196" s="424">
        <v>44347</v>
      </c>
      <c r="B196" s="745">
        <f>_xlfn.FORECAST.ETS(A196,B$2:B195,A$2:A195)</f>
        <v>2.0283405714986245</v>
      </c>
      <c r="C196" s="1115"/>
      <c r="D196" s="1116"/>
      <c r="E196" s="1116"/>
      <c r="F196" s="1121">
        <f t="shared" si="15"/>
        <v>8.9595930652707574E-4</v>
      </c>
      <c r="G196" s="1122"/>
      <c r="H196" s="436">
        <v>40746</v>
      </c>
      <c r="I196" s="738">
        <v>1345.02</v>
      </c>
      <c r="J196" s="440">
        <f t="shared" si="14"/>
        <v>9.0787319541596467E-4</v>
      </c>
      <c r="L196" s="436">
        <v>40746</v>
      </c>
      <c r="M196" s="738">
        <v>79.599999999999994</v>
      </c>
      <c r="N196" s="115">
        <f t="shared" si="17"/>
        <v>-6.98602794411185E-3</v>
      </c>
      <c r="O196" s="1121">
        <f t="shared" si="16"/>
        <v>-6.9979418330007393E-3</v>
      </c>
      <c r="P196" s="1122"/>
    </row>
    <row r="197" spans="1:16">
      <c r="A197" s="424">
        <v>44375</v>
      </c>
      <c r="B197" s="745">
        <f>_xlfn.FORECAST.ETS(A197,B$2:B196,A$2:A196)</f>
        <v>2.0210173847004698</v>
      </c>
      <c r="C197" s="1115"/>
      <c r="D197" s="1116"/>
      <c r="E197" s="1116"/>
      <c r="F197" s="1121">
        <f t="shared" si="15"/>
        <v>-5.6549526541116524E-3</v>
      </c>
      <c r="G197" s="1122"/>
      <c r="H197" s="436">
        <v>40749</v>
      </c>
      <c r="I197" s="738">
        <v>1337.43</v>
      </c>
      <c r="J197" s="440">
        <f t="shared" si="14"/>
        <v>-5.6430387652227632E-3</v>
      </c>
      <c r="L197" s="436">
        <v>40749</v>
      </c>
      <c r="M197" s="738">
        <v>79.3</v>
      </c>
      <c r="N197" s="115">
        <f t="shared" si="17"/>
        <v>-3.7688442211054607E-3</v>
      </c>
      <c r="O197" s="1121">
        <f t="shared" si="16"/>
        <v>-3.7807581099943495E-3</v>
      </c>
      <c r="P197" s="1122"/>
    </row>
    <row r="198" spans="1:16">
      <c r="A198" s="424">
        <v>44408</v>
      </c>
      <c r="B198" s="745">
        <f>_xlfn.FORECAST.ETS(A198,B$2:B197,A$2:A197)</f>
        <v>2.0138742492976438</v>
      </c>
      <c r="C198" s="1115"/>
      <c r="D198" s="1116"/>
      <c r="E198" s="1116"/>
      <c r="F198" s="1121">
        <f t="shared" si="15"/>
        <v>-4.1168016213309977E-3</v>
      </c>
      <c r="G198" s="1122"/>
      <c r="H198" s="436">
        <v>40750</v>
      </c>
      <c r="I198" s="738">
        <v>1331.94</v>
      </c>
      <c r="J198" s="440">
        <f t="shared" si="14"/>
        <v>-4.1048877324421085E-3</v>
      </c>
      <c r="L198" s="436">
        <v>40750</v>
      </c>
      <c r="M198" s="738">
        <v>80.819999999999993</v>
      </c>
      <c r="N198" s="115">
        <f t="shared" si="17"/>
        <v>1.9167717528373318E-2</v>
      </c>
      <c r="O198" s="1121">
        <f t="shared" si="16"/>
        <v>1.915580363948443E-2</v>
      </c>
      <c r="P198" s="1122"/>
    </row>
    <row r="199" spans="1:16">
      <c r="A199" s="424">
        <v>44438</v>
      </c>
      <c r="B199" s="745">
        <f>_xlfn.FORECAST.ETS(A199,B$2:B198,A$2:A198)</f>
        <v>2.007735779924062</v>
      </c>
      <c r="C199" s="1115"/>
      <c r="D199" s="1116"/>
      <c r="E199" s="1116"/>
      <c r="F199" s="1121">
        <f t="shared" si="15"/>
        <v>-2.0320636504021612E-2</v>
      </c>
      <c r="G199" s="1122"/>
      <c r="H199" s="436">
        <v>40751</v>
      </c>
      <c r="I199" s="738">
        <v>1304.8900000000001</v>
      </c>
      <c r="J199" s="440">
        <f t="shared" si="14"/>
        <v>-2.0308722615132724E-2</v>
      </c>
      <c r="L199" s="436">
        <v>40751</v>
      </c>
      <c r="M199" s="738">
        <v>77.459999999999994</v>
      </c>
      <c r="N199" s="115">
        <f t="shared" si="17"/>
        <v>-4.1573867854491464E-2</v>
      </c>
      <c r="O199" s="1121">
        <f t="shared" si="16"/>
        <v>-4.1585781743380353E-2</v>
      </c>
      <c r="P199" s="1122"/>
    </row>
    <row r="200" spans="1:16">
      <c r="A200" s="424">
        <v>44469</v>
      </c>
      <c r="B200" s="745">
        <f>_xlfn.FORECAST.ETS(A200,B$2:B199,A$2:A199)</f>
        <v>2.0014712635847998</v>
      </c>
      <c r="C200" s="1115"/>
      <c r="D200" s="1116"/>
      <c r="E200" s="1116"/>
      <c r="F200" s="1121">
        <f t="shared" si="15"/>
        <v>-3.2459029607646646E-3</v>
      </c>
      <c r="G200" s="1122"/>
      <c r="H200" s="436">
        <v>40752</v>
      </c>
      <c r="I200" s="738">
        <v>1300.67</v>
      </c>
      <c r="J200" s="440">
        <f t="shared" si="14"/>
        <v>-3.2339890718757758E-3</v>
      </c>
      <c r="L200" s="436">
        <v>40752</v>
      </c>
      <c r="M200" s="738">
        <v>75.290000000000006</v>
      </c>
      <c r="N200" s="115">
        <f t="shared" si="17"/>
        <v>-2.801445907565181E-2</v>
      </c>
      <c r="O200" s="1121">
        <f t="shared" si="16"/>
        <v>-2.8026372964540698E-2</v>
      </c>
      <c r="P200" s="1122"/>
    </row>
    <row r="201" spans="1:16">
      <c r="A201" s="424">
        <v>44500</v>
      </c>
      <c r="B201" s="745">
        <f>_xlfn.FORECAST.ETS(A201,B$2:B200,A$2:A200)</f>
        <v>1.9951914746341644</v>
      </c>
      <c r="C201" s="1115"/>
      <c r="D201" s="1116"/>
      <c r="E201" s="1116"/>
      <c r="F201" s="1121">
        <f t="shared" si="15"/>
        <v>-6.4624355431133285E-3</v>
      </c>
      <c r="G201" s="1122"/>
      <c r="H201" s="436">
        <v>40753</v>
      </c>
      <c r="I201" s="738">
        <v>1292.28</v>
      </c>
      <c r="J201" s="440">
        <f t="shared" si="14"/>
        <v>-6.4505216542244392E-3</v>
      </c>
      <c r="L201" s="436">
        <v>40753</v>
      </c>
      <c r="M201" s="738">
        <v>75.73</v>
      </c>
      <c r="N201" s="115">
        <f t="shared" si="17"/>
        <v>5.844069597556123E-3</v>
      </c>
      <c r="O201" s="1121">
        <f t="shared" si="16"/>
        <v>5.8321557086672337E-3</v>
      </c>
      <c r="P201" s="1122"/>
    </row>
    <row r="202" spans="1:16" ht="17" thickBot="1">
      <c r="A202" s="424">
        <v>44529</v>
      </c>
      <c r="B202" s="745">
        <f>_xlfn.FORECAST.ETS(A202,B$2:B201,A$2:A201)</f>
        <v>1.9896675018640699</v>
      </c>
      <c r="C202" s="1117"/>
      <c r="D202" s="1118"/>
      <c r="E202" s="1118"/>
      <c r="F202" s="1121">
        <f t="shared" si="15"/>
        <v>-4.1441452938475532E-3</v>
      </c>
      <c r="G202" s="1122"/>
      <c r="H202" s="436">
        <v>40756</v>
      </c>
      <c r="I202" s="738">
        <v>1286.94</v>
      </c>
      <c r="J202" s="440">
        <f t="shared" si="14"/>
        <v>-4.1322314049586639E-3</v>
      </c>
      <c r="L202" s="436">
        <v>40756</v>
      </c>
      <c r="M202" s="738">
        <v>74.459999999999994</v>
      </c>
      <c r="N202" s="115">
        <f t="shared" si="17"/>
        <v>-1.6770104317971879E-2</v>
      </c>
      <c r="O202" s="1121">
        <f t="shared" si="16"/>
        <v>-1.6782018206860767E-2</v>
      </c>
      <c r="P202" s="1122"/>
    </row>
    <row r="203" spans="1:16" ht="16" customHeight="1">
      <c r="A203" s="424">
        <v>44592</v>
      </c>
      <c r="B203" s="745">
        <f>_xlfn.FORECAST.ETS(A203,B$2:B202,A$2:A202)</f>
        <v>1.9754650049255984</v>
      </c>
      <c r="C203" s="1113" t="s">
        <v>192</v>
      </c>
      <c r="D203" s="1114"/>
      <c r="E203" s="1114"/>
      <c r="F203" s="1121">
        <f t="shared" si="15"/>
        <v>-2.5568660901181713E-2</v>
      </c>
      <c r="G203" s="1122"/>
      <c r="H203" s="436">
        <v>40757</v>
      </c>
      <c r="I203" s="738">
        <v>1254.05</v>
      </c>
      <c r="J203" s="440">
        <f t="shared" si="14"/>
        <v>-2.5556747012292824E-2</v>
      </c>
      <c r="L203" s="436">
        <v>40757</v>
      </c>
      <c r="M203" s="738">
        <v>73.680000000000007</v>
      </c>
      <c r="N203" s="115">
        <f t="shared" si="17"/>
        <v>-1.0475423045930521E-2</v>
      </c>
      <c r="O203" s="1121">
        <f t="shared" si="16"/>
        <v>-1.0487336934819409E-2</v>
      </c>
      <c r="P203" s="1122"/>
    </row>
    <row r="204" spans="1:16">
      <c r="A204" s="424">
        <v>44620</v>
      </c>
      <c r="B204" s="745">
        <f>_xlfn.FORECAST.ETS(A204,B$2:B203,A$2:A203)</f>
        <v>1.9706687608930864</v>
      </c>
      <c r="C204" s="1115"/>
      <c r="D204" s="1116"/>
      <c r="E204" s="1116"/>
      <c r="F204" s="1121">
        <f t="shared" si="15"/>
        <v>5.0038350844375723E-3</v>
      </c>
      <c r="G204" s="1122"/>
      <c r="H204" s="436">
        <v>40758</v>
      </c>
      <c r="I204" s="738">
        <v>1260.3399999999999</v>
      </c>
      <c r="J204" s="440">
        <f t="shared" si="14"/>
        <v>5.0157489733264615E-3</v>
      </c>
      <c r="L204" s="436">
        <v>40758</v>
      </c>
      <c r="M204" s="738">
        <v>73.56</v>
      </c>
      <c r="N204" s="115">
        <f t="shared" si="17"/>
        <v>-1.6286644951141183E-3</v>
      </c>
      <c r="O204" s="1121">
        <f t="shared" si="16"/>
        <v>-1.6405783840030071E-3</v>
      </c>
      <c r="P204" s="1122"/>
    </row>
    <row r="205" spans="1:16">
      <c r="A205" s="424">
        <v>44649</v>
      </c>
      <c r="B205" s="745">
        <f>_xlfn.FORECAST.ETS(A205,B$2:B204,A$2:A204)</f>
        <v>1.9650922801888588</v>
      </c>
      <c r="C205" s="1115"/>
      <c r="D205" s="1116"/>
      <c r="E205" s="1116"/>
      <c r="F205" s="1121">
        <f t="shared" si="15"/>
        <v>-4.7832343296826403E-2</v>
      </c>
      <c r="G205" s="1122"/>
      <c r="H205" s="436">
        <v>40759</v>
      </c>
      <c r="I205" s="738">
        <v>1200.07</v>
      </c>
      <c r="J205" s="440">
        <f t="shared" si="14"/>
        <v>-4.7820429407937515E-2</v>
      </c>
      <c r="L205" s="436">
        <v>40759</v>
      </c>
      <c r="M205" s="738">
        <v>71.319999999999993</v>
      </c>
      <c r="N205" s="115">
        <f t="shared" si="17"/>
        <v>-3.0451332245785889E-2</v>
      </c>
      <c r="O205" s="1121">
        <f t="shared" si="16"/>
        <v>-3.0463246134674778E-2</v>
      </c>
      <c r="P205" s="1122"/>
    </row>
    <row r="206" spans="1:16">
      <c r="A206" s="424">
        <v>44681</v>
      </c>
      <c r="B206" s="745">
        <f>_xlfn.FORECAST.ETS(A206,B$2:B205,A$2:A205)</f>
        <v>1.9597192192921777</v>
      </c>
      <c r="C206" s="1115"/>
      <c r="D206" s="1116"/>
      <c r="E206" s="1116"/>
      <c r="F206" s="1121">
        <f t="shared" si="15"/>
        <v>-5.8688034917853875E-4</v>
      </c>
      <c r="G206" s="1122"/>
      <c r="H206" s="436">
        <v>40760</v>
      </c>
      <c r="I206" s="738">
        <v>1199.3800000000001</v>
      </c>
      <c r="J206" s="440">
        <f t="shared" si="14"/>
        <v>-5.7496646028964982E-4</v>
      </c>
      <c r="L206" s="436">
        <v>40760</v>
      </c>
      <c r="M206" s="738">
        <v>72.819999999999993</v>
      </c>
      <c r="N206" s="115">
        <f t="shared" si="17"/>
        <v>2.1031968592260197E-2</v>
      </c>
      <c r="O206" s="1121">
        <f t="shared" si="16"/>
        <v>2.1020054703371309E-2</v>
      </c>
      <c r="P206" s="1122"/>
    </row>
    <row r="207" spans="1:16">
      <c r="A207" s="424">
        <v>44712</v>
      </c>
      <c r="B207" s="745">
        <f>_xlfn.FORECAST.ETS(A207,B$2:B206,A$2:A206)</f>
        <v>1.9544863554110825</v>
      </c>
      <c r="C207" s="1115"/>
      <c r="D207" s="1116"/>
      <c r="E207" s="1116"/>
      <c r="F207" s="1121">
        <f t="shared" si="15"/>
        <v>-6.6646341676579249E-2</v>
      </c>
      <c r="G207" s="1122"/>
      <c r="H207" s="436">
        <v>40763</v>
      </c>
      <c r="I207" s="738">
        <v>1119.46</v>
      </c>
      <c r="J207" s="440">
        <f t="shared" si="14"/>
        <v>-6.6634427787690353E-2</v>
      </c>
      <c r="L207" s="436">
        <v>40763</v>
      </c>
      <c r="M207" s="738">
        <v>68.900000000000006</v>
      </c>
      <c r="N207" s="115">
        <f t="shared" si="17"/>
        <v>-5.3831365009612608E-2</v>
      </c>
      <c r="O207" s="1121">
        <f t="shared" si="16"/>
        <v>-5.3843278898501497E-2</v>
      </c>
      <c r="P207" s="1122"/>
    </row>
    <row r="208" spans="1:16">
      <c r="A208" s="424">
        <v>44740</v>
      </c>
      <c r="B208" s="745">
        <f>_xlfn.FORECAST.ETS(A208,B$2:B207,A$2:A207)</f>
        <v>1.9500248099775142</v>
      </c>
      <c r="C208" s="1115"/>
      <c r="D208" s="1116"/>
      <c r="E208" s="1116"/>
      <c r="F208" s="1121">
        <f t="shared" si="15"/>
        <v>4.7394871525507358E-2</v>
      </c>
      <c r="G208" s="1122"/>
      <c r="H208" s="436">
        <v>40764</v>
      </c>
      <c r="I208" s="738">
        <v>1172.53</v>
      </c>
      <c r="J208" s="440">
        <f t="shared" si="14"/>
        <v>4.7406785414396246E-2</v>
      </c>
      <c r="L208" s="436">
        <v>40764</v>
      </c>
      <c r="M208" s="738">
        <v>70.88</v>
      </c>
      <c r="N208" s="115">
        <f t="shared" si="17"/>
        <v>2.8737300435413449E-2</v>
      </c>
      <c r="O208" s="1121">
        <f t="shared" si="16"/>
        <v>2.872538654652456E-2</v>
      </c>
      <c r="P208" s="1122"/>
    </row>
    <row r="209" spans="1:16">
      <c r="A209" s="424">
        <v>44773</v>
      </c>
      <c r="B209" s="745">
        <f>_xlfn.FORECAST.ETS(A209,B$2:B208,A$2:A208)</f>
        <v>1.9446716363432841</v>
      </c>
      <c r="C209" s="1115"/>
      <c r="D209" s="1116"/>
      <c r="E209" s="1116"/>
      <c r="F209" s="1121">
        <f t="shared" si="15"/>
        <v>-4.4164302313918553E-2</v>
      </c>
      <c r="G209" s="1122"/>
      <c r="H209" s="436">
        <v>40765</v>
      </c>
      <c r="I209" s="738">
        <v>1120.76</v>
      </c>
      <c r="J209" s="440">
        <f t="shared" si="14"/>
        <v>-4.4152388425029665E-2</v>
      </c>
      <c r="L209" s="436">
        <v>40765</v>
      </c>
      <c r="M209" s="738">
        <v>66.87</v>
      </c>
      <c r="N209" s="115">
        <f t="shared" si="17"/>
        <v>-5.6574492099322637E-2</v>
      </c>
      <c r="O209" s="1121">
        <f t="shared" si="16"/>
        <v>-5.6586405988211526E-2</v>
      </c>
      <c r="P209" s="1122"/>
    </row>
    <row r="210" spans="1:16">
      <c r="A210" s="424">
        <v>44803</v>
      </c>
      <c r="B210" s="745">
        <f>_xlfn.FORECAST.ETS(A210,B$2:B209,A$2:A209)</f>
        <v>1.9401544428524384</v>
      </c>
      <c r="C210" s="1115"/>
      <c r="D210" s="1116"/>
      <c r="E210" s="1116"/>
      <c r="F210" s="1121">
        <f t="shared" si="15"/>
        <v>4.6278103599244218E-2</v>
      </c>
      <c r="G210" s="1122"/>
      <c r="H210" s="436">
        <v>40766</v>
      </c>
      <c r="I210" s="738">
        <v>1172.6400000000001</v>
      </c>
      <c r="J210" s="440">
        <f t="shared" si="14"/>
        <v>4.6290017488133106E-2</v>
      </c>
      <c r="L210" s="436">
        <v>40766</v>
      </c>
      <c r="M210" s="738">
        <v>68.84</v>
      </c>
      <c r="N210" s="115">
        <f t="shared" si="17"/>
        <v>2.9460146553013322E-2</v>
      </c>
      <c r="O210" s="1121">
        <f t="shared" si="16"/>
        <v>2.9448232664124434E-2</v>
      </c>
      <c r="P210" s="1122"/>
    </row>
    <row r="211" spans="1:16">
      <c r="A211" s="424">
        <v>44834</v>
      </c>
      <c r="B211" s="745">
        <f>_xlfn.FORECAST.ETS(A211,B$2:B210,A$2:A210)</f>
        <v>1.9355387718176624</v>
      </c>
      <c r="C211" s="1115"/>
      <c r="D211" s="1116"/>
      <c r="E211" s="1116"/>
      <c r="F211" s="1121">
        <f t="shared" si="15"/>
        <v>5.2497179844906905E-3</v>
      </c>
      <c r="G211" s="1122"/>
      <c r="H211" s="436">
        <v>40767</v>
      </c>
      <c r="I211" s="738">
        <v>1178.81</v>
      </c>
      <c r="J211" s="440">
        <f t="shared" si="14"/>
        <v>5.2616318733795797E-3</v>
      </c>
      <c r="L211" s="436">
        <v>40767</v>
      </c>
      <c r="M211" s="738">
        <v>69.12</v>
      </c>
      <c r="N211" s="115">
        <f t="shared" si="17"/>
        <v>4.0674026728646506E-3</v>
      </c>
      <c r="O211" s="1121">
        <f t="shared" si="16"/>
        <v>4.0554887839757614E-3</v>
      </c>
      <c r="P211" s="1122"/>
    </row>
    <row r="212" spans="1:16">
      <c r="A212" s="424">
        <v>44865</v>
      </c>
      <c r="B212" s="745">
        <f>_xlfn.FORECAST.ETS(A212,B$2:B211,A$2:A211)</f>
        <v>1.9301202560444588</v>
      </c>
      <c r="C212" s="1115"/>
      <c r="D212" s="1116"/>
      <c r="E212" s="1116"/>
      <c r="F212" s="1121">
        <f t="shared" si="15"/>
        <v>2.1772767272621445E-2</v>
      </c>
      <c r="G212" s="1122"/>
      <c r="H212" s="436">
        <v>40770</v>
      </c>
      <c r="I212" s="738">
        <v>1204.49</v>
      </c>
      <c r="J212" s="440">
        <f t="shared" si="14"/>
        <v>2.1784681161510333E-2</v>
      </c>
      <c r="L212" s="436">
        <v>40770</v>
      </c>
      <c r="M212" s="738">
        <v>70.260000000000005</v>
      </c>
      <c r="N212" s="115">
        <f t="shared" si="17"/>
        <v>1.649305555555558E-2</v>
      </c>
      <c r="O212" s="1121">
        <f t="shared" si="16"/>
        <v>1.6481141666666692E-2</v>
      </c>
      <c r="P212" s="1122"/>
    </row>
    <row r="213" spans="1:16" ht="17" thickBot="1">
      <c r="A213" s="424">
        <v>44894</v>
      </c>
      <c r="B213" s="745">
        <f>_xlfn.FORECAST.ETS(A213,B$2:B212,A$2:A212)</f>
        <v>1.9253400351865488</v>
      </c>
      <c r="C213" s="1117"/>
      <c r="D213" s="1118"/>
      <c r="E213" s="1118"/>
      <c r="F213" s="1121">
        <f t="shared" si="15"/>
        <v>-9.7504754377602046E-3</v>
      </c>
      <c r="G213" s="1122"/>
      <c r="H213" s="436">
        <v>40771</v>
      </c>
      <c r="I213" s="738">
        <v>1192.76</v>
      </c>
      <c r="J213" s="440">
        <f t="shared" si="14"/>
        <v>-9.7385615488713162E-3</v>
      </c>
      <c r="L213" s="436">
        <v>40771</v>
      </c>
      <c r="M213" s="738">
        <v>70.69</v>
      </c>
      <c r="N213" s="115">
        <f t="shared" si="17"/>
        <v>6.1201252490747926E-3</v>
      </c>
      <c r="O213" s="1121">
        <f t="shared" si="16"/>
        <v>6.1082113601859033E-3</v>
      </c>
      <c r="P213" s="1122"/>
    </row>
    <row r="214" spans="1:16" ht="16" customHeight="1">
      <c r="A214" s="424">
        <v>44957</v>
      </c>
      <c r="B214" s="745">
        <f>_xlfn.FORECAST.ETS(A214,B$2:B213,A$2:A213)</f>
        <v>1.9150702976713481</v>
      </c>
      <c r="C214" s="1113" t="s">
        <v>193</v>
      </c>
      <c r="D214" s="1114"/>
      <c r="E214" s="1114"/>
      <c r="F214" s="1121">
        <f t="shared" si="15"/>
        <v>9.354686524439751E-4</v>
      </c>
      <c r="G214" s="1122"/>
      <c r="H214" s="436">
        <v>40772</v>
      </c>
      <c r="I214" s="738">
        <v>1193.8900000000001</v>
      </c>
      <c r="J214" s="440">
        <f t="shared" si="14"/>
        <v>9.4738254133286404E-4</v>
      </c>
      <c r="L214" s="436">
        <v>40772</v>
      </c>
      <c r="M214" s="738">
        <v>71.19</v>
      </c>
      <c r="N214" s="115">
        <f t="shared" si="17"/>
        <v>7.0731362286038379E-3</v>
      </c>
      <c r="O214" s="1121">
        <f t="shared" si="16"/>
        <v>7.0612223397149487E-3</v>
      </c>
      <c r="P214" s="1122"/>
    </row>
    <row r="215" spans="1:16">
      <c r="A215" s="424">
        <v>44985</v>
      </c>
      <c r="B215" s="745">
        <f>_xlfn.FORECAST.ETS(A215,B$2:B214,A$2:A214)</f>
        <v>1.9108119721022765</v>
      </c>
      <c r="C215" s="1115"/>
      <c r="D215" s="1116"/>
      <c r="E215" s="1116"/>
      <c r="F215" s="1121">
        <f t="shared" si="15"/>
        <v>-4.4605636928699906E-2</v>
      </c>
      <c r="G215" s="1122"/>
      <c r="H215" s="436">
        <v>40773</v>
      </c>
      <c r="I215" s="738">
        <v>1140.6500000000001</v>
      </c>
      <c r="J215" s="440">
        <f t="shared" si="14"/>
        <v>-4.4593723039811017E-2</v>
      </c>
      <c r="L215" s="436">
        <v>40773</v>
      </c>
      <c r="M215" s="738">
        <v>69.38</v>
      </c>
      <c r="N215" s="115">
        <f t="shared" si="17"/>
        <v>-2.5424919230229048E-2</v>
      </c>
      <c r="O215" s="1121">
        <f t="shared" si="16"/>
        <v>-2.5436833119117937E-2</v>
      </c>
      <c r="P215" s="1122"/>
    </row>
    <row r="216" spans="1:16">
      <c r="A216" s="424">
        <v>45014</v>
      </c>
      <c r="B216" s="745">
        <f>_xlfn.FORECAST.ETS(A216,B$2:B215,A$2:A215)</f>
        <v>1.9060739911430498</v>
      </c>
      <c r="C216" s="1115"/>
      <c r="D216" s="1116"/>
      <c r="E216" s="1116"/>
      <c r="F216" s="1121">
        <f t="shared" si="15"/>
        <v>-1.5020899993303145E-2</v>
      </c>
      <c r="G216" s="1122"/>
      <c r="H216" s="436">
        <v>40774</v>
      </c>
      <c r="I216" s="738">
        <v>1123.53</v>
      </c>
      <c r="J216" s="440">
        <f t="shared" si="14"/>
        <v>-1.5008986104414257E-2</v>
      </c>
      <c r="L216" s="436">
        <v>40774</v>
      </c>
      <c r="M216" s="738">
        <v>69.39</v>
      </c>
      <c r="N216" s="115">
        <f t="shared" si="17"/>
        <v>1.4413375612565282E-4</v>
      </c>
      <c r="O216" s="1121">
        <f t="shared" si="16"/>
        <v>1.3221986723676394E-4</v>
      </c>
      <c r="P216" s="1122"/>
    </row>
    <row r="217" spans="1:16">
      <c r="A217" s="424">
        <v>45046</v>
      </c>
      <c r="B217" s="745">
        <f>_xlfn.FORECAST.ETS(A217,B$2:B216,A$2:A216)</f>
        <v>1.9014563696235596</v>
      </c>
      <c r="C217" s="1115"/>
      <c r="D217" s="1116"/>
      <c r="E217" s="1116"/>
      <c r="F217" s="1121">
        <f t="shared" si="15"/>
        <v>2.4620115921846576E-4</v>
      </c>
      <c r="G217" s="1122"/>
      <c r="H217" s="436">
        <v>40777</v>
      </c>
      <c r="I217" s="738">
        <v>1123.82</v>
      </c>
      <c r="J217" s="440">
        <f t="shared" si="14"/>
        <v>2.5811504810735464E-4</v>
      </c>
      <c r="L217" s="436">
        <v>40777</v>
      </c>
      <c r="M217" s="738">
        <v>69.92</v>
      </c>
      <c r="N217" s="115">
        <f t="shared" si="17"/>
        <v>7.6379881827353113E-3</v>
      </c>
      <c r="O217" s="1121">
        <f t="shared" si="16"/>
        <v>7.6260742938464221E-3</v>
      </c>
      <c r="P217" s="1122"/>
    </row>
    <row r="218" spans="1:16">
      <c r="A218" s="424">
        <v>45077</v>
      </c>
      <c r="B218" s="745">
        <f>_xlfn.FORECAST.ETS(A218,B$2:B217,A$2:A217)</f>
        <v>1.8969653159192017</v>
      </c>
      <c r="C218" s="1115"/>
      <c r="D218" s="1116"/>
      <c r="E218" s="1116"/>
      <c r="F218" s="1121">
        <f t="shared" si="15"/>
        <v>3.4272935998103653E-2</v>
      </c>
      <c r="G218" s="1122"/>
      <c r="H218" s="436">
        <v>40778</v>
      </c>
      <c r="I218" s="738">
        <v>1162.3499999999999</v>
      </c>
      <c r="J218" s="440">
        <f t="shared" si="14"/>
        <v>3.4284849886992541E-2</v>
      </c>
      <c r="L218" s="436">
        <v>40778</v>
      </c>
      <c r="M218" s="738">
        <v>71.88</v>
      </c>
      <c r="N218" s="115">
        <f t="shared" si="17"/>
        <v>2.8032036613272249E-2</v>
      </c>
      <c r="O218" s="1121">
        <f t="shared" si="16"/>
        <v>2.802012272438336E-2</v>
      </c>
      <c r="P218" s="1122"/>
    </row>
    <row r="219" spans="1:16">
      <c r="A219" s="424">
        <v>45105</v>
      </c>
      <c r="B219" s="745">
        <f>_xlfn.FORECAST.ETS(A219,B$2:B218,A$2:A218)</f>
        <v>1.8931393043775309</v>
      </c>
      <c r="C219" s="1115"/>
      <c r="D219" s="1116"/>
      <c r="E219" s="1116"/>
      <c r="F219" s="1121">
        <f t="shared" si="15"/>
        <v>1.3108058580676978E-2</v>
      </c>
      <c r="G219" s="1122"/>
      <c r="H219" s="436">
        <v>40779</v>
      </c>
      <c r="I219" s="738">
        <v>1177.5999999999999</v>
      </c>
      <c r="J219" s="440">
        <f t="shared" si="14"/>
        <v>1.3119972469565866E-2</v>
      </c>
      <c r="L219" s="436">
        <v>40779</v>
      </c>
      <c r="M219" s="738">
        <v>73.260000000000005</v>
      </c>
      <c r="N219" s="115">
        <f t="shared" si="17"/>
        <v>1.9198664440734703E-2</v>
      </c>
      <c r="O219" s="1121">
        <f t="shared" si="16"/>
        <v>1.9186750551845815E-2</v>
      </c>
      <c r="P219" s="1122"/>
    </row>
    <row r="220" spans="1:16">
      <c r="A220" s="424">
        <v>45138</v>
      </c>
      <c r="B220" s="745">
        <f>_xlfn.FORECAST.ETS(A220,B$2:B219,A$2:A219)</f>
        <v>1.8886159896405375</v>
      </c>
      <c r="C220" s="1115"/>
      <c r="D220" s="1116"/>
      <c r="E220" s="1116"/>
      <c r="F220" s="1121">
        <f t="shared" si="15"/>
        <v>-1.5577470954106228E-2</v>
      </c>
      <c r="G220" s="1122"/>
      <c r="H220" s="436">
        <v>40780</v>
      </c>
      <c r="I220" s="738">
        <v>1159.27</v>
      </c>
      <c r="J220" s="440">
        <f t="shared" si="14"/>
        <v>-1.5565557065217339E-2</v>
      </c>
      <c r="L220" s="436">
        <v>40780</v>
      </c>
      <c r="M220" s="738">
        <v>72.040000000000006</v>
      </c>
      <c r="N220" s="115">
        <f t="shared" si="17"/>
        <v>-1.6653016653016661E-2</v>
      </c>
      <c r="O220" s="1121">
        <f t="shared" si="16"/>
        <v>-1.666493054190555E-2</v>
      </c>
      <c r="P220" s="1122"/>
    </row>
    <row r="221" spans="1:16">
      <c r="A221" s="424">
        <v>45168</v>
      </c>
      <c r="B221" s="745">
        <f>_xlfn.FORECAST.ETS(A221,B$2:B220,A$2:A220)</f>
        <v>1.8847300376382723</v>
      </c>
      <c r="C221" s="1115"/>
      <c r="D221" s="1116"/>
      <c r="E221" s="1116"/>
      <c r="F221" s="1121">
        <f t="shared" si="15"/>
        <v>1.5109671246584237E-2</v>
      </c>
      <c r="G221" s="1122"/>
      <c r="H221" s="436">
        <v>40781</v>
      </c>
      <c r="I221" s="738">
        <v>1176.8</v>
      </c>
      <c r="J221" s="440">
        <f t="shared" ref="J221:J284" si="18">I221/I220-1</f>
        <v>1.5121585135473126E-2</v>
      </c>
      <c r="L221" s="436">
        <v>40781</v>
      </c>
      <c r="M221" s="738">
        <v>73.25</v>
      </c>
      <c r="N221" s="115">
        <f t="shared" si="17"/>
        <v>1.6796224319822306E-2</v>
      </c>
      <c r="O221" s="1121">
        <f t="shared" si="16"/>
        <v>1.6784310430933418E-2</v>
      </c>
      <c r="P221" s="1122"/>
    </row>
    <row r="222" spans="1:16">
      <c r="A222" s="424">
        <v>45199</v>
      </c>
      <c r="B222" s="745">
        <f>_xlfn.FORECAST.ETS(A222,B$2:B221,A$2:A221)</f>
        <v>1.8808203981938783</v>
      </c>
      <c r="C222" s="1115"/>
      <c r="D222" s="1116"/>
      <c r="E222" s="1116"/>
      <c r="F222" s="1121">
        <f t="shared" ref="F222:F285" si="19">J222-$I$19</f>
        <v>2.8268167688269556E-2</v>
      </c>
      <c r="G222" s="1122"/>
      <c r="H222" s="436">
        <v>40784</v>
      </c>
      <c r="I222" s="738">
        <v>1210.08</v>
      </c>
      <c r="J222" s="440">
        <f t="shared" si="18"/>
        <v>2.8280081577158445E-2</v>
      </c>
      <c r="L222" s="436">
        <v>40784</v>
      </c>
      <c r="M222" s="738">
        <v>74.069999999999993</v>
      </c>
      <c r="N222" s="115">
        <f t="shared" si="17"/>
        <v>1.1194539249146596E-2</v>
      </c>
      <c r="O222" s="1121">
        <f t="shared" ref="O222:O285" si="20">N222-$I$19</f>
        <v>1.1182625360257707E-2</v>
      </c>
      <c r="P222" s="1122"/>
    </row>
    <row r="223" spans="1:16">
      <c r="A223" s="424">
        <v>45230</v>
      </c>
      <c r="B223" s="745">
        <f>_xlfn.FORECAST.ETS(A223,B$2:B222,A$2:A222)</f>
        <v>1.8768910121917719</v>
      </c>
      <c r="C223" s="1115"/>
      <c r="D223" s="1116"/>
      <c r="E223" s="1116"/>
      <c r="F223" s="1121">
        <f t="shared" si="19"/>
        <v>2.3350383787298294E-3</v>
      </c>
      <c r="G223" s="1122"/>
      <c r="H223" s="436">
        <v>40785</v>
      </c>
      <c r="I223" s="738">
        <v>1212.92</v>
      </c>
      <c r="J223" s="440">
        <f t="shared" si="18"/>
        <v>2.3469522676187182E-3</v>
      </c>
      <c r="L223" s="436">
        <v>40785</v>
      </c>
      <c r="M223" s="738">
        <v>74.099999999999994</v>
      </c>
      <c r="N223" s="115">
        <f t="shared" si="17"/>
        <v>4.0502227622529752E-4</v>
      </c>
      <c r="O223" s="1121">
        <f t="shared" si="20"/>
        <v>3.9310838733640864E-4</v>
      </c>
      <c r="P223" s="1122"/>
    </row>
    <row r="224" spans="1:16" ht="17" thickBot="1">
      <c r="A224" s="430">
        <v>45259</v>
      </c>
      <c r="B224" s="746">
        <f>_xlfn.FORECAST.ETS(A224,B$2:B223,A$2:A223)</f>
        <v>1.8734238545640163</v>
      </c>
      <c r="C224" s="1117"/>
      <c r="D224" s="1118"/>
      <c r="E224" s="1118"/>
      <c r="F224" s="1121">
        <f t="shared" si="19"/>
        <v>4.910092508895062E-3</v>
      </c>
      <c r="G224" s="1122"/>
      <c r="H224" s="436">
        <v>40786</v>
      </c>
      <c r="I224" s="738">
        <v>1218.8900000000001</v>
      </c>
      <c r="J224" s="440">
        <f t="shared" si="18"/>
        <v>4.9220063977839512E-3</v>
      </c>
      <c r="L224" s="436">
        <v>40786</v>
      </c>
      <c r="M224" s="738">
        <v>74.19</v>
      </c>
      <c r="N224" s="115">
        <f t="shared" si="17"/>
        <v>1.2145748987855143E-3</v>
      </c>
      <c r="O224" s="1121">
        <f t="shared" si="20"/>
        <v>1.2026610098966255E-3</v>
      </c>
      <c r="P224" s="1122"/>
    </row>
    <row r="225" spans="1:16">
      <c r="F225" s="1121">
        <f t="shared" si="19"/>
        <v>-1.1883370706157088E-2</v>
      </c>
      <c r="G225" s="1122"/>
      <c r="H225" s="436">
        <v>40787</v>
      </c>
      <c r="I225" s="738">
        <v>1204.42</v>
      </c>
      <c r="J225" s="440">
        <f t="shared" si="18"/>
        <v>-1.18714568172682E-2</v>
      </c>
      <c r="L225" s="436">
        <v>40787</v>
      </c>
      <c r="M225" s="738">
        <v>73.05</v>
      </c>
      <c r="N225" s="115">
        <f t="shared" si="17"/>
        <v>-1.5365952284674522E-2</v>
      </c>
      <c r="O225" s="1121">
        <f t="shared" si="20"/>
        <v>-1.5377866173563411E-2</v>
      </c>
      <c r="P225" s="1122"/>
    </row>
    <row r="226" spans="1:16">
      <c r="A226" s="427"/>
      <c r="F226" s="1121">
        <f t="shared" si="19"/>
        <v>-2.5293792303395464E-2</v>
      </c>
      <c r="G226" s="1122"/>
      <c r="H226" s="436">
        <v>40788</v>
      </c>
      <c r="I226" s="738">
        <v>1173.97</v>
      </c>
      <c r="J226" s="440">
        <f t="shared" si="18"/>
        <v>-2.5281878414506576E-2</v>
      </c>
      <c r="L226" s="436">
        <v>40788</v>
      </c>
      <c r="M226" s="738">
        <v>71.37</v>
      </c>
      <c r="N226" s="115">
        <f t="shared" si="17"/>
        <v>-2.299794661190957E-2</v>
      </c>
      <c r="O226" s="1121">
        <f t="shared" si="20"/>
        <v>-2.3009860500798458E-2</v>
      </c>
      <c r="P226" s="1122"/>
    </row>
    <row r="227" spans="1:16">
      <c r="A227" s="427"/>
      <c r="F227" s="1121">
        <f t="shared" si="19"/>
        <v>-1.1913888888888887E-5</v>
      </c>
      <c r="G227" s="1122"/>
      <c r="H227" s="436">
        <v>40791</v>
      </c>
      <c r="I227" s="738">
        <v>1173.97</v>
      </c>
      <c r="J227" s="440">
        <f t="shared" si="18"/>
        <v>0</v>
      </c>
      <c r="L227" s="436">
        <v>40791</v>
      </c>
      <c r="M227" s="738">
        <v>71.37</v>
      </c>
      <c r="N227" s="115">
        <f t="shared" si="17"/>
        <v>0</v>
      </c>
      <c r="O227" s="1121">
        <f t="shared" si="20"/>
        <v>-1.1913888888888887E-5</v>
      </c>
      <c r="P227" s="1122"/>
    </row>
    <row r="228" spans="1:16">
      <c r="A228" s="427"/>
      <c r="F228" s="1121">
        <f t="shared" si="19"/>
        <v>-7.448219757011606E-3</v>
      </c>
      <c r="G228" s="1122"/>
      <c r="H228" s="436">
        <v>40792</v>
      </c>
      <c r="I228" s="738">
        <v>1165.24</v>
      </c>
      <c r="J228" s="440">
        <f t="shared" si="18"/>
        <v>-7.4363058681227168E-3</v>
      </c>
      <c r="L228" s="436">
        <v>40792</v>
      </c>
      <c r="M228" s="738">
        <v>71.22</v>
      </c>
      <c r="N228" s="115">
        <f t="shared" si="17"/>
        <v>-2.1017234131989193E-3</v>
      </c>
      <c r="O228" s="1121">
        <f t="shared" si="20"/>
        <v>-2.1136373020878081E-3</v>
      </c>
      <c r="P228" s="1122"/>
    </row>
    <row r="229" spans="1:16">
      <c r="A229" s="427"/>
      <c r="F229" s="1121">
        <f t="shared" si="19"/>
        <v>2.8634545209665789E-2</v>
      </c>
      <c r="G229" s="1122"/>
      <c r="H229" s="436">
        <v>40793</v>
      </c>
      <c r="I229" s="738">
        <v>1198.6199999999999</v>
      </c>
      <c r="J229" s="440">
        <f t="shared" si="18"/>
        <v>2.8646459098554677E-2</v>
      </c>
      <c r="L229" s="436">
        <v>40793</v>
      </c>
      <c r="M229" s="738">
        <v>72.94</v>
      </c>
      <c r="N229" s="115">
        <f t="shared" si="17"/>
        <v>2.4150519516989544E-2</v>
      </c>
      <c r="O229" s="1121">
        <f t="shared" si="20"/>
        <v>2.4138605628100655E-2</v>
      </c>
      <c r="P229" s="1122"/>
    </row>
    <row r="230" spans="1:16">
      <c r="A230" s="427"/>
      <c r="F230" s="1121">
        <f t="shared" si="19"/>
        <v>-1.0624117923528582E-2</v>
      </c>
      <c r="G230" s="1122"/>
      <c r="H230" s="436">
        <v>40794</v>
      </c>
      <c r="I230" s="738">
        <v>1185.9000000000001</v>
      </c>
      <c r="J230" s="440">
        <f t="shared" si="18"/>
        <v>-1.0612204034639694E-2</v>
      </c>
      <c r="L230" s="436">
        <v>40794</v>
      </c>
      <c r="M230" s="738">
        <v>71.94</v>
      </c>
      <c r="N230" s="115">
        <f t="shared" si="17"/>
        <v>-1.3709898546750754E-2</v>
      </c>
      <c r="O230" s="1121">
        <f t="shared" si="20"/>
        <v>-1.3721812435639642E-2</v>
      </c>
      <c r="P230" s="1122"/>
    </row>
    <row r="231" spans="1:16">
      <c r="A231" s="427"/>
      <c r="F231" s="1121">
        <f t="shared" si="19"/>
        <v>-2.6717369660876462E-2</v>
      </c>
      <c r="G231" s="1122"/>
      <c r="H231" s="436">
        <v>40795</v>
      </c>
      <c r="I231" s="738">
        <v>1154.23</v>
      </c>
      <c r="J231" s="440">
        <f t="shared" si="18"/>
        <v>-2.6705455771987574E-2</v>
      </c>
      <c r="L231" s="436">
        <v>40795</v>
      </c>
      <c r="M231" s="738">
        <v>71.569999999999993</v>
      </c>
      <c r="N231" s="115">
        <f t="shared" si="17"/>
        <v>-5.1431748679455769E-3</v>
      </c>
      <c r="O231" s="1121">
        <f t="shared" si="20"/>
        <v>-5.1550887568344661E-3</v>
      </c>
      <c r="P231" s="1122"/>
    </row>
    <row r="232" spans="1:16">
      <c r="A232" s="427"/>
      <c r="F232" s="1121">
        <f t="shared" si="19"/>
        <v>6.9537688606496817E-3</v>
      </c>
      <c r="G232" s="1122"/>
      <c r="H232" s="436">
        <v>40798</v>
      </c>
      <c r="I232" s="738">
        <v>1162.27</v>
      </c>
      <c r="J232" s="440">
        <f t="shared" si="18"/>
        <v>6.9656827495385709E-3</v>
      </c>
      <c r="L232" s="436">
        <v>40798</v>
      </c>
      <c r="M232" s="738">
        <v>72.239999999999995</v>
      </c>
      <c r="N232" s="115">
        <f t="shared" si="17"/>
        <v>9.3614643006847409E-3</v>
      </c>
      <c r="O232" s="1121">
        <f t="shared" si="20"/>
        <v>9.3495504117958525E-3</v>
      </c>
      <c r="P232" s="1122"/>
    </row>
    <row r="233" spans="1:16">
      <c r="A233" s="427"/>
      <c r="F233" s="1121">
        <f t="shared" si="19"/>
        <v>9.1081700847143107E-3</v>
      </c>
      <c r="G233" s="1122"/>
      <c r="H233" s="436">
        <v>40799</v>
      </c>
      <c r="I233" s="738">
        <v>1172.8699999999999</v>
      </c>
      <c r="J233" s="440">
        <f t="shared" si="18"/>
        <v>9.1200839736031991E-3</v>
      </c>
      <c r="L233" s="436">
        <v>40799</v>
      </c>
      <c r="M233" s="738">
        <v>72.709999999999994</v>
      </c>
      <c r="N233" s="115">
        <f t="shared" si="17"/>
        <v>6.5060908084164648E-3</v>
      </c>
      <c r="O233" s="1121">
        <f t="shared" si="20"/>
        <v>6.4941769195275756E-3</v>
      </c>
      <c r="P233" s="1122"/>
    </row>
    <row r="234" spans="1:16">
      <c r="A234" s="427"/>
      <c r="F234" s="1121">
        <f t="shared" si="19"/>
        <v>1.3467840900644672E-2</v>
      </c>
      <c r="G234" s="1122"/>
      <c r="H234" s="436">
        <v>40800</v>
      </c>
      <c r="I234" s="738">
        <v>1188.68</v>
      </c>
      <c r="J234" s="440">
        <f t="shared" si="18"/>
        <v>1.347975478953356E-2</v>
      </c>
      <c r="L234" s="436">
        <v>40800</v>
      </c>
      <c r="M234" s="738">
        <v>73.58</v>
      </c>
      <c r="N234" s="115">
        <f t="shared" si="17"/>
        <v>1.1965341768670035E-2</v>
      </c>
      <c r="O234" s="1121">
        <f t="shared" si="20"/>
        <v>1.1953427879781146E-2</v>
      </c>
      <c r="P234" s="1122"/>
    </row>
    <row r="235" spans="1:16">
      <c r="A235" s="427"/>
      <c r="F235" s="1121">
        <f t="shared" si="19"/>
        <v>1.7175218055789025E-2</v>
      </c>
      <c r="G235" s="1122"/>
      <c r="H235" s="436">
        <v>40801</v>
      </c>
      <c r="I235" s="738">
        <v>1209.1099999999999</v>
      </c>
      <c r="J235" s="440">
        <f t="shared" si="18"/>
        <v>1.7187131944677914E-2</v>
      </c>
      <c r="L235" s="436">
        <v>40801</v>
      </c>
      <c r="M235" s="738">
        <v>75.44</v>
      </c>
      <c r="N235" s="115">
        <f t="shared" si="17"/>
        <v>2.5278608317477635E-2</v>
      </c>
      <c r="O235" s="1121">
        <f t="shared" si="20"/>
        <v>2.5266694428588747E-2</v>
      </c>
      <c r="P235" s="1122"/>
    </row>
    <row r="236" spans="1:16">
      <c r="A236" s="427"/>
      <c r="F236" s="1121">
        <f t="shared" si="19"/>
        <v>5.6947629229809815E-3</v>
      </c>
      <c r="G236" s="1122"/>
      <c r="H236" s="436">
        <v>40802</v>
      </c>
      <c r="I236" s="738">
        <v>1216.01</v>
      </c>
      <c r="J236" s="440">
        <f t="shared" si="18"/>
        <v>5.7066768118698707E-3</v>
      </c>
      <c r="L236" s="436">
        <v>40802</v>
      </c>
      <c r="M236" s="738">
        <v>76.03</v>
      </c>
      <c r="N236" s="115">
        <f t="shared" si="17"/>
        <v>7.8207847295863608E-3</v>
      </c>
      <c r="O236" s="1121">
        <f t="shared" si="20"/>
        <v>7.8088708406974716E-3</v>
      </c>
      <c r="P236" s="1122"/>
    </row>
    <row r="237" spans="1:16">
      <c r="A237" s="427"/>
      <c r="F237" s="1121">
        <f t="shared" si="19"/>
        <v>-9.8144648547526872E-3</v>
      </c>
      <c r="G237" s="1122"/>
      <c r="H237" s="436">
        <v>40805</v>
      </c>
      <c r="I237" s="738">
        <v>1204.0899999999999</v>
      </c>
      <c r="J237" s="440">
        <f t="shared" si="18"/>
        <v>-9.8025509658637988E-3</v>
      </c>
      <c r="L237" s="436">
        <v>40805</v>
      </c>
      <c r="M237" s="738">
        <v>76.69</v>
      </c>
      <c r="N237" s="115">
        <f t="shared" si="17"/>
        <v>8.6807839010916155E-3</v>
      </c>
      <c r="O237" s="1121">
        <f t="shared" si="20"/>
        <v>8.6688700122027271E-3</v>
      </c>
      <c r="P237" s="1122"/>
    </row>
    <row r="238" spans="1:16">
      <c r="A238" s="427"/>
      <c r="F238" s="1121">
        <f t="shared" si="19"/>
        <v>-1.6729192954614354E-3</v>
      </c>
      <c r="G238" s="1122"/>
      <c r="H238" s="436">
        <v>40806</v>
      </c>
      <c r="I238" s="738">
        <v>1202.0899999999999</v>
      </c>
      <c r="J238" s="440">
        <f t="shared" si="18"/>
        <v>-1.6610054065725466E-3</v>
      </c>
      <c r="L238" s="436">
        <v>40806</v>
      </c>
      <c r="M238" s="738">
        <v>75.44</v>
      </c>
      <c r="N238" s="115">
        <f t="shared" si="17"/>
        <v>-1.6299387143043464E-2</v>
      </c>
      <c r="O238" s="1121">
        <f t="shared" si="20"/>
        <v>-1.6311301031932353E-2</v>
      </c>
      <c r="P238" s="1122"/>
    </row>
    <row r="239" spans="1:16">
      <c r="A239" s="427"/>
      <c r="F239" s="1121">
        <f t="shared" si="19"/>
        <v>-2.9402392139269436E-2</v>
      </c>
      <c r="G239" s="1122"/>
      <c r="H239" s="436">
        <v>40807</v>
      </c>
      <c r="I239" s="738">
        <v>1166.76</v>
      </c>
      <c r="J239" s="440">
        <f t="shared" si="18"/>
        <v>-2.9390478250380547E-2</v>
      </c>
      <c r="L239" s="436">
        <v>40807</v>
      </c>
      <c r="M239" s="738">
        <v>72.650000000000006</v>
      </c>
      <c r="N239" s="115">
        <f t="shared" si="17"/>
        <v>-3.6983032873806887E-2</v>
      </c>
      <c r="O239" s="1121">
        <f t="shared" si="20"/>
        <v>-3.6994946762695775E-2</v>
      </c>
      <c r="P239" s="1122"/>
    </row>
    <row r="240" spans="1:16">
      <c r="A240" s="427"/>
      <c r="F240" s="1121">
        <f t="shared" si="19"/>
        <v>-3.1895077521512556E-2</v>
      </c>
      <c r="G240" s="1122"/>
      <c r="H240" s="436">
        <v>40808</v>
      </c>
      <c r="I240" s="738">
        <v>1129.56</v>
      </c>
      <c r="J240" s="440">
        <f t="shared" si="18"/>
        <v>-3.1883163632623668E-2</v>
      </c>
      <c r="L240" s="436">
        <v>40808</v>
      </c>
      <c r="M240" s="738">
        <v>73.14</v>
      </c>
      <c r="N240" s="115">
        <f t="shared" si="17"/>
        <v>6.7446662078458619E-3</v>
      </c>
      <c r="O240" s="1121">
        <f t="shared" si="20"/>
        <v>6.7327523189569726E-3</v>
      </c>
      <c r="P240" s="1122"/>
    </row>
    <row r="241" spans="1:16">
      <c r="A241" s="427"/>
      <c r="F241" s="1121">
        <f t="shared" si="19"/>
        <v>6.070100346742816E-3</v>
      </c>
      <c r="G241" s="1122"/>
      <c r="H241" s="436">
        <v>40809</v>
      </c>
      <c r="I241" s="738">
        <v>1136.43</v>
      </c>
      <c r="J241" s="440">
        <f t="shared" si="18"/>
        <v>6.0820142356317053E-3</v>
      </c>
      <c r="L241" s="436">
        <v>40809</v>
      </c>
      <c r="M241" s="738">
        <v>72.09</v>
      </c>
      <c r="N241" s="115">
        <f t="shared" ref="N241:N304" si="21">M241/M240-1</f>
        <v>-1.4356029532403558E-2</v>
      </c>
      <c r="O241" s="1121">
        <f t="shared" si="20"/>
        <v>-1.4367943421292446E-2</v>
      </c>
      <c r="P241" s="1122"/>
    </row>
    <row r="242" spans="1:16">
      <c r="A242" s="427"/>
      <c r="F242" s="1121">
        <f t="shared" si="19"/>
        <v>2.3324323274860663E-2</v>
      </c>
      <c r="G242" s="1122"/>
      <c r="H242" s="436">
        <v>40812</v>
      </c>
      <c r="I242" s="738">
        <v>1162.95</v>
      </c>
      <c r="J242" s="440">
        <f t="shared" si="18"/>
        <v>2.3336237163749551E-2</v>
      </c>
      <c r="L242" s="436">
        <v>40812</v>
      </c>
      <c r="M242" s="738">
        <v>73.78</v>
      </c>
      <c r="N242" s="115">
        <f t="shared" si="21"/>
        <v>2.3442918574004601E-2</v>
      </c>
      <c r="O242" s="1121">
        <f t="shared" si="20"/>
        <v>2.3431004685115712E-2</v>
      </c>
      <c r="P242" s="1122"/>
    </row>
    <row r="243" spans="1:16">
      <c r="A243" s="427"/>
      <c r="F243" s="1121">
        <f t="shared" si="19"/>
        <v>1.0676421809120533E-2</v>
      </c>
      <c r="G243" s="1122"/>
      <c r="H243" s="436">
        <v>40813</v>
      </c>
      <c r="I243" s="738">
        <v>1175.3800000000001</v>
      </c>
      <c r="J243" s="440">
        <f t="shared" si="18"/>
        <v>1.0688335698009421E-2</v>
      </c>
      <c r="L243" s="436">
        <v>40813</v>
      </c>
      <c r="M243" s="738">
        <v>74.27</v>
      </c>
      <c r="N243" s="115">
        <f t="shared" si="21"/>
        <v>6.6413662239088733E-3</v>
      </c>
      <c r="O243" s="1121">
        <f t="shared" si="20"/>
        <v>6.6294523350199841E-3</v>
      </c>
      <c r="P243" s="1122"/>
    </row>
    <row r="244" spans="1:16">
      <c r="A244" s="427"/>
      <c r="F244" s="1121">
        <f t="shared" si="19"/>
        <v>-2.0703094613420688E-2</v>
      </c>
      <c r="G244" s="1122"/>
      <c r="H244" s="436">
        <v>40814</v>
      </c>
      <c r="I244" s="738">
        <v>1151.06</v>
      </c>
      <c r="J244" s="440">
        <f t="shared" si="18"/>
        <v>-2.0691180724531799E-2</v>
      </c>
      <c r="L244" s="436">
        <v>40814</v>
      </c>
      <c r="M244" s="738">
        <v>73.319999999999993</v>
      </c>
      <c r="N244" s="115">
        <f t="shared" si="21"/>
        <v>-1.2791167362326661E-2</v>
      </c>
      <c r="O244" s="1121">
        <f t="shared" si="20"/>
        <v>-1.2803081251215549E-2</v>
      </c>
      <c r="P244" s="1122"/>
    </row>
    <row r="245" spans="1:16">
      <c r="A245" s="427"/>
      <c r="F245" s="1121">
        <f t="shared" si="19"/>
        <v>8.1023460106820419E-3</v>
      </c>
      <c r="G245" s="1122"/>
      <c r="H245" s="436">
        <v>40815</v>
      </c>
      <c r="I245" s="738">
        <v>1160.4000000000001</v>
      </c>
      <c r="J245" s="440">
        <f t="shared" si="18"/>
        <v>8.1142598995709303E-3</v>
      </c>
      <c r="L245" s="436">
        <v>40815</v>
      </c>
      <c r="M245" s="738">
        <v>72.489999999999995</v>
      </c>
      <c r="N245" s="115">
        <f t="shared" si="21"/>
        <v>-1.1320240043644292E-2</v>
      </c>
      <c r="O245" s="1121">
        <f t="shared" si="20"/>
        <v>-1.133215393253318E-2</v>
      </c>
      <c r="P245" s="1122"/>
    </row>
    <row r="246" spans="1:16">
      <c r="A246" s="427"/>
      <c r="F246" s="1121">
        <f t="shared" si="19"/>
        <v>-2.4986060734804146E-2</v>
      </c>
      <c r="G246" s="1122"/>
      <c r="H246" s="436">
        <v>40816</v>
      </c>
      <c r="I246" s="738">
        <v>1131.42</v>
      </c>
      <c r="J246" s="440">
        <f t="shared" si="18"/>
        <v>-2.4974146845915257E-2</v>
      </c>
      <c r="L246" s="436">
        <v>40816</v>
      </c>
      <c r="M246" s="738">
        <v>72.64</v>
      </c>
      <c r="N246" s="115">
        <f t="shared" si="21"/>
        <v>2.069250931163058E-3</v>
      </c>
      <c r="O246" s="1121">
        <f t="shared" si="20"/>
        <v>2.0573370422741692E-3</v>
      </c>
      <c r="P246" s="1122"/>
    </row>
    <row r="247" spans="1:16">
      <c r="A247" s="427"/>
      <c r="F247" s="1121">
        <f t="shared" si="19"/>
        <v>-2.8462887002321587E-2</v>
      </c>
      <c r="G247" s="1122"/>
      <c r="H247" s="436">
        <v>40819</v>
      </c>
      <c r="I247" s="738">
        <v>1099.23</v>
      </c>
      <c r="J247" s="440">
        <f t="shared" si="18"/>
        <v>-2.8450973113432698E-2</v>
      </c>
      <c r="L247" s="436">
        <v>40819</v>
      </c>
      <c r="M247" s="738">
        <v>71.16</v>
      </c>
      <c r="N247" s="115">
        <f t="shared" si="21"/>
        <v>-2.0374449339207068E-2</v>
      </c>
      <c r="O247" s="1121">
        <f t="shared" si="20"/>
        <v>-2.0386363228095956E-2</v>
      </c>
      <c r="P247" s="1122"/>
    </row>
    <row r="248" spans="1:16">
      <c r="A248" s="427"/>
      <c r="F248" s="1121">
        <f t="shared" si="19"/>
        <v>2.2476555312279316E-2</v>
      </c>
      <c r="G248" s="1122"/>
      <c r="H248" s="436">
        <v>40820</v>
      </c>
      <c r="I248" s="738">
        <v>1123.95</v>
      </c>
      <c r="J248" s="440">
        <f t="shared" si="18"/>
        <v>2.2488469201168204E-2</v>
      </c>
      <c r="L248" s="436">
        <v>40820</v>
      </c>
      <c r="M248" s="738">
        <v>72.7</v>
      </c>
      <c r="N248" s="115">
        <f t="shared" si="21"/>
        <v>2.1641371557054701E-2</v>
      </c>
      <c r="O248" s="1121">
        <f t="shared" si="20"/>
        <v>2.1629457668165812E-2</v>
      </c>
      <c r="P248" s="1122"/>
    </row>
    <row r="249" spans="1:16">
      <c r="A249" s="427"/>
      <c r="F249" s="1121">
        <f t="shared" si="19"/>
        <v>1.7853649525853769E-2</v>
      </c>
      <c r="G249" s="1122"/>
      <c r="H249" s="436">
        <v>40821</v>
      </c>
      <c r="I249" s="738">
        <v>1144.03</v>
      </c>
      <c r="J249" s="440">
        <f t="shared" si="18"/>
        <v>1.7865563414742658E-2</v>
      </c>
      <c r="L249" s="436">
        <v>40821</v>
      </c>
      <c r="M249" s="738">
        <v>72.489999999999995</v>
      </c>
      <c r="N249" s="115">
        <f t="shared" si="21"/>
        <v>-2.8885832187071081E-3</v>
      </c>
      <c r="O249" s="1121">
        <f t="shared" si="20"/>
        <v>-2.9004971075959969E-3</v>
      </c>
      <c r="P249" s="1122"/>
    </row>
    <row r="250" spans="1:16">
      <c r="A250" s="427"/>
      <c r="F250" s="1121">
        <f t="shared" si="19"/>
        <v>1.8291801922759469E-2</v>
      </c>
      <c r="G250" s="1122"/>
      <c r="H250" s="436">
        <v>40822</v>
      </c>
      <c r="I250" s="738">
        <v>1164.97</v>
      </c>
      <c r="J250" s="440">
        <f t="shared" si="18"/>
        <v>1.8303715811648358E-2</v>
      </c>
      <c r="L250" s="436">
        <v>40822</v>
      </c>
      <c r="M250" s="738">
        <v>73.13</v>
      </c>
      <c r="N250" s="115">
        <f t="shared" si="21"/>
        <v>8.8288039729618184E-3</v>
      </c>
      <c r="O250" s="1121">
        <f t="shared" si="20"/>
        <v>8.81689008407293E-3</v>
      </c>
      <c r="P250" s="1122"/>
    </row>
    <row r="251" spans="1:16">
      <c r="A251" s="427"/>
      <c r="F251" s="1121">
        <f t="shared" si="19"/>
        <v>-8.1752142313870138E-3</v>
      </c>
      <c r="G251" s="1122"/>
      <c r="H251" s="436">
        <v>40823</v>
      </c>
      <c r="I251" s="738">
        <v>1155.46</v>
      </c>
      <c r="J251" s="440">
        <f t="shared" si="18"/>
        <v>-8.1633003424981254E-3</v>
      </c>
      <c r="L251" s="436">
        <v>40823</v>
      </c>
      <c r="M251" s="738">
        <v>74</v>
      </c>
      <c r="N251" s="115">
        <f t="shared" si="21"/>
        <v>1.1896622453165584E-2</v>
      </c>
      <c r="O251" s="1121">
        <f t="shared" si="20"/>
        <v>1.1884708564276696E-2</v>
      </c>
      <c r="P251" s="1122"/>
    </row>
    <row r="252" spans="1:16">
      <c r="A252" s="427"/>
      <c r="F252" s="1121">
        <f t="shared" si="19"/>
        <v>3.4113023365537891E-2</v>
      </c>
      <c r="G252" s="1122"/>
      <c r="H252" s="436">
        <v>40826</v>
      </c>
      <c r="I252" s="738">
        <v>1194.8900000000001</v>
      </c>
      <c r="J252" s="440">
        <f t="shared" si="18"/>
        <v>3.4124937254426779E-2</v>
      </c>
      <c r="L252" s="436">
        <v>40826</v>
      </c>
      <c r="M252" s="738">
        <v>75.75</v>
      </c>
      <c r="N252" s="115">
        <f t="shared" si="21"/>
        <v>2.3648648648648685E-2</v>
      </c>
      <c r="O252" s="1121">
        <f t="shared" si="20"/>
        <v>2.3636734759759796E-2</v>
      </c>
      <c r="P252" s="1122"/>
    </row>
    <row r="253" spans="1:16">
      <c r="A253" s="427"/>
      <c r="F253" s="1121">
        <f t="shared" si="19"/>
        <v>5.3206923926506862E-4</v>
      </c>
      <c r="G253" s="1122"/>
      <c r="H253" s="436">
        <v>40827</v>
      </c>
      <c r="I253" s="738">
        <v>1195.54</v>
      </c>
      <c r="J253" s="440">
        <f t="shared" si="18"/>
        <v>5.4398312815395755E-4</v>
      </c>
      <c r="L253" s="436">
        <v>40827</v>
      </c>
      <c r="M253" s="738">
        <v>76.319999999999993</v>
      </c>
      <c r="N253" s="115">
        <f t="shared" si="21"/>
        <v>7.5247524752475314E-3</v>
      </c>
      <c r="O253" s="1121">
        <f t="shared" si="20"/>
        <v>7.5128385863586422E-3</v>
      </c>
      <c r="P253" s="1122"/>
    </row>
    <row r="254" spans="1:16">
      <c r="A254" s="427"/>
      <c r="F254" s="1121">
        <f t="shared" si="19"/>
        <v>9.7828232173561222E-3</v>
      </c>
      <c r="G254" s="1122"/>
      <c r="H254" s="436">
        <v>40828</v>
      </c>
      <c r="I254" s="738">
        <v>1207.25</v>
      </c>
      <c r="J254" s="440">
        <f t="shared" si="18"/>
        <v>9.7947371062450106E-3</v>
      </c>
      <c r="L254" s="436">
        <v>40828</v>
      </c>
      <c r="M254" s="738">
        <v>76.13</v>
      </c>
      <c r="N254" s="115">
        <f t="shared" si="21"/>
        <v>-2.4895178197065215E-3</v>
      </c>
      <c r="O254" s="1121">
        <f t="shared" si="20"/>
        <v>-2.5014317085954104E-3</v>
      </c>
      <c r="P254" s="1122"/>
    </row>
    <row r="255" spans="1:16">
      <c r="A255" s="427"/>
      <c r="F255" s="1121">
        <f t="shared" si="19"/>
        <v>-2.9856144480108278E-3</v>
      </c>
      <c r="G255" s="1122"/>
      <c r="H255" s="436">
        <v>40829</v>
      </c>
      <c r="I255" s="738">
        <v>1203.6600000000001</v>
      </c>
      <c r="J255" s="440">
        <f t="shared" si="18"/>
        <v>-2.973700559121939E-3</v>
      </c>
      <c r="L255" s="436">
        <v>40829</v>
      </c>
      <c r="M255" s="738">
        <v>76.41</v>
      </c>
      <c r="N255" s="115">
        <f t="shared" si="21"/>
        <v>3.6779193484828276E-3</v>
      </c>
      <c r="O255" s="1121">
        <f t="shared" si="20"/>
        <v>3.6660054595939388E-3</v>
      </c>
      <c r="P255" s="1122"/>
    </row>
    <row r="256" spans="1:16">
      <c r="A256" s="427"/>
      <c r="F256" s="1121">
        <f t="shared" si="19"/>
        <v>1.7368409458235694E-2</v>
      </c>
      <c r="G256" s="1122"/>
      <c r="H256" s="436">
        <v>40830</v>
      </c>
      <c r="I256" s="738">
        <v>1224.58</v>
      </c>
      <c r="J256" s="440">
        <f t="shared" si="18"/>
        <v>1.7380323347124582E-2</v>
      </c>
      <c r="L256" s="436">
        <v>40830</v>
      </c>
      <c r="M256" s="738">
        <v>75.989999999999995</v>
      </c>
      <c r="N256" s="115">
        <f t="shared" si="21"/>
        <v>-5.4966627404789969E-3</v>
      </c>
      <c r="O256" s="1121">
        <f t="shared" si="20"/>
        <v>-5.5085766293678862E-3</v>
      </c>
      <c r="P256" s="1122"/>
    </row>
    <row r="257" spans="1:16">
      <c r="A257" s="427"/>
      <c r="F257" s="1121">
        <f t="shared" si="19"/>
        <v>-1.9381820305782844E-2</v>
      </c>
      <c r="G257" s="1122"/>
      <c r="H257" s="436">
        <v>40833</v>
      </c>
      <c r="I257" s="738">
        <v>1200.8599999999999</v>
      </c>
      <c r="J257" s="440">
        <f t="shared" si="18"/>
        <v>-1.9369906416893956E-2</v>
      </c>
      <c r="L257" s="436">
        <v>40833</v>
      </c>
      <c r="M257" s="738">
        <v>74.72</v>
      </c>
      <c r="N257" s="115">
        <f t="shared" si="21"/>
        <v>-1.67127253585998E-2</v>
      </c>
      <c r="O257" s="1121">
        <f t="shared" si="20"/>
        <v>-1.6724639247488689E-2</v>
      </c>
      <c r="P257" s="1122"/>
    </row>
    <row r="258" spans="1:16">
      <c r="A258" s="427"/>
      <c r="F258" s="1121">
        <f t="shared" si="19"/>
        <v>2.0406786042826856E-2</v>
      </c>
      <c r="G258" s="1122"/>
      <c r="H258" s="436">
        <v>40834</v>
      </c>
      <c r="I258" s="738">
        <v>1225.3800000000001</v>
      </c>
      <c r="J258" s="440">
        <f t="shared" si="18"/>
        <v>2.0418699931715745E-2</v>
      </c>
      <c r="L258" s="436">
        <v>40834</v>
      </c>
      <c r="M258" s="738">
        <v>75.98</v>
      </c>
      <c r="N258" s="115">
        <f t="shared" si="21"/>
        <v>1.6862955032119986E-2</v>
      </c>
      <c r="O258" s="1121">
        <f t="shared" si="20"/>
        <v>1.6851041143231098E-2</v>
      </c>
      <c r="P258" s="1122"/>
    </row>
    <row r="259" spans="1:16">
      <c r="A259" s="427"/>
      <c r="F259" s="1121">
        <f t="shared" si="19"/>
        <v>-1.2661051299324828E-2</v>
      </c>
      <c r="G259" s="1122"/>
      <c r="H259" s="436">
        <v>40835</v>
      </c>
      <c r="I259" s="738">
        <v>1209.8800000000001</v>
      </c>
      <c r="J259" s="440">
        <f t="shared" si="18"/>
        <v>-1.264913741043594E-2</v>
      </c>
      <c r="L259" s="436">
        <v>40835</v>
      </c>
      <c r="M259" s="738">
        <v>75.47</v>
      </c>
      <c r="N259" s="115">
        <f t="shared" si="21"/>
        <v>-6.7122927086076256E-3</v>
      </c>
      <c r="O259" s="1121">
        <f t="shared" si="20"/>
        <v>-6.7242065974965149E-3</v>
      </c>
      <c r="P259" s="1122"/>
    </row>
    <row r="260" spans="1:16">
      <c r="A260" s="427"/>
      <c r="F260" s="1121">
        <f t="shared" si="19"/>
        <v>4.5422567726643914E-3</v>
      </c>
      <c r="G260" s="1122"/>
      <c r="H260" s="436">
        <v>40836</v>
      </c>
      <c r="I260" s="738">
        <v>1215.3900000000001</v>
      </c>
      <c r="J260" s="440">
        <f t="shared" si="18"/>
        <v>4.5541706615532807E-3</v>
      </c>
      <c r="L260" s="436">
        <v>40836</v>
      </c>
      <c r="M260" s="738">
        <v>75.7</v>
      </c>
      <c r="N260" s="115">
        <f t="shared" si="21"/>
        <v>3.047568570292869E-3</v>
      </c>
      <c r="O260" s="1121">
        <f t="shared" si="20"/>
        <v>3.0356546814039802E-3</v>
      </c>
      <c r="P260" s="1122"/>
    </row>
    <row r="261" spans="1:16">
      <c r="A261" s="427"/>
      <c r="F261" s="1121">
        <f t="shared" si="19"/>
        <v>1.8796863540578072E-2</v>
      </c>
      <c r="G261" s="1122"/>
      <c r="H261" s="436">
        <v>40837</v>
      </c>
      <c r="I261" s="738">
        <v>1238.25</v>
      </c>
      <c r="J261" s="440">
        <f t="shared" si="18"/>
        <v>1.8808777429466961E-2</v>
      </c>
      <c r="L261" s="436">
        <v>40837</v>
      </c>
      <c r="M261" s="738">
        <v>77.400000000000006</v>
      </c>
      <c r="N261" s="115">
        <f t="shared" si="21"/>
        <v>2.2457067371202122E-2</v>
      </c>
      <c r="O261" s="1121">
        <f t="shared" si="20"/>
        <v>2.2445153482313233E-2</v>
      </c>
      <c r="P261" s="1122"/>
    </row>
    <row r="262" spans="1:16">
      <c r="A262" s="427"/>
      <c r="F262" s="1121">
        <f t="shared" si="19"/>
        <v>1.2861092369944253E-2</v>
      </c>
      <c r="G262" s="1122"/>
      <c r="H262" s="436">
        <v>40840</v>
      </c>
      <c r="I262" s="738">
        <v>1254.19</v>
      </c>
      <c r="J262" s="440">
        <f t="shared" si="18"/>
        <v>1.2873006258833142E-2</v>
      </c>
      <c r="L262" s="436">
        <v>40840</v>
      </c>
      <c r="M262" s="738">
        <v>78.73</v>
      </c>
      <c r="N262" s="115">
        <f t="shared" si="21"/>
        <v>1.7183462532299743E-2</v>
      </c>
      <c r="O262" s="1121">
        <f t="shared" si="20"/>
        <v>1.7171548643410854E-2</v>
      </c>
      <c r="P262" s="1122"/>
    </row>
    <row r="263" spans="1:16">
      <c r="A263" s="427"/>
      <c r="F263" s="1121">
        <f t="shared" si="19"/>
        <v>-2.0056723686447515E-2</v>
      </c>
      <c r="G263" s="1122"/>
      <c r="H263" s="436">
        <v>40841</v>
      </c>
      <c r="I263" s="738">
        <v>1229.05</v>
      </c>
      <c r="J263" s="440">
        <f t="shared" si="18"/>
        <v>-2.0044809797558627E-2</v>
      </c>
      <c r="L263" s="436">
        <v>40841</v>
      </c>
      <c r="M263" s="738">
        <v>78.89</v>
      </c>
      <c r="N263" s="115">
        <f t="shared" si="21"/>
        <v>2.032262161818732E-3</v>
      </c>
      <c r="O263" s="1121">
        <f t="shared" si="20"/>
        <v>2.0203482729298432E-3</v>
      </c>
      <c r="P263" s="1122"/>
    </row>
    <row r="264" spans="1:16">
      <c r="A264" s="427"/>
      <c r="F264" s="1121">
        <f t="shared" si="19"/>
        <v>1.0524679414882436E-2</v>
      </c>
      <c r="G264" s="1122"/>
      <c r="H264" s="436">
        <v>40842</v>
      </c>
      <c r="I264" s="738">
        <v>1242</v>
      </c>
      <c r="J264" s="440">
        <f t="shared" si="18"/>
        <v>1.0536593303771324E-2</v>
      </c>
      <c r="L264" s="436">
        <v>40842</v>
      </c>
      <c r="M264" s="738">
        <v>76.349999999999994</v>
      </c>
      <c r="N264" s="115">
        <f t="shared" si="21"/>
        <v>-3.2196729623526488E-2</v>
      </c>
      <c r="O264" s="1121">
        <f t="shared" si="20"/>
        <v>-3.2208643512415376E-2</v>
      </c>
      <c r="P264" s="1122"/>
    </row>
    <row r="265" spans="1:16">
      <c r="A265" s="427"/>
      <c r="F265" s="1121">
        <f t="shared" si="19"/>
        <v>3.4279551489532982E-2</v>
      </c>
      <c r="G265" s="1122"/>
      <c r="H265" s="436">
        <v>40843</v>
      </c>
      <c r="I265" s="738">
        <v>1284.5899999999999</v>
      </c>
      <c r="J265" s="440">
        <f t="shared" si="18"/>
        <v>3.429146537842187E-2</v>
      </c>
      <c r="L265" s="436">
        <v>40843</v>
      </c>
      <c r="M265" s="738">
        <v>75.650000000000006</v>
      </c>
      <c r="N265" s="115">
        <f t="shared" si="21"/>
        <v>-9.1683038637850878E-3</v>
      </c>
      <c r="O265" s="1121">
        <f t="shared" si="20"/>
        <v>-9.1802177526739762E-3</v>
      </c>
      <c r="P265" s="1122"/>
    </row>
    <row r="266" spans="1:16">
      <c r="A266" s="427"/>
      <c r="F266" s="1121">
        <f t="shared" si="19"/>
        <v>3.7731535935369521E-4</v>
      </c>
      <c r="G266" s="1122"/>
      <c r="H266" s="436">
        <v>40844</v>
      </c>
      <c r="I266" s="738">
        <v>1285.0899999999999</v>
      </c>
      <c r="J266" s="440">
        <f t="shared" si="18"/>
        <v>3.8922924824258409E-4</v>
      </c>
      <c r="L266" s="436">
        <v>40844</v>
      </c>
      <c r="M266" s="738">
        <v>75.430000000000007</v>
      </c>
      <c r="N266" s="115">
        <f t="shared" si="21"/>
        <v>-2.9081295439523647E-3</v>
      </c>
      <c r="O266" s="1121">
        <f t="shared" si="20"/>
        <v>-2.9200434328412535E-3</v>
      </c>
      <c r="P266" s="1122"/>
    </row>
    <row r="267" spans="1:16">
      <c r="A267" s="427"/>
      <c r="F267" s="1121">
        <f t="shared" si="19"/>
        <v>-2.4749480907541262E-2</v>
      </c>
      <c r="G267" s="1122"/>
      <c r="H267" s="436">
        <v>40847</v>
      </c>
      <c r="I267" s="738">
        <v>1253.3</v>
      </c>
      <c r="J267" s="440">
        <f t="shared" si="18"/>
        <v>-2.4737567018652373E-2</v>
      </c>
      <c r="L267" s="436">
        <v>40847</v>
      </c>
      <c r="M267" s="738">
        <v>75.900000000000006</v>
      </c>
      <c r="N267" s="115">
        <f t="shared" si="21"/>
        <v>6.2309425957840503E-3</v>
      </c>
      <c r="O267" s="1121">
        <f t="shared" si="20"/>
        <v>6.219028706895161E-3</v>
      </c>
      <c r="P267" s="1122"/>
    </row>
    <row r="268" spans="1:16">
      <c r="A268" s="427"/>
      <c r="F268" s="1121">
        <f t="shared" si="19"/>
        <v>-2.795414639507255E-2</v>
      </c>
      <c r="G268" s="1122"/>
      <c r="H268" s="436">
        <v>40848</v>
      </c>
      <c r="I268" s="738">
        <v>1218.28</v>
      </c>
      <c r="J268" s="440">
        <f t="shared" si="18"/>
        <v>-2.7942232506183662E-2</v>
      </c>
      <c r="L268" s="436">
        <v>40848</v>
      </c>
      <c r="M268" s="738">
        <v>73.989999999999995</v>
      </c>
      <c r="N268" s="115">
        <f t="shared" si="21"/>
        <v>-2.51646903820818E-2</v>
      </c>
      <c r="O268" s="1121">
        <f t="shared" si="20"/>
        <v>-2.5176604270970689E-2</v>
      </c>
      <c r="P268" s="1122"/>
    </row>
    <row r="269" spans="1:16">
      <c r="A269" s="427"/>
      <c r="F269" s="1121">
        <f t="shared" si="19"/>
        <v>1.609275827186251E-2</v>
      </c>
      <c r="G269" s="1122"/>
      <c r="H269" s="436">
        <v>40849</v>
      </c>
      <c r="I269" s="738">
        <v>1237.9000000000001</v>
      </c>
      <c r="J269" s="440">
        <f t="shared" si="18"/>
        <v>1.6104672160751399E-2</v>
      </c>
      <c r="L269" s="436">
        <v>40849</v>
      </c>
      <c r="M269" s="738">
        <v>74.52</v>
      </c>
      <c r="N269" s="115">
        <f t="shared" si="21"/>
        <v>7.163130152723296E-3</v>
      </c>
      <c r="O269" s="1121">
        <f t="shared" si="20"/>
        <v>7.1512162638344067E-3</v>
      </c>
      <c r="P269" s="1122"/>
    </row>
    <row r="270" spans="1:16">
      <c r="A270" s="427"/>
      <c r="F270" s="1121">
        <f t="shared" si="19"/>
        <v>1.8769894011587789E-2</v>
      </c>
      <c r="G270" s="1122"/>
      <c r="H270" s="436">
        <v>40850</v>
      </c>
      <c r="I270" s="738">
        <v>1261.1500000000001</v>
      </c>
      <c r="J270" s="440">
        <f t="shared" si="18"/>
        <v>1.8781807900476677E-2</v>
      </c>
      <c r="L270" s="436">
        <v>40850</v>
      </c>
      <c r="M270" s="738">
        <v>76.09</v>
      </c>
      <c r="N270" s="115">
        <f t="shared" si="21"/>
        <v>2.106816961889435E-2</v>
      </c>
      <c r="O270" s="1121">
        <f t="shared" si="20"/>
        <v>2.1056255730005462E-2</v>
      </c>
      <c r="P270" s="1122"/>
    </row>
    <row r="271" spans="1:16">
      <c r="A271" s="427"/>
      <c r="F271" s="1121">
        <f t="shared" si="19"/>
        <v>-6.2918964444929138E-3</v>
      </c>
      <c r="G271" s="1122"/>
      <c r="H271" s="436">
        <v>40851</v>
      </c>
      <c r="I271" s="738">
        <v>1253.23</v>
      </c>
      <c r="J271" s="440">
        <f t="shared" si="18"/>
        <v>-6.2799825556040245E-3</v>
      </c>
      <c r="L271" s="436">
        <v>40851</v>
      </c>
      <c r="M271" s="738">
        <v>76.52</v>
      </c>
      <c r="N271" s="115">
        <f t="shared" si="21"/>
        <v>5.6512025233275143E-3</v>
      </c>
      <c r="O271" s="1121">
        <f t="shared" si="20"/>
        <v>5.639288634438625E-3</v>
      </c>
      <c r="P271" s="1122"/>
    </row>
    <row r="272" spans="1:16">
      <c r="A272" s="427"/>
      <c r="F272" s="1121">
        <f t="shared" si="19"/>
        <v>6.2838179400649318E-3</v>
      </c>
      <c r="G272" s="1122"/>
      <c r="H272" s="436">
        <v>40854</v>
      </c>
      <c r="I272" s="738">
        <v>1261.1199999999999</v>
      </c>
      <c r="J272" s="440">
        <f t="shared" si="18"/>
        <v>6.2957318289538211E-3</v>
      </c>
      <c r="L272" s="436">
        <v>40854</v>
      </c>
      <c r="M272" s="738">
        <v>78.260000000000005</v>
      </c>
      <c r="N272" s="115">
        <f t="shared" si="21"/>
        <v>2.2739153162572023E-2</v>
      </c>
      <c r="O272" s="1121">
        <f t="shared" si="20"/>
        <v>2.2727239273683135E-2</v>
      </c>
      <c r="P272" s="1122"/>
    </row>
    <row r="273" spans="1:16">
      <c r="A273" s="427"/>
      <c r="F273" s="1121">
        <f t="shared" si="19"/>
        <v>1.1723686212608324E-2</v>
      </c>
      <c r="G273" s="1122"/>
      <c r="H273" s="436">
        <v>40855</v>
      </c>
      <c r="I273" s="738">
        <v>1275.92</v>
      </c>
      <c r="J273" s="440">
        <f t="shared" si="18"/>
        <v>1.1735600101497212E-2</v>
      </c>
      <c r="L273" s="436">
        <v>40855</v>
      </c>
      <c r="M273" s="738">
        <v>78.39</v>
      </c>
      <c r="N273" s="115">
        <f t="shared" si="21"/>
        <v>1.6611295681061566E-3</v>
      </c>
      <c r="O273" s="1121">
        <f t="shared" si="20"/>
        <v>1.6492156792172678E-3</v>
      </c>
      <c r="P273" s="1122"/>
    </row>
    <row r="274" spans="1:16">
      <c r="A274" s="427"/>
      <c r="F274" s="1121">
        <f t="shared" si="19"/>
        <v>-3.6707004490180613E-2</v>
      </c>
      <c r="G274" s="1122"/>
      <c r="H274" s="436">
        <v>40856</v>
      </c>
      <c r="I274" s="738">
        <v>1229.0999999999999</v>
      </c>
      <c r="J274" s="440">
        <f t="shared" si="18"/>
        <v>-3.6695090601291724E-2</v>
      </c>
      <c r="L274" s="436">
        <v>40856</v>
      </c>
      <c r="M274" s="738">
        <v>76.95</v>
      </c>
      <c r="N274" s="115">
        <f t="shared" si="21"/>
        <v>-1.8369690011481032E-2</v>
      </c>
      <c r="O274" s="1121">
        <f t="shared" si="20"/>
        <v>-1.8381603900369921E-2</v>
      </c>
      <c r="P274" s="1122"/>
    </row>
    <row r="275" spans="1:16">
      <c r="A275" s="427"/>
      <c r="F275" s="1121">
        <f t="shared" si="19"/>
        <v>8.6041466432079591E-3</v>
      </c>
      <c r="G275" s="1122"/>
      <c r="H275" s="436">
        <v>40857</v>
      </c>
      <c r="I275" s="738">
        <v>1239.69</v>
      </c>
      <c r="J275" s="440">
        <f t="shared" si="18"/>
        <v>8.6160605320968475E-3</v>
      </c>
      <c r="L275" s="436">
        <v>40857</v>
      </c>
      <c r="M275" s="738">
        <v>76.13</v>
      </c>
      <c r="N275" s="115">
        <f t="shared" si="21"/>
        <v>-1.0656270305393178E-2</v>
      </c>
      <c r="O275" s="1121">
        <f t="shared" si="20"/>
        <v>-1.0668184194282067E-2</v>
      </c>
      <c r="P275" s="1122"/>
    </row>
    <row r="276" spans="1:16">
      <c r="A276" s="427"/>
      <c r="F276" s="1121">
        <f t="shared" si="19"/>
        <v>1.9476829264641331E-2</v>
      </c>
      <c r="G276" s="1122"/>
      <c r="H276" s="436">
        <v>40858</v>
      </c>
      <c r="I276" s="738">
        <v>1263.8499999999999</v>
      </c>
      <c r="J276" s="440">
        <f t="shared" si="18"/>
        <v>1.9488743153530219E-2</v>
      </c>
      <c r="L276" s="436">
        <v>40858</v>
      </c>
      <c r="M276" s="738">
        <v>77.42</v>
      </c>
      <c r="N276" s="115">
        <f t="shared" si="21"/>
        <v>1.6944699855510503E-2</v>
      </c>
      <c r="O276" s="1121">
        <f t="shared" si="20"/>
        <v>1.6932785966621615E-2</v>
      </c>
      <c r="P276" s="1122"/>
    </row>
    <row r="277" spans="1:16">
      <c r="A277" s="427"/>
      <c r="F277" s="1121">
        <f t="shared" si="19"/>
        <v>-9.56209785059315E-3</v>
      </c>
      <c r="G277" s="1122"/>
      <c r="H277" s="436">
        <v>40861</v>
      </c>
      <c r="I277" s="738">
        <v>1251.78</v>
      </c>
      <c r="J277" s="440">
        <f t="shared" si="18"/>
        <v>-9.5501839617042616E-3</v>
      </c>
      <c r="L277" s="436">
        <v>40861</v>
      </c>
      <c r="M277" s="738">
        <v>77.349999999999994</v>
      </c>
      <c r="N277" s="115">
        <f t="shared" si="21"/>
        <v>-9.0415913200736497E-4</v>
      </c>
      <c r="O277" s="1121">
        <f t="shared" si="20"/>
        <v>-9.1607302089625391E-4</v>
      </c>
      <c r="P277" s="1122"/>
    </row>
    <row r="278" spans="1:16">
      <c r="A278" s="427"/>
      <c r="F278" s="1121">
        <f t="shared" si="19"/>
        <v>4.8052265031926977E-3</v>
      </c>
      <c r="G278" s="1122"/>
      <c r="H278" s="436">
        <v>40862</v>
      </c>
      <c r="I278" s="738">
        <v>1257.81</v>
      </c>
      <c r="J278" s="440">
        <f t="shared" si="18"/>
        <v>4.817140392081587E-3</v>
      </c>
      <c r="L278" s="436">
        <v>40862</v>
      </c>
      <c r="M278" s="738">
        <v>77.849999999999994</v>
      </c>
      <c r="N278" s="115">
        <f t="shared" si="21"/>
        <v>6.4641241111829117E-3</v>
      </c>
      <c r="O278" s="1121">
        <f t="shared" si="20"/>
        <v>6.4522102222940225E-3</v>
      </c>
      <c r="P278" s="1122"/>
    </row>
    <row r="279" spans="1:16">
      <c r="A279" s="427"/>
      <c r="F279" s="1121">
        <f t="shared" si="19"/>
        <v>-1.6628095983163733E-2</v>
      </c>
      <c r="G279" s="1122"/>
      <c r="H279" s="436">
        <v>40863</v>
      </c>
      <c r="I279" s="738">
        <v>1236.9100000000001</v>
      </c>
      <c r="J279" s="440">
        <f t="shared" si="18"/>
        <v>-1.6616182094274845E-2</v>
      </c>
      <c r="L279" s="436">
        <v>40863</v>
      </c>
      <c r="M279" s="738">
        <v>75.930000000000007</v>
      </c>
      <c r="N279" s="115">
        <f t="shared" si="21"/>
        <v>-2.4662813102119263E-2</v>
      </c>
      <c r="O279" s="1121">
        <f t="shared" si="20"/>
        <v>-2.4674726991008152E-2</v>
      </c>
      <c r="P279" s="1122"/>
    </row>
    <row r="280" spans="1:16">
      <c r="A280" s="427"/>
      <c r="F280" s="1121">
        <f t="shared" si="19"/>
        <v>-1.6811842743858059E-2</v>
      </c>
      <c r="G280" s="1122"/>
      <c r="H280" s="436">
        <v>40864</v>
      </c>
      <c r="I280" s="738">
        <v>1216.1300000000001</v>
      </c>
      <c r="J280" s="440">
        <f t="shared" si="18"/>
        <v>-1.6799928854969171E-2</v>
      </c>
      <c r="L280" s="436">
        <v>40864</v>
      </c>
      <c r="M280" s="738">
        <v>75.16</v>
      </c>
      <c r="N280" s="115">
        <f t="shared" si="21"/>
        <v>-1.014091926774674E-2</v>
      </c>
      <c r="O280" s="1121">
        <f t="shared" si="20"/>
        <v>-1.0152833156635628E-2</v>
      </c>
      <c r="P280" s="1122"/>
    </row>
    <row r="281" spans="1:16">
      <c r="A281" s="427"/>
      <c r="F281" s="1121">
        <f t="shared" si="19"/>
        <v>-4.066085350205103E-4</v>
      </c>
      <c r="G281" s="1122"/>
      <c r="H281" s="436">
        <v>40865</v>
      </c>
      <c r="I281" s="738">
        <v>1215.6500000000001</v>
      </c>
      <c r="J281" s="440">
        <f t="shared" si="18"/>
        <v>-3.9469464613162142E-4</v>
      </c>
      <c r="L281" s="436">
        <v>40865</v>
      </c>
      <c r="M281" s="738">
        <v>75.099999999999994</v>
      </c>
      <c r="N281" s="115">
        <f t="shared" si="21"/>
        <v>-7.9829696647160109E-4</v>
      </c>
      <c r="O281" s="1121">
        <f t="shared" si="20"/>
        <v>-8.1021085536049002E-4</v>
      </c>
      <c r="P281" s="1122"/>
    </row>
    <row r="282" spans="1:16">
      <c r="A282" s="427"/>
      <c r="F282" s="1121">
        <f t="shared" si="19"/>
        <v>-1.8660373560669526E-2</v>
      </c>
      <c r="G282" s="1122"/>
      <c r="H282" s="436">
        <v>40868</v>
      </c>
      <c r="I282" s="738">
        <v>1192.98</v>
      </c>
      <c r="J282" s="440">
        <f t="shared" si="18"/>
        <v>-1.8648459671780637E-2</v>
      </c>
      <c r="L282" s="436">
        <v>40868</v>
      </c>
      <c r="M282" s="738">
        <v>74.489999999999995</v>
      </c>
      <c r="N282" s="115">
        <f t="shared" si="21"/>
        <v>-8.1225033288947479E-3</v>
      </c>
      <c r="O282" s="1121">
        <f t="shared" si="20"/>
        <v>-8.1344172177836363E-3</v>
      </c>
      <c r="P282" s="1122"/>
    </row>
    <row r="283" spans="1:16">
      <c r="A283" s="427"/>
      <c r="F283" s="1121">
        <f t="shared" si="19"/>
        <v>-4.1528047671937152E-3</v>
      </c>
      <c r="G283" s="1122"/>
      <c r="H283" s="436">
        <v>40869</v>
      </c>
      <c r="I283" s="738">
        <v>1188.04</v>
      </c>
      <c r="J283" s="440">
        <f t="shared" si="18"/>
        <v>-4.1408908783048259E-3</v>
      </c>
      <c r="L283" s="436">
        <v>40869</v>
      </c>
      <c r="M283" s="738">
        <v>74.47</v>
      </c>
      <c r="N283" s="115">
        <f t="shared" si="21"/>
        <v>-2.684924150891943E-4</v>
      </c>
      <c r="O283" s="1121">
        <f t="shared" si="20"/>
        <v>-2.8040630397808318E-4</v>
      </c>
      <c r="P283" s="1122"/>
    </row>
    <row r="284" spans="1:16">
      <c r="A284" s="427"/>
      <c r="F284" s="1121">
        <f t="shared" si="19"/>
        <v>-2.2107129538193611E-2</v>
      </c>
      <c r="G284" s="1122"/>
      <c r="H284" s="436">
        <v>40870</v>
      </c>
      <c r="I284" s="738">
        <v>1161.79</v>
      </c>
      <c r="J284" s="440">
        <f t="shared" si="18"/>
        <v>-2.2095215649304722E-2</v>
      </c>
      <c r="L284" s="436">
        <v>40870</v>
      </c>
      <c r="M284" s="738">
        <v>73.95</v>
      </c>
      <c r="N284" s="115">
        <f t="shared" si="21"/>
        <v>-6.9826775882905201E-3</v>
      </c>
      <c r="O284" s="1121">
        <f t="shared" si="20"/>
        <v>-6.9945914771794094E-3</v>
      </c>
      <c r="P284" s="1122"/>
    </row>
    <row r="285" spans="1:16">
      <c r="A285" s="427"/>
      <c r="F285" s="1121">
        <f t="shared" si="19"/>
        <v>-1.1913888888888887E-5</v>
      </c>
      <c r="G285" s="1122"/>
      <c r="H285" s="436">
        <v>40871</v>
      </c>
      <c r="I285" s="738">
        <v>1161.79</v>
      </c>
      <c r="J285" s="440">
        <f t="shared" ref="J285:J348" si="22">I285/I284-1</f>
        <v>0</v>
      </c>
      <c r="L285" s="436">
        <v>40871</v>
      </c>
      <c r="M285" s="738">
        <v>73.95</v>
      </c>
      <c r="N285" s="115">
        <f t="shared" si="21"/>
        <v>0</v>
      </c>
      <c r="O285" s="1121">
        <f t="shared" si="20"/>
        <v>-1.1913888888888887E-5</v>
      </c>
      <c r="P285" s="1122"/>
    </row>
    <row r="286" spans="1:16">
      <c r="A286" s="427"/>
      <c r="F286" s="1121">
        <f t="shared" ref="F286:F349" si="23">J286-$I$19</f>
        <v>-2.6974250397852136E-3</v>
      </c>
      <c r="G286" s="1122"/>
      <c r="H286" s="436">
        <v>40872</v>
      </c>
      <c r="I286" s="738">
        <v>1158.67</v>
      </c>
      <c r="J286" s="440">
        <f t="shared" si="22"/>
        <v>-2.6855111508963248E-3</v>
      </c>
      <c r="L286" s="436">
        <v>40872</v>
      </c>
      <c r="M286" s="738">
        <v>75.39</v>
      </c>
      <c r="N286" s="115">
        <f t="shared" si="21"/>
        <v>1.947261663286004E-2</v>
      </c>
      <c r="O286" s="1121">
        <f t="shared" ref="O286:O349" si="24">N286-$I$19</f>
        <v>1.9460702743971152E-2</v>
      </c>
      <c r="P286" s="1122"/>
    </row>
    <row r="287" spans="1:16">
      <c r="A287" s="427"/>
      <c r="F287" s="1121">
        <f t="shared" si="23"/>
        <v>2.922850831933254E-2</v>
      </c>
      <c r="G287" s="1122"/>
      <c r="H287" s="436">
        <v>40875</v>
      </c>
      <c r="I287" s="738">
        <v>1192.55</v>
      </c>
      <c r="J287" s="440">
        <f t="shared" si="22"/>
        <v>2.9240422208221428E-2</v>
      </c>
      <c r="L287" s="436">
        <v>40875</v>
      </c>
      <c r="M287" s="738">
        <v>78</v>
      </c>
      <c r="N287" s="115">
        <f t="shared" si="21"/>
        <v>3.461997612415435E-2</v>
      </c>
      <c r="O287" s="1121">
        <f t="shared" si="24"/>
        <v>3.4608062235265462E-2</v>
      </c>
      <c r="P287" s="1122"/>
    </row>
    <row r="288" spans="1:16">
      <c r="A288" s="427"/>
      <c r="F288" s="1121">
        <f t="shared" si="23"/>
        <v>2.2018297696580961E-3</v>
      </c>
      <c r="G288" s="1122"/>
      <c r="H288" s="436">
        <v>40876</v>
      </c>
      <c r="I288" s="738">
        <v>1195.19</v>
      </c>
      <c r="J288" s="440">
        <f t="shared" si="22"/>
        <v>2.213743658546985E-3</v>
      </c>
      <c r="L288" s="436">
        <v>40876</v>
      </c>
      <c r="M288" s="738">
        <v>76.510000000000005</v>
      </c>
      <c r="N288" s="115">
        <f t="shared" si="21"/>
        <v>-1.9102564102564057E-2</v>
      </c>
      <c r="O288" s="1121">
        <f t="shared" si="24"/>
        <v>-1.9114477991452945E-2</v>
      </c>
      <c r="P288" s="1122"/>
    </row>
    <row r="289" spans="1:16">
      <c r="A289" s="427"/>
      <c r="F289" s="1121">
        <f t="shared" si="23"/>
        <v>4.3303374893647655E-2</v>
      </c>
      <c r="G289" s="1122"/>
      <c r="H289" s="436">
        <v>40877</v>
      </c>
      <c r="I289" s="738">
        <v>1246.96</v>
      </c>
      <c r="J289" s="440">
        <f t="shared" si="22"/>
        <v>4.3315288782536543E-2</v>
      </c>
      <c r="L289" s="436">
        <v>40877</v>
      </c>
      <c r="M289" s="738">
        <v>78.150000000000006</v>
      </c>
      <c r="N289" s="115">
        <f t="shared" si="21"/>
        <v>2.1435106522023295E-2</v>
      </c>
      <c r="O289" s="1121">
        <f t="shared" si="24"/>
        <v>2.1423192633134407E-2</v>
      </c>
      <c r="P289" s="1122"/>
    </row>
    <row r="290" spans="1:16">
      <c r="A290" s="427"/>
      <c r="F290" s="1121">
        <f t="shared" si="23"/>
        <v>-1.9205557057876484E-3</v>
      </c>
      <c r="G290" s="1122"/>
      <c r="H290" s="436">
        <v>40878</v>
      </c>
      <c r="I290" s="738">
        <v>1244.58</v>
      </c>
      <c r="J290" s="440">
        <f t="shared" si="22"/>
        <v>-1.9086418168987596E-3</v>
      </c>
      <c r="L290" s="436">
        <v>40878</v>
      </c>
      <c r="M290" s="738">
        <v>78.98</v>
      </c>
      <c r="N290" s="115">
        <f t="shared" si="21"/>
        <v>1.0620601407549612E-2</v>
      </c>
      <c r="O290" s="1121">
        <f t="shared" si="24"/>
        <v>1.0608687518660724E-2</v>
      </c>
      <c r="P290" s="1122"/>
    </row>
    <row r="291" spans="1:16">
      <c r="A291" s="427"/>
      <c r="F291" s="1121">
        <f t="shared" si="23"/>
        <v>-2.5295906075407292E-4</v>
      </c>
      <c r="G291" s="1122"/>
      <c r="H291" s="436">
        <v>40879</v>
      </c>
      <c r="I291" s="738">
        <v>1244.28</v>
      </c>
      <c r="J291" s="440">
        <f t="shared" si="22"/>
        <v>-2.4104517186518404E-4</v>
      </c>
      <c r="L291" s="436">
        <v>40879</v>
      </c>
      <c r="M291" s="738">
        <v>77.819999999999993</v>
      </c>
      <c r="N291" s="115">
        <f t="shared" si="21"/>
        <v>-1.4687262598126249E-2</v>
      </c>
      <c r="O291" s="1121">
        <f t="shared" si="24"/>
        <v>-1.4699176487015138E-2</v>
      </c>
      <c r="P291" s="1122"/>
    </row>
    <row r="292" spans="1:16">
      <c r="A292" s="427"/>
      <c r="F292" s="1121">
        <f t="shared" si="23"/>
        <v>1.0275159760129042E-2</v>
      </c>
      <c r="G292" s="1122"/>
      <c r="H292" s="436">
        <v>40882</v>
      </c>
      <c r="I292" s="738">
        <v>1257.08</v>
      </c>
      <c r="J292" s="440">
        <f t="shared" si="22"/>
        <v>1.028707364901793E-2</v>
      </c>
      <c r="L292" s="436">
        <v>40882</v>
      </c>
      <c r="M292" s="738">
        <v>78.11</v>
      </c>
      <c r="N292" s="115">
        <f t="shared" si="21"/>
        <v>3.7265484451298736E-3</v>
      </c>
      <c r="O292" s="1121">
        <f t="shared" si="24"/>
        <v>3.7146345562409848E-3</v>
      </c>
      <c r="P292" s="1122"/>
    </row>
    <row r="293" spans="1:16">
      <c r="A293" s="427"/>
      <c r="F293" s="1121">
        <f t="shared" si="23"/>
        <v>1.0938232161482524E-3</v>
      </c>
      <c r="G293" s="1122"/>
      <c r="H293" s="436">
        <v>40883</v>
      </c>
      <c r="I293" s="738">
        <v>1258.47</v>
      </c>
      <c r="J293" s="440">
        <f t="shared" si="22"/>
        <v>1.1057371050371412E-3</v>
      </c>
      <c r="L293" s="436">
        <v>40883</v>
      </c>
      <c r="M293" s="738">
        <v>77.91</v>
      </c>
      <c r="N293" s="115">
        <f t="shared" si="21"/>
        <v>-2.5604916143899814E-3</v>
      </c>
      <c r="O293" s="1121">
        <f t="shared" si="24"/>
        <v>-2.5724055032788702E-3</v>
      </c>
      <c r="P293" s="1122"/>
    </row>
    <row r="294" spans="1:16">
      <c r="A294" s="427"/>
      <c r="F294" s="1121">
        <f t="shared" si="23"/>
        <v>2.0064099487869728E-3</v>
      </c>
      <c r="G294" s="1122"/>
      <c r="H294" s="436">
        <v>40884</v>
      </c>
      <c r="I294" s="738">
        <v>1261.01</v>
      </c>
      <c r="J294" s="440">
        <f t="shared" si="22"/>
        <v>2.0183238376758617E-3</v>
      </c>
      <c r="L294" s="436">
        <v>40884</v>
      </c>
      <c r="M294" s="738">
        <v>77.569999999999993</v>
      </c>
      <c r="N294" s="115">
        <f t="shared" si="21"/>
        <v>-4.3640097548454104E-3</v>
      </c>
      <c r="O294" s="1121">
        <f t="shared" si="24"/>
        <v>-4.3759236437342997E-3</v>
      </c>
      <c r="P294" s="1122"/>
    </row>
    <row r="295" spans="1:16">
      <c r="A295" s="427"/>
      <c r="F295" s="1121">
        <f t="shared" si="23"/>
        <v>-2.1153697062694106E-2</v>
      </c>
      <c r="G295" s="1122"/>
      <c r="H295" s="436">
        <v>40885</v>
      </c>
      <c r="I295" s="738">
        <v>1234.3499999999999</v>
      </c>
      <c r="J295" s="440">
        <f t="shared" si="22"/>
        <v>-2.1141783173805218E-2</v>
      </c>
      <c r="L295" s="436">
        <v>40885</v>
      </c>
      <c r="M295" s="738">
        <v>76.52</v>
      </c>
      <c r="N295" s="115">
        <f t="shared" si="21"/>
        <v>-1.3536160886940762E-2</v>
      </c>
      <c r="O295" s="1121">
        <f t="shared" si="24"/>
        <v>-1.3548074775829651E-2</v>
      </c>
      <c r="P295" s="1122"/>
    </row>
    <row r="296" spans="1:16">
      <c r="A296" s="427"/>
      <c r="F296" s="1121">
        <f t="shared" si="23"/>
        <v>1.6871466027666419E-2</v>
      </c>
      <c r="G296" s="1122"/>
      <c r="H296" s="436">
        <v>40886</v>
      </c>
      <c r="I296" s="738">
        <v>1255.19</v>
      </c>
      <c r="J296" s="440">
        <f t="shared" si="22"/>
        <v>1.6883379916555308E-2</v>
      </c>
      <c r="L296" s="436">
        <v>40886</v>
      </c>
      <c r="M296" s="738">
        <v>77.42</v>
      </c>
      <c r="N296" s="115">
        <f t="shared" si="21"/>
        <v>1.1761630946157897E-2</v>
      </c>
      <c r="O296" s="1121">
        <f t="shared" si="24"/>
        <v>1.1749717057269009E-2</v>
      </c>
      <c r="P296" s="1122"/>
    </row>
    <row r="297" spans="1:16">
      <c r="A297" s="427"/>
      <c r="F297" s="1121">
        <f t="shared" si="23"/>
        <v>-1.4925990642209126E-2</v>
      </c>
      <c r="G297" s="1122"/>
      <c r="H297" s="436">
        <v>40889</v>
      </c>
      <c r="I297" s="738">
        <v>1236.47</v>
      </c>
      <c r="J297" s="440">
        <f t="shared" si="22"/>
        <v>-1.4914076753320238E-2</v>
      </c>
      <c r="L297" s="436">
        <v>40889</v>
      </c>
      <c r="M297" s="738">
        <v>76.89</v>
      </c>
      <c r="N297" s="115">
        <f t="shared" si="21"/>
        <v>-6.8457762851976689E-3</v>
      </c>
      <c r="O297" s="1121">
        <f t="shared" si="24"/>
        <v>-6.8576901740865582E-3</v>
      </c>
      <c r="P297" s="1122"/>
    </row>
    <row r="298" spans="1:16">
      <c r="A298" s="427"/>
      <c r="F298" s="1121">
        <f t="shared" si="23"/>
        <v>-8.6979313417991991E-3</v>
      </c>
      <c r="G298" s="1122"/>
      <c r="H298" s="436">
        <v>40890</v>
      </c>
      <c r="I298" s="738">
        <v>1225.73</v>
      </c>
      <c r="J298" s="440">
        <f t="shared" si="22"/>
        <v>-8.6860174529103107E-3</v>
      </c>
      <c r="L298" s="436">
        <v>40890</v>
      </c>
      <c r="M298" s="738">
        <v>76.73</v>
      </c>
      <c r="N298" s="115">
        <f t="shared" si="21"/>
        <v>-2.08089478475737E-3</v>
      </c>
      <c r="O298" s="1121">
        <f t="shared" si="24"/>
        <v>-2.0928086736462588E-3</v>
      </c>
      <c r="P298" s="1122"/>
    </row>
    <row r="299" spans="1:16">
      <c r="A299" s="427"/>
      <c r="F299" s="1121">
        <f t="shared" si="23"/>
        <v>-1.1360253245843561E-2</v>
      </c>
      <c r="G299" s="1122"/>
      <c r="H299" s="436">
        <v>40891</v>
      </c>
      <c r="I299" s="738">
        <v>1211.82</v>
      </c>
      <c r="J299" s="440">
        <f t="shared" si="22"/>
        <v>-1.1348339356954673E-2</v>
      </c>
      <c r="L299" s="436">
        <v>40891</v>
      </c>
      <c r="M299" s="738">
        <v>76.290000000000006</v>
      </c>
      <c r="N299" s="115">
        <f t="shared" si="21"/>
        <v>-5.7343933272513414E-3</v>
      </c>
      <c r="O299" s="1121">
        <f t="shared" si="24"/>
        <v>-5.7463072161402307E-3</v>
      </c>
      <c r="P299" s="1122"/>
    </row>
    <row r="300" spans="1:16">
      <c r="A300" s="427"/>
      <c r="F300" s="1121">
        <f t="shared" si="23"/>
        <v>3.231142010502112E-3</v>
      </c>
      <c r="G300" s="1122"/>
      <c r="H300" s="436">
        <v>40892</v>
      </c>
      <c r="I300" s="738">
        <v>1215.75</v>
      </c>
      <c r="J300" s="440">
        <f t="shared" si="22"/>
        <v>3.2430558993910008E-3</v>
      </c>
      <c r="L300" s="436">
        <v>40892</v>
      </c>
      <c r="M300" s="738">
        <v>76.92</v>
      </c>
      <c r="N300" s="115">
        <f t="shared" si="21"/>
        <v>8.2579630357844103E-3</v>
      </c>
      <c r="O300" s="1121">
        <f t="shared" si="24"/>
        <v>8.2460491468955219E-3</v>
      </c>
      <c r="P300" s="1122"/>
    </row>
    <row r="301" spans="1:16">
      <c r="A301" s="427"/>
      <c r="F301" s="1121">
        <f t="shared" si="23"/>
        <v>3.2042078466653005E-3</v>
      </c>
      <c r="G301" s="1122"/>
      <c r="H301" s="436">
        <v>40893</v>
      </c>
      <c r="I301" s="738">
        <v>1219.6600000000001</v>
      </c>
      <c r="J301" s="440">
        <f t="shared" si="22"/>
        <v>3.2161217355541893E-3</v>
      </c>
      <c r="L301" s="436">
        <v>40893</v>
      </c>
      <c r="M301" s="738">
        <v>77.099999999999994</v>
      </c>
      <c r="N301" s="115">
        <f t="shared" si="21"/>
        <v>2.3400936037440978E-3</v>
      </c>
      <c r="O301" s="1121">
        <f t="shared" si="24"/>
        <v>2.328179714855209E-3</v>
      </c>
      <c r="P301" s="1122"/>
    </row>
    <row r="302" spans="1:16">
      <c r="A302" s="427"/>
      <c r="F302" s="1121">
        <f t="shared" si="23"/>
        <v>-1.1744691876196985E-2</v>
      </c>
      <c r="G302" s="1122"/>
      <c r="H302" s="436">
        <v>40896</v>
      </c>
      <c r="I302" s="738">
        <v>1205.3499999999999</v>
      </c>
      <c r="J302" s="440">
        <f t="shared" si="22"/>
        <v>-1.1732777987308096E-2</v>
      </c>
      <c r="L302" s="436">
        <v>40896</v>
      </c>
      <c r="M302" s="738">
        <v>76.819999999999993</v>
      </c>
      <c r="N302" s="115">
        <f t="shared" si="21"/>
        <v>-3.6316472114137355E-3</v>
      </c>
      <c r="O302" s="1121">
        <f t="shared" si="24"/>
        <v>-3.6435611003026243E-3</v>
      </c>
      <c r="P302" s="1122"/>
    </row>
    <row r="303" spans="1:16">
      <c r="A303" s="427"/>
      <c r="F303" s="1121">
        <f t="shared" si="23"/>
        <v>2.9813448039181727E-2</v>
      </c>
      <c r="G303" s="1122"/>
      <c r="H303" s="436">
        <v>40897</v>
      </c>
      <c r="I303" s="738">
        <v>1241.3</v>
      </c>
      <c r="J303" s="440">
        <f t="shared" si="22"/>
        <v>2.9825361928070615E-2</v>
      </c>
      <c r="L303" s="436">
        <v>40897</v>
      </c>
      <c r="M303" s="738">
        <v>78.53</v>
      </c>
      <c r="N303" s="115">
        <f t="shared" si="21"/>
        <v>2.2259828169747475E-2</v>
      </c>
      <c r="O303" s="1121">
        <f t="shared" si="24"/>
        <v>2.2247914280858587E-2</v>
      </c>
      <c r="P303" s="1122"/>
    </row>
    <row r="304" spans="1:16">
      <c r="A304" s="427"/>
      <c r="F304" s="1121">
        <f t="shared" si="23"/>
        <v>1.9376551113529021E-3</v>
      </c>
      <c r="G304" s="1122"/>
      <c r="H304" s="436">
        <v>40898</v>
      </c>
      <c r="I304" s="738">
        <v>1243.72</v>
      </c>
      <c r="J304" s="440">
        <f t="shared" si="22"/>
        <v>1.9495690002417909E-3</v>
      </c>
      <c r="L304" s="436">
        <v>40898</v>
      </c>
      <c r="M304" s="738">
        <v>79.63</v>
      </c>
      <c r="N304" s="115">
        <f t="shared" si="21"/>
        <v>1.4007385712466514E-2</v>
      </c>
      <c r="O304" s="1121">
        <f t="shared" si="24"/>
        <v>1.3995471823577625E-2</v>
      </c>
      <c r="P304" s="1122"/>
    </row>
    <row r="305" spans="1:16">
      <c r="A305" s="427"/>
      <c r="F305" s="1121">
        <f t="shared" si="23"/>
        <v>8.2536121137483029E-3</v>
      </c>
      <c r="G305" s="1122"/>
      <c r="H305" s="436">
        <v>40899</v>
      </c>
      <c r="I305" s="738">
        <v>1254</v>
      </c>
      <c r="J305" s="440">
        <f t="shared" si="22"/>
        <v>8.2655260026371913E-3</v>
      </c>
      <c r="L305" s="436">
        <v>40899</v>
      </c>
      <c r="M305" s="738">
        <v>80.81</v>
      </c>
      <c r="N305" s="115">
        <f t="shared" ref="N305:N368" si="25">M305/M304-1</f>
        <v>1.4818535727740834E-2</v>
      </c>
      <c r="O305" s="1121">
        <f t="shared" si="24"/>
        <v>1.4806621838851945E-2</v>
      </c>
      <c r="P305" s="1122"/>
    </row>
    <row r="306" spans="1:16">
      <c r="A306" s="427"/>
      <c r="F306" s="1121">
        <f t="shared" si="23"/>
        <v>9.0231738304092854E-3</v>
      </c>
      <c r="G306" s="1122"/>
      <c r="H306" s="436">
        <v>40900</v>
      </c>
      <c r="I306" s="738">
        <v>1265.33</v>
      </c>
      <c r="J306" s="440">
        <f t="shared" si="22"/>
        <v>9.0350877192981738E-3</v>
      </c>
      <c r="L306" s="436">
        <v>40900</v>
      </c>
      <c r="M306" s="738">
        <v>81.41</v>
      </c>
      <c r="N306" s="115">
        <f t="shared" si="25"/>
        <v>7.4248236604379514E-3</v>
      </c>
      <c r="O306" s="1121">
        <f t="shared" si="24"/>
        <v>7.4129097715490621E-3</v>
      </c>
      <c r="P306" s="1122"/>
    </row>
    <row r="307" spans="1:16">
      <c r="A307" s="427"/>
      <c r="F307" s="1121">
        <f t="shared" si="23"/>
        <v>-1.1913888888888887E-5</v>
      </c>
      <c r="G307" s="1122"/>
      <c r="H307" s="436">
        <v>40903</v>
      </c>
      <c r="I307" s="738">
        <v>1265.33</v>
      </c>
      <c r="J307" s="440">
        <f t="shared" si="22"/>
        <v>0</v>
      </c>
      <c r="L307" s="436">
        <v>40903</v>
      </c>
      <c r="M307" s="738">
        <v>81.41</v>
      </c>
      <c r="N307" s="115">
        <f t="shared" si="25"/>
        <v>0</v>
      </c>
      <c r="O307" s="1121">
        <f t="shared" si="24"/>
        <v>-1.1913888888888887E-5</v>
      </c>
      <c r="P307" s="1122"/>
    </row>
    <row r="308" spans="1:16">
      <c r="A308" s="427"/>
      <c r="F308" s="1121">
        <f t="shared" si="23"/>
        <v>6.7116877788701344E-5</v>
      </c>
      <c r="G308" s="1122"/>
      <c r="H308" s="436">
        <v>40904</v>
      </c>
      <c r="I308" s="738">
        <v>1265.43</v>
      </c>
      <c r="J308" s="440">
        <f t="shared" si="22"/>
        <v>7.9030766677590236E-5</v>
      </c>
      <c r="L308" s="436">
        <v>40904</v>
      </c>
      <c r="M308" s="738">
        <v>81.319999999999993</v>
      </c>
      <c r="N308" s="115">
        <f t="shared" si="25"/>
        <v>-1.1055152929615453E-3</v>
      </c>
      <c r="O308" s="1121">
        <f t="shared" si="24"/>
        <v>-1.1174291818504341E-3</v>
      </c>
      <c r="P308" s="1122"/>
    </row>
    <row r="309" spans="1:16">
      <c r="A309" s="427"/>
      <c r="F309" s="1121">
        <f t="shared" si="23"/>
        <v>-1.2489885803574026E-2</v>
      </c>
      <c r="G309" s="1122"/>
      <c r="H309" s="436">
        <v>40905</v>
      </c>
      <c r="I309" s="738">
        <v>1249.6400000000001</v>
      </c>
      <c r="J309" s="440">
        <f t="shared" si="22"/>
        <v>-1.2477971914685138E-2</v>
      </c>
      <c r="L309" s="436">
        <v>40905</v>
      </c>
      <c r="M309" s="738">
        <v>80.94</v>
      </c>
      <c r="N309" s="115">
        <f t="shared" si="25"/>
        <v>-4.6728971962616273E-3</v>
      </c>
      <c r="O309" s="1121">
        <f t="shared" si="24"/>
        <v>-4.6848110851505165E-3</v>
      </c>
      <c r="P309" s="1122"/>
    </row>
    <row r="310" spans="1:16">
      <c r="A310" s="427"/>
      <c r="F310" s="1121">
        <f t="shared" si="23"/>
        <v>1.0695169751199322E-2</v>
      </c>
      <c r="G310" s="1122"/>
      <c r="H310" s="436">
        <v>40906</v>
      </c>
      <c r="I310" s="738">
        <v>1263.02</v>
      </c>
      <c r="J310" s="440">
        <f t="shared" si="22"/>
        <v>1.0707083640088211E-2</v>
      </c>
      <c r="L310" s="436">
        <v>40906</v>
      </c>
      <c r="M310" s="738">
        <v>81.52</v>
      </c>
      <c r="N310" s="115">
        <f t="shared" si="25"/>
        <v>7.165801828515006E-3</v>
      </c>
      <c r="O310" s="1121">
        <f t="shared" si="24"/>
        <v>7.1538879396261168E-3</v>
      </c>
      <c r="P310" s="1122"/>
    </row>
    <row r="311" spans="1:16">
      <c r="A311" s="427"/>
      <c r="F311" s="1121">
        <f t="shared" si="23"/>
        <v>-4.3032156893354568E-3</v>
      </c>
      <c r="G311" s="1122"/>
      <c r="H311" s="436">
        <v>40907</v>
      </c>
      <c r="I311" s="738">
        <v>1257.5999999999999</v>
      </c>
      <c r="J311" s="440">
        <f t="shared" si="22"/>
        <v>-4.2913018004465675E-3</v>
      </c>
      <c r="L311" s="436">
        <v>40907</v>
      </c>
      <c r="M311" s="738">
        <v>80.900000000000006</v>
      </c>
      <c r="N311" s="115">
        <f t="shared" si="25"/>
        <v>-7.6054955839056637E-3</v>
      </c>
      <c r="O311" s="1121">
        <f t="shared" si="24"/>
        <v>-7.617409472794553E-3</v>
      </c>
      <c r="P311" s="1122"/>
    </row>
    <row r="312" spans="1:16">
      <c r="A312" s="427"/>
      <c r="F312" s="1121">
        <f t="shared" si="23"/>
        <v>-1.1913888888888887E-5</v>
      </c>
      <c r="G312" s="1122"/>
      <c r="H312" s="436">
        <v>40910</v>
      </c>
      <c r="I312" s="738">
        <v>1257.5999999999999</v>
      </c>
      <c r="J312" s="440">
        <f t="shared" si="22"/>
        <v>0</v>
      </c>
      <c r="L312" s="436">
        <v>40910</v>
      </c>
      <c r="M312" s="738">
        <v>80.900000000000006</v>
      </c>
      <c r="N312" s="115">
        <f t="shared" si="25"/>
        <v>0</v>
      </c>
      <c r="O312" s="1121">
        <f t="shared" si="24"/>
        <v>-1.1913888888888887E-5</v>
      </c>
      <c r="P312" s="1122"/>
    </row>
    <row r="313" spans="1:16">
      <c r="A313" s="427"/>
      <c r="F313" s="1121">
        <f t="shared" si="23"/>
        <v>1.546200468617475E-2</v>
      </c>
      <c r="G313" s="1122"/>
      <c r="H313" s="436">
        <v>40911</v>
      </c>
      <c r="I313" s="738">
        <v>1277.06</v>
      </c>
      <c r="J313" s="440">
        <f t="shared" si="22"/>
        <v>1.5473918575063639E-2</v>
      </c>
      <c r="L313" s="436">
        <v>40911</v>
      </c>
      <c r="M313" s="738">
        <v>82.02</v>
      </c>
      <c r="N313" s="115">
        <f t="shared" si="25"/>
        <v>1.3844252163164317E-2</v>
      </c>
      <c r="O313" s="1121">
        <f t="shared" si="24"/>
        <v>1.3832338274275428E-2</v>
      </c>
      <c r="P313" s="1122"/>
    </row>
    <row r="314" spans="1:16">
      <c r="A314" s="427"/>
      <c r="F314" s="1121">
        <f t="shared" si="23"/>
        <v>1.7601776663244507E-4</v>
      </c>
      <c r="G314" s="1122"/>
      <c r="H314" s="436">
        <v>40912</v>
      </c>
      <c r="I314" s="738">
        <v>1277.3</v>
      </c>
      <c r="J314" s="440">
        <f t="shared" si="22"/>
        <v>1.8793165552133395E-4</v>
      </c>
      <c r="L314" s="436">
        <v>40912</v>
      </c>
      <c r="M314" s="738">
        <v>80.91</v>
      </c>
      <c r="N314" s="115">
        <f t="shared" si="25"/>
        <v>-1.3533284564740344E-2</v>
      </c>
      <c r="O314" s="1121">
        <f t="shared" si="24"/>
        <v>-1.3545198453629233E-2</v>
      </c>
      <c r="P314" s="1122"/>
    </row>
    <row r="315" spans="1:16">
      <c r="A315" s="427"/>
      <c r="F315" s="1121">
        <f t="shared" si="23"/>
        <v>2.9317954980992915E-3</v>
      </c>
      <c r="G315" s="1122"/>
      <c r="H315" s="436">
        <v>40913</v>
      </c>
      <c r="I315" s="738">
        <v>1281.06</v>
      </c>
      <c r="J315" s="440">
        <f t="shared" si="22"/>
        <v>2.9437093869881803E-3</v>
      </c>
      <c r="L315" s="436">
        <v>40913</v>
      </c>
      <c r="M315" s="738">
        <v>80.069999999999993</v>
      </c>
      <c r="N315" s="115">
        <f t="shared" si="25"/>
        <v>-1.0381905821282955E-2</v>
      </c>
      <c r="O315" s="1121">
        <f t="shared" si="24"/>
        <v>-1.0393819710171844E-2</v>
      </c>
      <c r="P315" s="1122"/>
    </row>
    <row r="316" spans="1:16">
      <c r="A316" s="427"/>
      <c r="F316" s="1121">
        <f t="shared" si="23"/>
        <v>-2.5488754675815424E-3</v>
      </c>
      <c r="G316" s="1122"/>
      <c r="H316" s="436">
        <v>40914</v>
      </c>
      <c r="I316" s="738">
        <v>1277.81</v>
      </c>
      <c r="J316" s="440">
        <f t="shared" si="22"/>
        <v>-2.5369615786926536E-3</v>
      </c>
      <c r="L316" s="436">
        <v>40914</v>
      </c>
      <c r="M316" s="738">
        <v>79.98</v>
      </c>
      <c r="N316" s="115">
        <f t="shared" si="25"/>
        <v>-1.1240164855750301E-3</v>
      </c>
      <c r="O316" s="1121">
        <f t="shared" si="24"/>
        <v>-1.1359303744639189E-3</v>
      </c>
      <c r="P316" s="1122"/>
    </row>
    <row r="317" spans="1:16">
      <c r="A317" s="427"/>
      <c r="F317" s="1121">
        <f t="shared" si="23"/>
        <v>2.2497682078236251E-3</v>
      </c>
      <c r="G317" s="1122"/>
      <c r="H317" s="436">
        <v>40917</v>
      </c>
      <c r="I317" s="738">
        <v>1280.7</v>
      </c>
      <c r="J317" s="440">
        <f t="shared" si="22"/>
        <v>2.261682096712514E-3</v>
      </c>
      <c r="L317" s="436">
        <v>40917</v>
      </c>
      <c r="M317" s="738">
        <v>80.040000000000006</v>
      </c>
      <c r="N317" s="115">
        <f t="shared" si="25"/>
        <v>7.5018754688671585E-4</v>
      </c>
      <c r="O317" s="1121">
        <f t="shared" si="24"/>
        <v>7.3827365799782692E-4</v>
      </c>
      <c r="P317" s="1122"/>
    </row>
    <row r="318" spans="1:16">
      <c r="A318" s="427"/>
      <c r="F318" s="1121">
        <f t="shared" si="23"/>
        <v>8.8738517080500998E-3</v>
      </c>
      <c r="G318" s="1122"/>
      <c r="H318" s="436">
        <v>40918</v>
      </c>
      <c r="I318" s="738">
        <v>1292.08</v>
      </c>
      <c r="J318" s="440">
        <f t="shared" si="22"/>
        <v>8.8857655969389882E-3</v>
      </c>
      <c r="L318" s="436">
        <v>40918</v>
      </c>
      <c r="M318" s="738">
        <v>80.62</v>
      </c>
      <c r="N318" s="115">
        <f t="shared" si="25"/>
        <v>7.2463768115942351E-3</v>
      </c>
      <c r="O318" s="1121">
        <f t="shared" si="24"/>
        <v>7.2344629227053458E-3</v>
      </c>
      <c r="P318" s="1122"/>
    </row>
    <row r="319" spans="1:16">
      <c r="A319" s="427"/>
      <c r="F319" s="1121">
        <f t="shared" si="23"/>
        <v>2.9766446539258119E-4</v>
      </c>
      <c r="G319" s="1122"/>
      <c r="H319" s="436">
        <v>40919</v>
      </c>
      <c r="I319" s="738">
        <v>1292.48</v>
      </c>
      <c r="J319" s="440">
        <f t="shared" si="22"/>
        <v>3.0957835428147007E-4</v>
      </c>
      <c r="L319" s="436">
        <v>40919</v>
      </c>
      <c r="M319" s="738">
        <v>80.78</v>
      </c>
      <c r="N319" s="115">
        <f t="shared" si="25"/>
        <v>1.9846192011907515E-3</v>
      </c>
      <c r="O319" s="1121">
        <f t="shared" si="24"/>
        <v>1.9727053123018627E-3</v>
      </c>
      <c r="P319" s="1122"/>
    </row>
    <row r="320" spans="1:16">
      <c r="A320" s="427"/>
      <c r="F320" s="1121">
        <f t="shared" si="23"/>
        <v>2.3246793272536574E-3</v>
      </c>
      <c r="G320" s="1122"/>
      <c r="H320" s="436">
        <v>40920</v>
      </c>
      <c r="I320" s="738">
        <v>1295.5</v>
      </c>
      <c r="J320" s="440">
        <f t="shared" si="22"/>
        <v>2.3365932161425462E-3</v>
      </c>
      <c r="L320" s="436">
        <v>40920</v>
      </c>
      <c r="M320" s="738">
        <v>81.69</v>
      </c>
      <c r="N320" s="115">
        <f t="shared" si="25"/>
        <v>1.1265164644713943E-2</v>
      </c>
      <c r="O320" s="1121">
        <f t="shared" si="24"/>
        <v>1.1253250755825055E-2</v>
      </c>
      <c r="P320" s="1122"/>
    </row>
    <row r="321" spans="1:16">
      <c r="A321" s="427"/>
      <c r="F321" s="1121">
        <f t="shared" si="23"/>
        <v>-4.9598104539218058E-3</v>
      </c>
      <c r="G321" s="1122"/>
      <c r="H321" s="436">
        <v>40921</v>
      </c>
      <c r="I321" s="738">
        <v>1289.0899999999999</v>
      </c>
      <c r="J321" s="440">
        <f t="shared" si="22"/>
        <v>-4.9478965650329165E-3</v>
      </c>
      <c r="L321" s="436">
        <v>40921</v>
      </c>
      <c r="M321" s="738">
        <v>81.52</v>
      </c>
      <c r="N321" s="115">
        <f t="shared" si="25"/>
        <v>-2.0810380707553255E-3</v>
      </c>
      <c r="O321" s="1121">
        <f t="shared" si="24"/>
        <v>-2.0929519596442144E-3</v>
      </c>
      <c r="P321" s="1122"/>
    </row>
    <row r="322" spans="1:16">
      <c r="A322" s="427"/>
      <c r="F322" s="1121">
        <f t="shared" si="23"/>
        <v>-1.1913888888888887E-5</v>
      </c>
      <c r="G322" s="1122"/>
      <c r="H322" s="436">
        <v>40924</v>
      </c>
      <c r="I322" s="738">
        <v>1289.0899999999999</v>
      </c>
      <c r="J322" s="440">
        <f t="shared" si="22"/>
        <v>0</v>
      </c>
      <c r="L322" s="436">
        <v>40924</v>
      </c>
      <c r="M322" s="738">
        <v>81.52</v>
      </c>
      <c r="N322" s="115">
        <f t="shared" si="25"/>
        <v>0</v>
      </c>
      <c r="O322" s="1121">
        <f t="shared" si="24"/>
        <v>-1.1913888888888887E-5</v>
      </c>
      <c r="P322" s="1122"/>
    </row>
    <row r="323" spans="1:16">
      <c r="A323" s="427"/>
      <c r="F323" s="1121">
        <f t="shared" si="23"/>
        <v>3.5409800130109452E-3</v>
      </c>
      <c r="G323" s="1122"/>
      <c r="H323" s="436">
        <v>40925</v>
      </c>
      <c r="I323" s="738">
        <v>1293.67</v>
      </c>
      <c r="J323" s="440">
        <f t="shared" si="22"/>
        <v>3.552893901899834E-3</v>
      </c>
      <c r="L323" s="436">
        <v>40925</v>
      </c>
      <c r="M323" s="738">
        <v>81.64</v>
      </c>
      <c r="N323" s="115">
        <f t="shared" si="25"/>
        <v>1.4720314033367377E-3</v>
      </c>
      <c r="O323" s="1121">
        <f t="shared" si="24"/>
        <v>1.4601175144478488E-3</v>
      </c>
      <c r="P323" s="1122"/>
    </row>
    <row r="324" spans="1:16">
      <c r="A324" s="427"/>
      <c r="F324" s="1121">
        <f t="shared" si="23"/>
        <v>1.1096019355292357E-2</v>
      </c>
      <c r="G324" s="1122"/>
      <c r="H324" s="436">
        <v>40926</v>
      </c>
      <c r="I324" s="738">
        <v>1308.04</v>
      </c>
      <c r="J324" s="440">
        <f t="shared" si="22"/>
        <v>1.1107933244181245E-2</v>
      </c>
      <c r="L324" s="436">
        <v>40926</v>
      </c>
      <c r="M324" s="738">
        <v>82.28</v>
      </c>
      <c r="N324" s="115">
        <f t="shared" si="25"/>
        <v>7.839294463498403E-3</v>
      </c>
      <c r="O324" s="1121">
        <f t="shared" si="24"/>
        <v>7.8273805746095146E-3</v>
      </c>
      <c r="P324" s="1122"/>
    </row>
    <row r="325" spans="1:16">
      <c r="A325" s="427"/>
      <c r="F325" s="1121">
        <f t="shared" si="23"/>
        <v>4.9267730014202959E-3</v>
      </c>
      <c r="G325" s="1122"/>
      <c r="H325" s="436">
        <v>40927</v>
      </c>
      <c r="I325" s="738">
        <v>1314.5</v>
      </c>
      <c r="J325" s="440">
        <f t="shared" si="22"/>
        <v>4.9386868903091852E-3</v>
      </c>
      <c r="L325" s="436">
        <v>40927</v>
      </c>
      <c r="M325" s="738">
        <v>83.71</v>
      </c>
      <c r="N325" s="115">
        <f t="shared" si="25"/>
        <v>1.7379679144384985E-2</v>
      </c>
      <c r="O325" s="1121">
        <f t="shared" si="24"/>
        <v>1.7367765255496097E-2</v>
      </c>
      <c r="P325" s="1122"/>
    </row>
    <row r="326" spans="1:16">
      <c r="A326" s="427"/>
      <c r="F326" s="1121">
        <f t="shared" si="23"/>
        <v>6.5754217805690603E-4</v>
      </c>
      <c r="G326" s="1122"/>
      <c r="H326" s="436">
        <v>40928</v>
      </c>
      <c r="I326" s="738">
        <v>1315.38</v>
      </c>
      <c r="J326" s="440">
        <f t="shared" si="22"/>
        <v>6.6945606694579496E-4</v>
      </c>
      <c r="L326" s="436">
        <v>40928</v>
      </c>
      <c r="M326" s="738">
        <v>82.78</v>
      </c>
      <c r="N326" s="115">
        <f t="shared" si="25"/>
        <v>-1.110978377732641E-2</v>
      </c>
      <c r="O326" s="1121">
        <f t="shared" si="24"/>
        <v>-1.1121697666215298E-2</v>
      </c>
      <c r="P326" s="1122"/>
    </row>
    <row r="327" spans="1:16">
      <c r="A327" s="427"/>
      <c r="F327" s="1121">
        <f t="shared" si="23"/>
        <v>4.5943279419879225E-4</v>
      </c>
      <c r="G327" s="1122"/>
      <c r="H327" s="436">
        <v>40931</v>
      </c>
      <c r="I327" s="738">
        <v>1316</v>
      </c>
      <c r="J327" s="440">
        <f t="shared" si="22"/>
        <v>4.7134668308768113E-4</v>
      </c>
      <c r="L327" s="436">
        <v>40931</v>
      </c>
      <c r="M327" s="738">
        <v>82.54</v>
      </c>
      <c r="N327" s="115">
        <f t="shared" si="25"/>
        <v>-2.8992510268179839E-3</v>
      </c>
      <c r="O327" s="1121">
        <f t="shared" si="24"/>
        <v>-2.9111649157068727E-3</v>
      </c>
      <c r="P327" s="1122"/>
    </row>
    <row r="328" spans="1:16">
      <c r="A328" s="427"/>
      <c r="F328" s="1121">
        <f t="shared" si="23"/>
        <v>-1.0377497551502597E-3</v>
      </c>
      <c r="G328" s="1122"/>
      <c r="H328" s="436">
        <v>40932</v>
      </c>
      <c r="I328" s="738">
        <v>1314.65</v>
      </c>
      <c r="J328" s="440">
        <f t="shared" si="22"/>
        <v>-1.0258358662613709E-3</v>
      </c>
      <c r="L328" s="436">
        <v>40932</v>
      </c>
      <c r="M328" s="738">
        <v>82.24</v>
      </c>
      <c r="N328" s="115">
        <f t="shared" si="25"/>
        <v>-3.6346014053793008E-3</v>
      </c>
      <c r="O328" s="1121">
        <f t="shared" si="24"/>
        <v>-3.6465152942681896E-3</v>
      </c>
      <c r="P328" s="1122"/>
    </row>
    <row r="329" spans="1:16">
      <c r="A329" s="427"/>
      <c r="F329" s="1121">
        <f t="shared" si="23"/>
        <v>8.6595956383615988E-3</v>
      </c>
      <c r="G329" s="1122"/>
      <c r="H329" s="436">
        <v>40933</v>
      </c>
      <c r="I329" s="738">
        <v>1326.05</v>
      </c>
      <c r="J329" s="440">
        <f t="shared" si="22"/>
        <v>8.6715095272504872E-3</v>
      </c>
      <c r="L329" s="436">
        <v>40933</v>
      </c>
      <c r="M329" s="738">
        <v>81.73</v>
      </c>
      <c r="N329" s="115">
        <f t="shared" si="25"/>
        <v>-6.2013618677041471E-3</v>
      </c>
      <c r="O329" s="1121">
        <f t="shared" si="24"/>
        <v>-6.2132757565930364E-3</v>
      </c>
      <c r="P329" s="1122"/>
    </row>
    <row r="330" spans="1:16">
      <c r="A330" s="427"/>
      <c r="F330" s="1121">
        <f t="shared" si="23"/>
        <v>-5.7583035423709539E-3</v>
      </c>
      <c r="G330" s="1122"/>
      <c r="H330" s="436">
        <v>40934</v>
      </c>
      <c r="I330" s="738">
        <v>1318.43</v>
      </c>
      <c r="J330" s="440">
        <f t="shared" si="22"/>
        <v>-5.7463896534820647E-3</v>
      </c>
      <c r="L330" s="436">
        <v>40934</v>
      </c>
      <c r="M330" s="738">
        <v>82.47</v>
      </c>
      <c r="N330" s="115">
        <f t="shared" si="25"/>
        <v>9.0542028630857807E-3</v>
      </c>
      <c r="O330" s="1121">
        <f t="shared" si="24"/>
        <v>9.0422889741968923E-3</v>
      </c>
      <c r="P330" s="1122"/>
    </row>
    <row r="331" spans="1:16">
      <c r="A331" s="427"/>
      <c r="F331" s="1121">
        <f t="shared" si="23"/>
        <v>-1.6047174507011282E-3</v>
      </c>
      <c r="G331" s="1122"/>
      <c r="H331" s="436">
        <v>40935</v>
      </c>
      <c r="I331" s="738">
        <v>1316.33</v>
      </c>
      <c r="J331" s="440">
        <f t="shared" si="22"/>
        <v>-1.5928035618122394E-3</v>
      </c>
      <c r="L331" s="436">
        <v>40935</v>
      </c>
      <c r="M331" s="738">
        <v>82.02</v>
      </c>
      <c r="N331" s="115">
        <f t="shared" si="25"/>
        <v>-5.4565296471444924E-3</v>
      </c>
      <c r="O331" s="1121">
        <f t="shared" si="24"/>
        <v>-5.4684435360333817E-3</v>
      </c>
      <c r="P331" s="1122"/>
    </row>
    <row r="332" spans="1:16">
      <c r="A332" s="427"/>
      <c r="F332" s="1121">
        <f t="shared" si="23"/>
        <v>-2.5340777839607605E-3</v>
      </c>
      <c r="G332" s="1122"/>
      <c r="H332" s="436">
        <v>40938</v>
      </c>
      <c r="I332" s="738">
        <v>1313.01</v>
      </c>
      <c r="J332" s="440">
        <f t="shared" si="22"/>
        <v>-2.5221638950718717E-3</v>
      </c>
      <c r="L332" s="436">
        <v>40938</v>
      </c>
      <c r="M332" s="738">
        <v>82.01</v>
      </c>
      <c r="N332" s="115">
        <f t="shared" si="25"/>
        <v>-1.219214825650683E-4</v>
      </c>
      <c r="O332" s="1121">
        <f t="shared" si="24"/>
        <v>-1.3383537145395717E-4</v>
      </c>
      <c r="P332" s="1122"/>
    </row>
    <row r="333" spans="1:16">
      <c r="A333" s="427"/>
      <c r="F333" s="1121">
        <f t="shared" si="23"/>
        <v>-4.688791823748225E-4</v>
      </c>
      <c r="G333" s="1122"/>
      <c r="H333" s="436">
        <v>40939</v>
      </c>
      <c r="I333" s="738">
        <v>1312.41</v>
      </c>
      <c r="J333" s="440">
        <f t="shared" si="22"/>
        <v>-4.5696529348593362E-4</v>
      </c>
      <c r="L333" s="436">
        <v>40939</v>
      </c>
      <c r="M333" s="738">
        <v>82.32</v>
      </c>
      <c r="N333" s="115">
        <f t="shared" si="25"/>
        <v>3.7800268259966519E-3</v>
      </c>
      <c r="O333" s="1121">
        <f t="shared" si="24"/>
        <v>3.768112937107763E-3</v>
      </c>
      <c r="P333" s="1122"/>
    </row>
    <row r="334" spans="1:16">
      <c r="A334" s="427"/>
      <c r="F334" s="1121">
        <f t="shared" si="23"/>
        <v>8.8877439924134258E-3</v>
      </c>
      <c r="G334" s="1122"/>
      <c r="H334" s="436">
        <v>40940</v>
      </c>
      <c r="I334" s="738">
        <v>1324.09</v>
      </c>
      <c r="J334" s="440">
        <f t="shared" si="22"/>
        <v>8.8996578813023142E-3</v>
      </c>
      <c r="L334" s="436">
        <v>40940</v>
      </c>
      <c r="M334" s="738">
        <v>83.52</v>
      </c>
      <c r="N334" s="115">
        <f t="shared" si="25"/>
        <v>1.4577259475218707E-2</v>
      </c>
      <c r="O334" s="1121">
        <f t="shared" si="24"/>
        <v>1.4565345586329818E-2</v>
      </c>
      <c r="P334" s="1122"/>
    </row>
    <row r="335" spans="1:16">
      <c r="A335" s="427"/>
      <c r="F335" s="1121">
        <f t="shared" si="23"/>
        <v>1.0831778344834102E-3</v>
      </c>
      <c r="G335" s="1122"/>
      <c r="H335" s="436">
        <v>40941</v>
      </c>
      <c r="I335" s="738">
        <v>1325.54</v>
      </c>
      <c r="J335" s="440">
        <f t="shared" si="22"/>
        <v>1.095091723372299E-3</v>
      </c>
      <c r="L335" s="436">
        <v>40941</v>
      </c>
      <c r="M335" s="738">
        <v>83.17</v>
      </c>
      <c r="N335" s="115">
        <f t="shared" si="25"/>
        <v>-4.1906130268198893E-3</v>
      </c>
      <c r="O335" s="1121">
        <f t="shared" si="24"/>
        <v>-4.2025269157087786E-3</v>
      </c>
      <c r="P335" s="1122"/>
    </row>
    <row r="336" spans="1:16">
      <c r="A336" s="427"/>
      <c r="F336" s="1121">
        <f t="shared" si="23"/>
        <v>1.4593454489281725E-2</v>
      </c>
      <c r="G336" s="1122"/>
      <c r="H336" s="436">
        <v>40942</v>
      </c>
      <c r="I336" s="738">
        <v>1344.9</v>
      </c>
      <c r="J336" s="440">
        <f t="shared" si="22"/>
        <v>1.4605368378170613E-2</v>
      </c>
      <c r="L336" s="436">
        <v>40942</v>
      </c>
      <c r="M336" s="738">
        <v>84.59</v>
      </c>
      <c r="N336" s="115">
        <f t="shared" si="25"/>
        <v>1.7073463989419224E-2</v>
      </c>
      <c r="O336" s="1121">
        <f t="shared" si="24"/>
        <v>1.7061550100530336E-2</v>
      </c>
      <c r="P336" s="1122"/>
    </row>
    <row r="337" spans="1:16">
      <c r="A337" s="427"/>
      <c r="F337" s="1121">
        <f t="shared" si="23"/>
        <v>-4.357372214788343E-4</v>
      </c>
      <c r="G337" s="1122"/>
      <c r="H337" s="436">
        <v>40945</v>
      </c>
      <c r="I337" s="738">
        <v>1344.33</v>
      </c>
      <c r="J337" s="440">
        <f t="shared" si="22"/>
        <v>-4.2382333258994542E-4</v>
      </c>
      <c r="L337" s="436">
        <v>40945</v>
      </c>
      <c r="M337" s="738">
        <v>85.25</v>
      </c>
      <c r="N337" s="115">
        <f t="shared" si="25"/>
        <v>7.8023407022105307E-3</v>
      </c>
      <c r="O337" s="1121">
        <f t="shared" si="24"/>
        <v>7.7904268133216414E-3</v>
      </c>
      <c r="P337" s="1122"/>
    </row>
    <row r="338" spans="1:16">
      <c r="A338" s="427"/>
      <c r="F338" s="1121">
        <f t="shared" si="23"/>
        <v>2.0113988393847186E-3</v>
      </c>
      <c r="G338" s="1122"/>
      <c r="H338" s="436">
        <v>40946</v>
      </c>
      <c r="I338" s="738">
        <v>1347.05</v>
      </c>
      <c r="J338" s="440">
        <f t="shared" si="22"/>
        <v>2.0233127282736074E-3</v>
      </c>
      <c r="L338" s="436">
        <v>40946</v>
      </c>
      <c r="M338" s="738">
        <v>86.63</v>
      </c>
      <c r="N338" s="115">
        <f t="shared" si="25"/>
        <v>1.618768328445741E-2</v>
      </c>
      <c r="O338" s="1121">
        <f t="shared" si="24"/>
        <v>1.6175769395568522E-2</v>
      </c>
      <c r="P338" s="1122"/>
    </row>
    <row r="339" spans="1:16">
      <c r="A339" s="427"/>
      <c r="F339" s="1121">
        <f t="shared" si="23"/>
        <v>2.1483622701253739E-3</v>
      </c>
      <c r="G339" s="1122"/>
      <c r="H339" s="436">
        <v>40947</v>
      </c>
      <c r="I339" s="738">
        <v>1349.96</v>
      </c>
      <c r="J339" s="440">
        <f t="shared" si="22"/>
        <v>2.1602761590142627E-3</v>
      </c>
      <c r="L339" s="436">
        <v>40947</v>
      </c>
      <c r="M339" s="738">
        <v>87.64</v>
      </c>
      <c r="N339" s="115">
        <f t="shared" si="25"/>
        <v>1.1658778714071394E-2</v>
      </c>
      <c r="O339" s="1121">
        <f t="shared" si="24"/>
        <v>1.1646864825182505E-2</v>
      </c>
      <c r="P339" s="1122"/>
    </row>
    <row r="340" spans="1:16">
      <c r="A340" s="427"/>
      <c r="F340" s="1121">
        <f t="shared" si="23"/>
        <v>1.4622038627481941E-3</v>
      </c>
      <c r="G340" s="1122"/>
      <c r="H340" s="436">
        <v>40948</v>
      </c>
      <c r="I340" s="738">
        <v>1351.95</v>
      </c>
      <c r="J340" s="440">
        <f t="shared" si="22"/>
        <v>1.4741177516370829E-3</v>
      </c>
      <c r="L340" s="436">
        <v>40948</v>
      </c>
      <c r="M340" s="738">
        <v>88.01</v>
      </c>
      <c r="N340" s="115">
        <f t="shared" si="25"/>
        <v>4.221816522136157E-3</v>
      </c>
      <c r="O340" s="1121">
        <f t="shared" si="24"/>
        <v>4.2099026332472677E-3</v>
      </c>
      <c r="P340" s="1122"/>
    </row>
    <row r="341" spans="1:16">
      <c r="A341" s="427"/>
      <c r="F341" s="1121">
        <f t="shared" si="23"/>
        <v>-6.8982632361279739E-3</v>
      </c>
      <c r="G341" s="1122"/>
      <c r="H341" s="436">
        <v>40949</v>
      </c>
      <c r="I341" s="738">
        <v>1342.64</v>
      </c>
      <c r="J341" s="440">
        <f t="shared" si="22"/>
        <v>-6.8863493472390847E-3</v>
      </c>
      <c r="L341" s="436">
        <v>40949</v>
      </c>
      <c r="M341" s="738">
        <v>87.51</v>
      </c>
      <c r="N341" s="115">
        <f t="shared" si="25"/>
        <v>-5.6811725940234536E-3</v>
      </c>
      <c r="O341" s="1121">
        <f t="shared" si="24"/>
        <v>-5.6930864829123429E-3</v>
      </c>
      <c r="P341" s="1122"/>
    </row>
    <row r="342" spans="1:16">
      <c r="A342" s="427"/>
      <c r="F342" s="1121">
        <f t="shared" si="23"/>
        <v>6.7881218615727301E-3</v>
      </c>
      <c r="G342" s="1122"/>
      <c r="H342" s="436">
        <v>40952</v>
      </c>
      <c r="I342" s="738">
        <v>1351.77</v>
      </c>
      <c r="J342" s="440">
        <f t="shared" si="22"/>
        <v>6.8000357504616193E-3</v>
      </c>
      <c r="L342" s="436">
        <v>40952</v>
      </c>
      <c r="M342" s="738">
        <v>88.23</v>
      </c>
      <c r="N342" s="115">
        <f t="shared" si="25"/>
        <v>8.2276311278710601E-3</v>
      </c>
      <c r="O342" s="1121">
        <f t="shared" si="24"/>
        <v>8.2157172389821717E-3</v>
      </c>
      <c r="P342" s="1122"/>
    </row>
    <row r="343" spans="1:16">
      <c r="A343" s="427"/>
      <c r="F343" s="1121">
        <f t="shared" si="23"/>
        <v>-9.5142282901917368E-4</v>
      </c>
      <c r="G343" s="1122"/>
      <c r="H343" s="436">
        <v>40953</v>
      </c>
      <c r="I343" s="738">
        <v>1350.5</v>
      </c>
      <c r="J343" s="440">
        <f t="shared" si="22"/>
        <v>-9.3950894013028474E-4</v>
      </c>
      <c r="L343" s="436">
        <v>40953</v>
      </c>
      <c r="M343" s="738">
        <v>88.45</v>
      </c>
      <c r="N343" s="115">
        <f t="shared" si="25"/>
        <v>2.4934829423097771E-3</v>
      </c>
      <c r="O343" s="1121">
        <f t="shared" si="24"/>
        <v>2.4815690534208882E-3</v>
      </c>
      <c r="P343" s="1122"/>
    </row>
    <row r="344" spans="1:16">
      <c r="A344" s="427"/>
      <c r="F344" s="1121">
        <f t="shared" si="23"/>
        <v>-5.3951052994775173E-3</v>
      </c>
      <c r="G344" s="1122"/>
      <c r="H344" s="436">
        <v>40954</v>
      </c>
      <c r="I344" s="738">
        <v>1343.23</v>
      </c>
      <c r="J344" s="440">
        <f t="shared" si="22"/>
        <v>-5.383191410588628E-3</v>
      </c>
      <c r="L344" s="436">
        <v>40954</v>
      </c>
      <c r="M344" s="738">
        <v>86.93</v>
      </c>
      <c r="N344" s="115">
        <f t="shared" si="25"/>
        <v>-1.7184850197851875E-2</v>
      </c>
      <c r="O344" s="1121">
        <f t="shared" si="24"/>
        <v>-1.7196764086740764E-2</v>
      </c>
      <c r="P344" s="1122"/>
    </row>
    <row r="345" spans="1:16">
      <c r="A345" s="427"/>
      <c r="F345" s="1121">
        <f t="shared" si="23"/>
        <v>1.1013748134740646E-2</v>
      </c>
      <c r="G345" s="1122"/>
      <c r="H345" s="436">
        <v>40955</v>
      </c>
      <c r="I345" s="738">
        <v>1358.04</v>
      </c>
      <c r="J345" s="440">
        <f t="shared" si="22"/>
        <v>1.1025662023629534E-2</v>
      </c>
      <c r="L345" s="436">
        <v>40955</v>
      </c>
      <c r="M345" s="738">
        <v>86.4</v>
      </c>
      <c r="N345" s="115">
        <f t="shared" si="25"/>
        <v>-6.0968595421603267E-3</v>
      </c>
      <c r="O345" s="1121">
        <f t="shared" si="24"/>
        <v>-6.1087734310492159E-3</v>
      </c>
      <c r="P345" s="1122"/>
    </row>
    <row r="346" spans="1:16">
      <c r="A346" s="427"/>
      <c r="F346" s="1121">
        <f t="shared" si="23"/>
        <v>2.3370596317732121E-3</v>
      </c>
      <c r="G346" s="1122"/>
      <c r="H346" s="436">
        <v>40956</v>
      </c>
      <c r="I346" s="738">
        <v>1361.23</v>
      </c>
      <c r="J346" s="440">
        <f t="shared" si="22"/>
        <v>2.348973520662101E-3</v>
      </c>
      <c r="L346" s="436">
        <v>40956</v>
      </c>
      <c r="M346" s="738">
        <v>87.99</v>
      </c>
      <c r="N346" s="115">
        <f t="shared" si="25"/>
        <v>1.8402777777777546E-2</v>
      </c>
      <c r="O346" s="1121">
        <f t="shared" si="24"/>
        <v>1.8390863888888657E-2</v>
      </c>
      <c r="P346" s="1122"/>
    </row>
    <row r="347" spans="1:16">
      <c r="A347" s="427"/>
      <c r="F347" s="1121">
        <f t="shared" si="23"/>
        <v>-1.1913888888888887E-5</v>
      </c>
      <c r="G347" s="1122"/>
      <c r="H347" s="436">
        <v>40959</v>
      </c>
      <c r="I347" s="738">
        <v>1361.23</v>
      </c>
      <c r="J347" s="440">
        <f t="shared" si="22"/>
        <v>0</v>
      </c>
      <c r="L347" s="436">
        <v>40959</v>
      </c>
      <c r="M347" s="738">
        <v>87.99</v>
      </c>
      <c r="N347" s="115">
        <f t="shared" si="25"/>
        <v>0</v>
      </c>
      <c r="O347" s="1121">
        <f t="shared" si="24"/>
        <v>-1.1913888888888887E-5</v>
      </c>
      <c r="P347" s="1122"/>
    </row>
    <row r="348" spans="1:16">
      <c r="A348" s="427"/>
      <c r="F348" s="1121">
        <f t="shared" si="23"/>
        <v>7.0802322680806691E-4</v>
      </c>
      <c r="G348" s="1122"/>
      <c r="H348" s="436">
        <v>40960</v>
      </c>
      <c r="I348" s="738">
        <v>1362.21</v>
      </c>
      <c r="J348" s="440">
        <f t="shared" si="22"/>
        <v>7.1993711569695584E-4</v>
      </c>
      <c r="L348" s="436">
        <v>40960</v>
      </c>
      <c r="M348" s="738">
        <v>87.15</v>
      </c>
      <c r="N348" s="115">
        <f t="shared" si="25"/>
        <v>-9.5465393794748055E-3</v>
      </c>
      <c r="O348" s="1121">
        <f t="shared" si="24"/>
        <v>-9.5584532683636939E-3</v>
      </c>
      <c r="P348" s="1122"/>
    </row>
    <row r="349" spans="1:16">
      <c r="A349" s="427"/>
      <c r="F349" s="1121">
        <f t="shared" si="23"/>
        <v>-3.3520743634119017E-3</v>
      </c>
      <c r="G349" s="1122"/>
      <c r="H349" s="436">
        <v>40961</v>
      </c>
      <c r="I349" s="738">
        <v>1357.66</v>
      </c>
      <c r="J349" s="440">
        <f t="shared" ref="J349:J412" si="26">I349/I348-1</f>
        <v>-3.3401604745230129E-3</v>
      </c>
      <c r="L349" s="436">
        <v>40961</v>
      </c>
      <c r="M349" s="738">
        <v>87.62</v>
      </c>
      <c r="N349" s="115">
        <f t="shared" si="25"/>
        <v>5.3930005737234943E-3</v>
      </c>
      <c r="O349" s="1121">
        <f t="shared" si="24"/>
        <v>5.381086684834605E-3</v>
      </c>
      <c r="P349" s="1122"/>
    </row>
    <row r="350" spans="1:16">
      <c r="A350" s="427"/>
      <c r="F350" s="1121">
        <f t="shared" ref="F350:F413" si="27">J350-$I$19</f>
        <v>4.2601424433298318E-3</v>
      </c>
      <c r="G350" s="1122"/>
      <c r="H350" s="436">
        <v>40962</v>
      </c>
      <c r="I350" s="738">
        <v>1363.46</v>
      </c>
      <c r="J350" s="440">
        <f t="shared" si="26"/>
        <v>4.2720563322187211E-3</v>
      </c>
      <c r="L350" s="436">
        <v>40962</v>
      </c>
      <c r="M350" s="738">
        <v>88.29</v>
      </c>
      <c r="N350" s="115">
        <f t="shared" si="25"/>
        <v>7.646656014608455E-3</v>
      </c>
      <c r="O350" s="1121">
        <f t="shared" ref="O350:O413" si="28">N350-$I$19</f>
        <v>7.6347421257195658E-3</v>
      </c>
      <c r="P350" s="1122"/>
    </row>
    <row r="351" spans="1:16">
      <c r="A351" s="427"/>
      <c r="F351" s="1121">
        <f t="shared" si="27"/>
        <v>1.6603023844158275E-3</v>
      </c>
      <c r="G351" s="1122"/>
      <c r="H351" s="436">
        <v>40963</v>
      </c>
      <c r="I351" s="738">
        <v>1365.74</v>
      </c>
      <c r="J351" s="440">
        <f t="shared" si="26"/>
        <v>1.6722162733047163E-3</v>
      </c>
      <c r="L351" s="436">
        <v>40963</v>
      </c>
      <c r="M351" s="738">
        <v>89.53</v>
      </c>
      <c r="N351" s="115">
        <f t="shared" si="25"/>
        <v>1.4044625665420751E-2</v>
      </c>
      <c r="O351" s="1121">
        <f t="shared" si="28"/>
        <v>1.4032711776531863E-2</v>
      </c>
      <c r="P351" s="1122"/>
    </row>
    <row r="352" spans="1:16">
      <c r="A352" s="427"/>
      <c r="F352" s="1121">
        <f t="shared" si="27"/>
        <v>1.3426631169833818E-3</v>
      </c>
      <c r="G352" s="1122"/>
      <c r="H352" s="436">
        <v>40966</v>
      </c>
      <c r="I352" s="738">
        <v>1367.59</v>
      </c>
      <c r="J352" s="440">
        <f t="shared" si="26"/>
        <v>1.3545770058722706E-3</v>
      </c>
      <c r="L352" s="436">
        <v>40966</v>
      </c>
      <c r="M352" s="738">
        <v>89.41</v>
      </c>
      <c r="N352" s="115">
        <f t="shared" si="25"/>
        <v>-1.3403328493243327E-3</v>
      </c>
      <c r="O352" s="1121">
        <f t="shared" si="28"/>
        <v>-1.3522467382132215E-3</v>
      </c>
      <c r="P352" s="1122"/>
    </row>
    <row r="353" spans="1:16">
      <c r="A353" s="427"/>
      <c r="F353" s="1121">
        <f t="shared" si="27"/>
        <v>3.3443551683579524E-3</v>
      </c>
      <c r="G353" s="1122"/>
      <c r="H353" s="436">
        <v>40967</v>
      </c>
      <c r="I353" s="738">
        <v>1372.18</v>
      </c>
      <c r="J353" s="440">
        <f t="shared" si="26"/>
        <v>3.3562690572468412E-3</v>
      </c>
      <c r="L353" s="436">
        <v>40967</v>
      </c>
      <c r="M353" s="738">
        <v>88.7</v>
      </c>
      <c r="N353" s="115">
        <f t="shared" si="25"/>
        <v>-7.940946202885546E-3</v>
      </c>
      <c r="O353" s="1121">
        <f t="shared" si="28"/>
        <v>-7.9528600917744344E-3</v>
      </c>
      <c r="P353" s="1122"/>
    </row>
    <row r="354" spans="1:16">
      <c r="A354" s="427"/>
      <c r="F354" s="1121">
        <f t="shared" si="27"/>
        <v>-4.7489017476246643E-3</v>
      </c>
      <c r="G354" s="1122"/>
      <c r="H354" s="436">
        <v>40968</v>
      </c>
      <c r="I354" s="738">
        <v>1365.68</v>
      </c>
      <c r="J354" s="440">
        <f t="shared" si="26"/>
        <v>-4.736987858735775E-3</v>
      </c>
      <c r="L354" s="436">
        <v>40968</v>
      </c>
      <c r="M354" s="738">
        <v>88.41</v>
      </c>
      <c r="N354" s="115">
        <f t="shared" si="25"/>
        <v>-3.2694475760992603E-3</v>
      </c>
      <c r="O354" s="1121">
        <f t="shared" si="28"/>
        <v>-3.2813614649881491E-3</v>
      </c>
      <c r="P354" s="1122"/>
    </row>
    <row r="355" spans="1:16">
      <c r="A355" s="427"/>
      <c r="F355" s="1121">
        <f t="shared" si="27"/>
        <v>6.1461904986689275E-3</v>
      </c>
      <c r="G355" s="1122"/>
      <c r="H355" s="436">
        <v>40969</v>
      </c>
      <c r="I355" s="738">
        <v>1374.09</v>
      </c>
      <c r="J355" s="440">
        <f t="shared" si="26"/>
        <v>6.1581043875578168E-3</v>
      </c>
      <c r="L355" s="436">
        <v>40969</v>
      </c>
      <c r="M355" s="738">
        <v>88.37</v>
      </c>
      <c r="N355" s="115">
        <f t="shared" si="25"/>
        <v>-4.5243750706924768E-4</v>
      </c>
      <c r="O355" s="1121">
        <f t="shared" si="28"/>
        <v>-4.6435139595813656E-4</v>
      </c>
      <c r="P355" s="1122"/>
    </row>
    <row r="356" spans="1:16">
      <c r="A356" s="427"/>
      <c r="F356" s="1121">
        <f t="shared" si="27"/>
        <v>-3.2576983717100901E-3</v>
      </c>
      <c r="G356" s="1122"/>
      <c r="H356" s="436">
        <v>40970</v>
      </c>
      <c r="I356" s="738">
        <v>1369.63</v>
      </c>
      <c r="J356" s="440">
        <f t="shared" si="26"/>
        <v>-3.2457844828212012E-3</v>
      </c>
      <c r="L356" s="436">
        <v>40970</v>
      </c>
      <c r="M356" s="738">
        <v>88.5</v>
      </c>
      <c r="N356" s="115">
        <f t="shared" si="25"/>
        <v>1.4710874731242995E-3</v>
      </c>
      <c r="O356" s="1121">
        <f t="shared" si="28"/>
        <v>1.4591735842354107E-3</v>
      </c>
      <c r="P356" s="1122"/>
    </row>
    <row r="357" spans="1:16">
      <c r="A357" s="427"/>
      <c r="F357" s="1121">
        <f t="shared" si="27"/>
        <v>-3.8815721177537584E-3</v>
      </c>
      <c r="G357" s="1122"/>
      <c r="H357" s="436">
        <v>40973</v>
      </c>
      <c r="I357" s="738">
        <v>1364.33</v>
      </c>
      <c r="J357" s="440">
        <f t="shared" si="26"/>
        <v>-3.8696582288648695E-3</v>
      </c>
      <c r="L357" s="436">
        <v>40973</v>
      </c>
      <c r="M357" s="738">
        <v>88.68</v>
      </c>
      <c r="N357" s="115">
        <f t="shared" si="25"/>
        <v>2.0338983050847137E-3</v>
      </c>
      <c r="O357" s="1121">
        <f t="shared" si="28"/>
        <v>2.0219844161958249E-3</v>
      </c>
      <c r="P357" s="1122"/>
    </row>
    <row r="358" spans="1:16">
      <c r="A358" s="427"/>
      <c r="F358" s="1121">
        <f t="shared" si="27"/>
        <v>-1.5382095589797092E-2</v>
      </c>
      <c r="G358" s="1122"/>
      <c r="H358" s="436">
        <v>40974</v>
      </c>
      <c r="I358" s="738">
        <v>1343.36</v>
      </c>
      <c r="J358" s="440">
        <f t="shared" si="26"/>
        <v>-1.5370181700908203E-2</v>
      </c>
      <c r="L358" s="436">
        <v>40974</v>
      </c>
      <c r="M358" s="738">
        <v>87.78</v>
      </c>
      <c r="N358" s="115">
        <f t="shared" si="25"/>
        <v>-1.0148849797023018E-2</v>
      </c>
      <c r="O358" s="1121">
        <f t="shared" si="28"/>
        <v>-1.0160763685911907E-2</v>
      </c>
      <c r="P358" s="1122"/>
    </row>
    <row r="359" spans="1:16">
      <c r="A359" s="427"/>
      <c r="F359" s="1121">
        <f t="shared" si="27"/>
        <v>6.8886935432218499E-3</v>
      </c>
      <c r="G359" s="1122"/>
      <c r="H359" s="436">
        <v>40975</v>
      </c>
      <c r="I359" s="738">
        <v>1352.63</v>
      </c>
      <c r="J359" s="440">
        <f t="shared" si="26"/>
        <v>6.9006074321107391E-3</v>
      </c>
      <c r="L359" s="436">
        <v>40975</v>
      </c>
      <c r="M359" s="738">
        <v>87.96</v>
      </c>
      <c r="N359" s="115">
        <f t="shared" si="25"/>
        <v>2.0505809979494138E-3</v>
      </c>
      <c r="O359" s="1121">
        <f t="shared" si="28"/>
        <v>2.038667109060525E-3</v>
      </c>
      <c r="P359" s="1122"/>
    </row>
    <row r="360" spans="1:16">
      <c r="A360" s="427"/>
      <c r="F360" s="1121">
        <f t="shared" si="27"/>
        <v>9.8059964043916079E-3</v>
      </c>
      <c r="G360" s="1122"/>
      <c r="H360" s="436">
        <v>40976</v>
      </c>
      <c r="I360" s="738">
        <v>1365.91</v>
      </c>
      <c r="J360" s="440">
        <f t="shared" si="26"/>
        <v>9.8179102932804962E-3</v>
      </c>
      <c r="L360" s="436">
        <v>40976</v>
      </c>
      <c r="M360" s="738">
        <v>88.38</v>
      </c>
      <c r="N360" s="115">
        <f t="shared" si="25"/>
        <v>4.7748976807640009E-3</v>
      </c>
      <c r="O360" s="1121">
        <f t="shared" si="28"/>
        <v>4.7629837918751116E-3</v>
      </c>
      <c r="P360" s="1122"/>
    </row>
    <row r="361" spans="1:16">
      <c r="A361" s="427"/>
      <c r="F361" s="1121">
        <f t="shared" si="27"/>
        <v>3.6193648922898595E-3</v>
      </c>
      <c r="G361" s="1122"/>
      <c r="H361" s="436">
        <v>40977</v>
      </c>
      <c r="I361" s="738">
        <v>1370.87</v>
      </c>
      <c r="J361" s="440">
        <f t="shared" si="26"/>
        <v>3.6312787811787484E-3</v>
      </c>
      <c r="L361" s="436">
        <v>40977</v>
      </c>
      <c r="M361" s="738">
        <v>88.91</v>
      </c>
      <c r="N361" s="115">
        <f t="shared" si="25"/>
        <v>5.9968318624123995E-3</v>
      </c>
      <c r="O361" s="1121">
        <f t="shared" si="28"/>
        <v>5.9849179735235103E-3</v>
      </c>
      <c r="P361" s="1122"/>
    </row>
    <row r="362" spans="1:16">
      <c r="A362" s="427"/>
      <c r="F362" s="1121">
        <f t="shared" si="27"/>
        <v>1.4856814077123616E-4</v>
      </c>
      <c r="G362" s="1122"/>
      <c r="H362" s="436">
        <v>40980</v>
      </c>
      <c r="I362" s="738">
        <v>1371.09</v>
      </c>
      <c r="J362" s="440">
        <f t="shared" si="26"/>
        <v>1.6048202966012504E-4</v>
      </c>
      <c r="L362" s="436">
        <v>40980</v>
      </c>
      <c r="M362" s="738">
        <v>89</v>
      </c>
      <c r="N362" s="115">
        <f t="shared" si="25"/>
        <v>1.0122595883477192E-3</v>
      </c>
      <c r="O362" s="1121">
        <f t="shared" si="28"/>
        <v>1.0003456994588304E-3</v>
      </c>
      <c r="P362" s="1122"/>
    </row>
    <row r="363" spans="1:16">
      <c r="A363" s="427"/>
      <c r="F363" s="1121">
        <f t="shared" si="27"/>
        <v>1.8119645673211442E-2</v>
      </c>
      <c r="G363" s="1122"/>
      <c r="H363" s="436">
        <v>40981</v>
      </c>
      <c r="I363" s="738">
        <v>1395.95</v>
      </c>
      <c r="J363" s="440">
        <f t="shared" si="26"/>
        <v>1.813155956210033E-2</v>
      </c>
      <c r="L363" s="436">
        <v>40981</v>
      </c>
      <c r="M363" s="738">
        <v>89.65</v>
      </c>
      <c r="N363" s="115">
        <f t="shared" si="25"/>
        <v>7.3033707865168829E-3</v>
      </c>
      <c r="O363" s="1121">
        <f t="shared" si="28"/>
        <v>7.2914568976279936E-3</v>
      </c>
      <c r="P363" s="1122"/>
    </row>
    <row r="364" spans="1:16">
      <c r="A364" s="427"/>
      <c r="F364" s="1121">
        <f t="shared" si="27"/>
        <v>-1.2082318085852102E-3</v>
      </c>
      <c r="G364" s="1122"/>
      <c r="H364" s="436">
        <v>40982</v>
      </c>
      <c r="I364" s="738">
        <v>1394.28</v>
      </c>
      <c r="J364" s="440">
        <f t="shared" si="26"/>
        <v>-1.1963179196963214E-3</v>
      </c>
      <c r="L364" s="436">
        <v>40982</v>
      </c>
      <c r="M364" s="738">
        <v>90.42</v>
      </c>
      <c r="N364" s="115">
        <f t="shared" si="25"/>
        <v>8.5889570552146743E-3</v>
      </c>
      <c r="O364" s="1121">
        <f t="shared" si="28"/>
        <v>8.577043166325786E-3</v>
      </c>
      <c r="P364" s="1122"/>
    </row>
    <row r="365" spans="1:16">
      <c r="A365" s="427"/>
      <c r="F365" s="1121">
        <f t="shared" si="27"/>
        <v>5.9553236817567667E-3</v>
      </c>
      <c r="G365" s="1122"/>
      <c r="H365" s="436">
        <v>40983</v>
      </c>
      <c r="I365" s="738">
        <v>1402.6</v>
      </c>
      <c r="J365" s="440">
        <f t="shared" si="26"/>
        <v>5.967237570645656E-3</v>
      </c>
      <c r="L365" s="436">
        <v>40983</v>
      </c>
      <c r="M365" s="738">
        <v>90.3</v>
      </c>
      <c r="N365" s="115">
        <f t="shared" si="25"/>
        <v>-1.3271400132714994E-3</v>
      </c>
      <c r="O365" s="1121">
        <f t="shared" si="28"/>
        <v>-1.3390539021603883E-3</v>
      </c>
      <c r="P365" s="1122"/>
    </row>
    <row r="366" spans="1:16">
      <c r="A366" s="427"/>
      <c r="F366" s="1121">
        <f t="shared" si="27"/>
        <v>1.1074358900932039E-3</v>
      </c>
      <c r="G366" s="1122"/>
      <c r="H366" s="436">
        <v>40984</v>
      </c>
      <c r="I366" s="738">
        <v>1404.17</v>
      </c>
      <c r="J366" s="440">
        <f t="shared" si="26"/>
        <v>1.1193497789820928E-3</v>
      </c>
      <c r="L366" s="436">
        <v>40984</v>
      </c>
      <c r="M366" s="738">
        <v>89.32</v>
      </c>
      <c r="N366" s="115">
        <f t="shared" si="25"/>
        <v>-1.0852713178294615E-2</v>
      </c>
      <c r="O366" s="1121">
        <f t="shared" si="28"/>
        <v>-1.0864627067183504E-2</v>
      </c>
      <c r="P366" s="1122"/>
    </row>
    <row r="367" spans="1:16">
      <c r="A367" s="427"/>
      <c r="F367" s="1121">
        <f t="shared" si="27"/>
        <v>3.9619639179292376E-3</v>
      </c>
      <c r="G367" s="1122"/>
      <c r="H367" s="436">
        <v>40987</v>
      </c>
      <c r="I367" s="738">
        <v>1409.75</v>
      </c>
      <c r="J367" s="440">
        <f t="shared" si="26"/>
        <v>3.9738778068181269E-3</v>
      </c>
      <c r="L367" s="436">
        <v>40987</v>
      </c>
      <c r="M367" s="738">
        <v>89.56</v>
      </c>
      <c r="N367" s="115">
        <f t="shared" si="25"/>
        <v>2.686968204209661E-3</v>
      </c>
      <c r="O367" s="1121">
        <f t="shared" si="28"/>
        <v>2.6750543153207722E-3</v>
      </c>
      <c r="P367" s="1122"/>
    </row>
    <row r="368" spans="1:16">
      <c r="A368" s="427"/>
      <c r="F368" s="1121">
        <f t="shared" si="27"/>
        <v>-3.012445898110346E-3</v>
      </c>
      <c r="G368" s="1122"/>
      <c r="H368" s="436">
        <v>40988</v>
      </c>
      <c r="I368" s="738">
        <v>1405.52</v>
      </c>
      <c r="J368" s="440">
        <f t="shared" si="26"/>
        <v>-3.0005320092214571E-3</v>
      </c>
      <c r="L368" s="436">
        <v>40988</v>
      </c>
      <c r="M368" s="738">
        <v>89.34</v>
      </c>
      <c r="N368" s="115">
        <f t="shared" si="25"/>
        <v>-2.4564537740062731E-3</v>
      </c>
      <c r="O368" s="1121">
        <f t="shared" si="28"/>
        <v>-2.4683676628951619E-3</v>
      </c>
      <c r="P368" s="1122"/>
    </row>
    <row r="369" spans="1:16">
      <c r="A369" s="427"/>
      <c r="F369" s="1121">
        <f t="shared" si="27"/>
        <v>-1.8831074684891942E-3</v>
      </c>
      <c r="G369" s="1122"/>
      <c r="H369" s="436">
        <v>40989</v>
      </c>
      <c r="I369" s="738">
        <v>1402.89</v>
      </c>
      <c r="J369" s="440">
        <f t="shared" si="26"/>
        <v>-1.8711935796003054E-3</v>
      </c>
      <c r="L369" s="436">
        <v>40989</v>
      </c>
      <c r="M369" s="738">
        <v>89.45</v>
      </c>
      <c r="N369" s="115">
        <f t="shared" ref="N369:N432" si="29">M369/M368-1</f>
        <v>1.231251399149258E-3</v>
      </c>
      <c r="O369" s="1121">
        <f t="shared" si="28"/>
        <v>1.2193375102603691E-3</v>
      </c>
      <c r="P369" s="1122"/>
    </row>
    <row r="370" spans="1:16">
      <c r="A370" s="427"/>
      <c r="F370" s="1121">
        <f t="shared" si="27"/>
        <v>-7.2184660775851473E-3</v>
      </c>
      <c r="G370" s="1122"/>
      <c r="H370" s="436">
        <v>40990</v>
      </c>
      <c r="I370" s="738">
        <v>1392.78</v>
      </c>
      <c r="J370" s="440">
        <f t="shared" si="26"/>
        <v>-7.206552188696258E-3</v>
      </c>
      <c r="L370" s="436">
        <v>40990</v>
      </c>
      <c r="M370" s="738">
        <v>89.4</v>
      </c>
      <c r="N370" s="115">
        <f t="shared" si="29"/>
        <v>-5.5897149245387467E-4</v>
      </c>
      <c r="O370" s="1121">
        <f t="shared" si="28"/>
        <v>-5.7088538134276361E-4</v>
      </c>
      <c r="P370" s="1122"/>
    </row>
    <row r="371" spans="1:16">
      <c r="A371" s="427"/>
      <c r="F371" s="1121">
        <f t="shared" si="27"/>
        <v>3.0969762445133202E-3</v>
      </c>
      <c r="G371" s="1122"/>
      <c r="H371" s="436">
        <v>40991</v>
      </c>
      <c r="I371" s="738">
        <v>1397.11</v>
      </c>
      <c r="J371" s="440">
        <f t="shared" si="26"/>
        <v>3.108890133402209E-3</v>
      </c>
      <c r="L371" s="436">
        <v>40991</v>
      </c>
      <c r="M371" s="738">
        <v>89.77</v>
      </c>
      <c r="N371" s="115">
        <f t="shared" si="29"/>
        <v>4.1387024608499079E-3</v>
      </c>
      <c r="O371" s="1121">
        <f t="shared" si="28"/>
        <v>4.1267885719610186E-3</v>
      </c>
      <c r="P371" s="1122"/>
    </row>
    <row r="372" spans="1:16">
      <c r="A372" s="427"/>
      <c r="F372" s="1121">
        <f t="shared" si="27"/>
        <v>1.3873893241544637E-2</v>
      </c>
      <c r="G372" s="1122"/>
      <c r="H372" s="436">
        <v>40994</v>
      </c>
      <c r="I372" s="738">
        <v>1416.51</v>
      </c>
      <c r="J372" s="440">
        <f t="shared" si="26"/>
        <v>1.3885807130433525E-2</v>
      </c>
      <c r="L372" s="436">
        <v>40994</v>
      </c>
      <c r="M372" s="738">
        <v>90.64</v>
      </c>
      <c r="N372" s="115">
        <f t="shared" si="29"/>
        <v>9.691433663807647E-3</v>
      </c>
      <c r="O372" s="1121">
        <f t="shared" si="28"/>
        <v>9.6795197749187586E-3</v>
      </c>
      <c r="P372" s="1122"/>
    </row>
    <row r="373" spans="1:16">
      <c r="A373" s="427"/>
      <c r="F373" s="1121">
        <f t="shared" si="27"/>
        <v>-2.8286959800848462E-3</v>
      </c>
      <c r="G373" s="1122"/>
      <c r="H373" s="436">
        <v>40995</v>
      </c>
      <c r="I373" s="738">
        <v>1412.52</v>
      </c>
      <c r="J373" s="440">
        <f t="shared" si="26"/>
        <v>-2.8167820911959573E-3</v>
      </c>
      <c r="L373" s="436">
        <v>40995</v>
      </c>
      <c r="M373" s="738">
        <v>90.85</v>
      </c>
      <c r="N373" s="115">
        <f t="shared" si="29"/>
        <v>2.3168578993821853E-3</v>
      </c>
      <c r="O373" s="1121">
        <f t="shared" si="28"/>
        <v>2.3049440104932965E-3</v>
      </c>
      <c r="P373" s="1122"/>
    </row>
    <row r="374" spans="1:16">
      <c r="A374" s="427"/>
      <c r="F374" s="1121">
        <f t="shared" si="27"/>
        <v>-4.953436840776323E-3</v>
      </c>
      <c r="G374" s="1122"/>
      <c r="H374" s="436">
        <v>40996</v>
      </c>
      <c r="I374" s="738">
        <v>1405.54</v>
      </c>
      <c r="J374" s="440">
        <f t="shared" si="26"/>
        <v>-4.9415229518874337E-3</v>
      </c>
      <c r="L374" s="436">
        <v>40996</v>
      </c>
      <c r="M374" s="738">
        <v>89.69</v>
      </c>
      <c r="N374" s="115">
        <f t="shared" si="29"/>
        <v>-1.2768299394606442E-2</v>
      </c>
      <c r="O374" s="1121">
        <f t="shared" si="28"/>
        <v>-1.278021328349533E-2</v>
      </c>
      <c r="P374" s="1122"/>
    </row>
    <row r="375" spans="1:16">
      <c r="A375" s="427"/>
      <c r="F375" s="1121">
        <f t="shared" si="27"/>
        <v>-1.6198368224232891E-3</v>
      </c>
      <c r="G375" s="1122"/>
      <c r="H375" s="436">
        <v>40997</v>
      </c>
      <c r="I375" s="738">
        <v>1403.28</v>
      </c>
      <c r="J375" s="440">
        <f t="shared" si="26"/>
        <v>-1.6079229335344003E-3</v>
      </c>
      <c r="L375" s="436">
        <v>40997</v>
      </c>
      <c r="M375" s="738">
        <v>89.63</v>
      </c>
      <c r="N375" s="115">
        <f t="shared" si="29"/>
        <v>-6.6897089976591939E-4</v>
      </c>
      <c r="O375" s="1121">
        <f t="shared" si="28"/>
        <v>-6.8088478865480832E-4</v>
      </c>
      <c r="P375" s="1122"/>
    </row>
    <row r="376" spans="1:16">
      <c r="A376" s="427"/>
      <c r="F376" s="1121">
        <f t="shared" si="27"/>
        <v>3.6865639630009254E-3</v>
      </c>
      <c r="G376" s="1122"/>
      <c r="H376" s="436">
        <v>40998</v>
      </c>
      <c r="I376" s="738">
        <v>1408.47</v>
      </c>
      <c r="J376" s="440">
        <f t="shared" si="26"/>
        <v>3.6984778518898143E-3</v>
      </c>
      <c r="L376" s="436">
        <v>40998</v>
      </c>
      <c r="M376" s="738">
        <v>89.86</v>
      </c>
      <c r="N376" s="115">
        <f t="shared" si="29"/>
        <v>2.5661050987393352E-3</v>
      </c>
      <c r="O376" s="1121">
        <f t="shared" si="28"/>
        <v>2.5541912098504464E-3</v>
      </c>
      <c r="P376" s="1122"/>
    </row>
    <row r="377" spans="1:16">
      <c r="A377" s="427"/>
      <c r="F377" s="1121">
        <f t="shared" si="27"/>
        <v>7.4926832981295688E-3</v>
      </c>
      <c r="G377" s="1122"/>
      <c r="H377" s="436">
        <v>41001</v>
      </c>
      <c r="I377" s="738">
        <v>1419.04</v>
      </c>
      <c r="J377" s="440">
        <f t="shared" si="26"/>
        <v>7.504597187018458E-3</v>
      </c>
      <c r="L377" s="436">
        <v>41001</v>
      </c>
      <c r="M377" s="738">
        <v>91.16</v>
      </c>
      <c r="N377" s="115">
        <f t="shared" si="29"/>
        <v>1.4466948586690398E-2</v>
      </c>
      <c r="O377" s="1121">
        <f t="shared" si="28"/>
        <v>1.445503469780151E-2</v>
      </c>
      <c r="P377" s="1122"/>
    </row>
    <row r="378" spans="1:16">
      <c r="A378" s="427"/>
      <c r="F378" s="1121">
        <f t="shared" si="27"/>
        <v>-4.0005259082821565E-3</v>
      </c>
      <c r="G378" s="1122"/>
      <c r="H378" s="436">
        <v>41002</v>
      </c>
      <c r="I378" s="738">
        <v>1413.38</v>
      </c>
      <c r="J378" s="440">
        <f t="shared" si="26"/>
        <v>-3.9886120193932673E-3</v>
      </c>
      <c r="L378" s="436">
        <v>41002</v>
      </c>
      <c r="M378" s="738">
        <v>91.07</v>
      </c>
      <c r="N378" s="115">
        <f t="shared" si="29"/>
        <v>-9.8727512066698608E-4</v>
      </c>
      <c r="O378" s="1121">
        <f t="shared" si="28"/>
        <v>-9.9918900955587491E-4</v>
      </c>
      <c r="P378" s="1122"/>
    </row>
    <row r="379" spans="1:16">
      <c r="A379" s="427"/>
      <c r="F379" s="1121">
        <f t="shared" si="27"/>
        <v>-1.0214407202788996E-2</v>
      </c>
      <c r="G379" s="1122"/>
      <c r="H379" s="436">
        <v>41003</v>
      </c>
      <c r="I379" s="738">
        <v>1398.96</v>
      </c>
      <c r="J379" s="440">
        <f t="shared" si="26"/>
        <v>-1.0202493313900107E-2</v>
      </c>
      <c r="L379" s="436">
        <v>41003</v>
      </c>
      <c r="M379" s="738">
        <v>90.34</v>
      </c>
      <c r="N379" s="115">
        <f t="shared" si="29"/>
        <v>-8.0158120127373778E-3</v>
      </c>
      <c r="O379" s="1121">
        <f t="shared" si="28"/>
        <v>-8.0277259016262661E-3</v>
      </c>
      <c r="P379" s="1122"/>
    </row>
    <row r="380" spans="1:16">
      <c r="A380" s="427"/>
      <c r="F380" s="1121">
        <f t="shared" si="27"/>
        <v>-6.4095260336261754E-4</v>
      </c>
      <c r="G380" s="1122"/>
      <c r="H380" s="436">
        <v>41004</v>
      </c>
      <c r="I380" s="738">
        <v>1398.08</v>
      </c>
      <c r="J380" s="440">
        <f t="shared" si="26"/>
        <v>-6.2903871447372861E-4</v>
      </c>
      <c r="L380" s="436">
        <v>41004</v>
      </c>
      <c r="M380" s="738">
        <v>90.15</v>
      </c>
      <c r="N380" s="115">
        <f t="shared" si="29"/>
        <v>-2.1031658180208357E-3</v>
      </c>
      <c r="O380" s="1121">
        <f t="shared" si="28"/>
        <v>-2.1150797069097245E-3</v>
      </c>
      <c r="P380" s="1122"/>
    </row>
    <row r="381" spans="1:16">
      <c r="A381" s="427"/>
      <c r="F381" s="1121">
        <f t="shared" si="27"/>
        <v>-1.1913888888888887E-5</v>
      </c>
      <c r="G381" s="1122"/>
      <c r="H381" s="436">
        <v>41005</v>
      </c>
      <c r="I381" s="738">
        <v>1398.08</v>
      </c>
      <c r="J381" s="440">
        <f t="shared" si="26"/>
        <v>0</v>
      </c>
      <c r="L381" s="436">
        <v>41005</v>
      </c>
      <c r="M381" s="738">
        <v>90.15</v>
      </c>
      <c r="N381" s="115">
        <f t="shared" si="29"/>
        <v>0</v>
      </c>
      <c r="O381" s="1121">
        <f t="shared" si="28"/>
        <v>-1.1913888888888887E-5</v>
      </c>
      <c r="P381" s="1122"/>
    </row>
    <row r="382" spans="1:16">
      <c r="A382" s="427"/>
      <c r="F382" s="1121">
        <f t="shared" si="27"/>
        <v>-1.1370348313242247E-2</v>
      </c>
      <c r="G382" s="1122"/>
      <c r="H382" s="436">
        <v>41008</v>
      </c>
      <c r="I382" s="738">
        <v>1382.2</v>
      </c>
      <c r="J382" s="440">
        <f t="shared" si="26"/>
        <v>-1.1358434424353359E-2</v>
      </c>
      <c r="L382" s="436">
        <v>41008</v>
      </c>
      <c r="M382" s="738">
        <v>88.74</v>
      </c>
      <c r="N382" s="115">
        <f t="shared" si="29"/>
        <v>-1.5640599001664035E-2</v>
      </c>
      <c r="O382" s="1121">
        <f t="shared" si="28"/>
        <v>-1.5652512890552923E-2</v>
      </c>
      <c r="P382" s="1122"/>
    </row>
    <row r="383" spans="1:16">
      <c r="A383" s="427"/>
      <c r="F383" s="1121">
        <f t="shared" si="27"/>
        <v>-1.7093378221113016E-2</v>
      </c>
      <c r="G383" s="1122"/>
      <c r="H383" s="436">
        <v>41009</v>
      </c>
      <c r="I383" s="738">
        <v>1358.59</v>
      </c>
      <c r="J383" s="440">
        <f t="shared" si="26"/>
        <v>-1.7081464332224128E-2</v>
      </c>
      <c r="L383" s="436">
        <v>41009</v>
      </c>
      <c r="M383" s="738">
        <v>87.67</v>
      </c>
      <c r="N383" s="115">
        <f t="shared" si="29"/>
        <v>-1.205769664187506E-2</v>
      </c>
      <c r="O383" s="1121">
        <f t="shared" si="28"/>
        <v>-1.2069610530763948E-2</v>
      </c>
      <c r="P383" s="1122"/>
    </row>
    <row r="384" spans="1:16">
      <c r="A384" s="427"/>
      <c r="F384" s="1121">
        <f t="shared" si="27"/>
        <v>7.4369853375150152E-3</v>
      </c>
      <c r="G384" s="1122"/>
      <c r="H384" s="436">
        <v>41010</v>
      </c>
      <c r="I384" s="738">
        <v>1368.71</v>
      </c>
      <c r="J384" s="440">
        <f t="shared" si="26"/>
        <v>7.4488992264039044E-3</v>
      </c>
      <c r="L384" s="436">
        <v>41010</v>
      </c>
      <c r="M384" s="738">
        <v>88.49</v>
      </c>
      <c r="N384" s="115">
        <f t="shared" si="29"/>
        <v>9.35325653016994E-3</v>
      </c>
      <c r="O384" s="1121">
        <f t="shared" si="28"/>
        <v>9.3413426412810516E-3</v>
      </c>
      <c r="P384" s="1122"/>
    </row>
    <row r="385" spans="1:16">
      <c r="A385" s="427"/>
      <c r="F385" s="1121">
        <f t="shared" si="27"/>
        <v>1.3767484230508102E-2</v>
      </c>
      <c r="G385" s="1122"/>
      <c r="H385" s="436">
        <v>41011</v>
      </c>
      <c r="I385" s="738">
        <v>1387.57</v>
      </c>
      <c r="J385" s="440">
        <f t="shared" si="26"/>
        <v>1.3779398119396991E-2</v>
      </c>
      <c r="L385" s="436">
        <v>41011</v>
      </c>
      <c r="M385" s="738">
        <v>90.17</v>
      </c>
      <c r="N385" s="115">
        <f t="shared" si="29"/>
        <v>1.8985196067352383E-2</v>
      </c>
      <c r="O385" s="1121">
        <f t="shared" si="28"/>
        <v>1.8973282178463495E-2</v>
      </c>
      <c r="P385" s="1122"/>
    </row>
    <row r="386" spans="1:16">
      <c r="A386" s="427"/>
      <c r="F386" s="1121">
        <f t="shared" si="27"/>
        <v>-1.2486960192859116E-2</v>
      </c>
      <c r="G386" s="1122"/>
      <c r="H386" s="436">
        <v>41012</v>
      </c>
      <c r="I386" s="738">
        <v>1370.26</v>
      </c>
      <c r="J386" s="440">
        <f t="shared" si="26"/>
        <v>-1.2475046303970228E-2</v>
      </c>
      <c r="L386" s="436">
        <v>41012</v>
      </c>
      <c r="M386" s="738">
        <v>89.3</v>
      </c>
      <c r="N386" s="115">
        <f t="shared" si="29"/>
        <v>-9.6484418320950116E-3</v>
      </c>
      <c r="O386" s="1121">
        <f t="shared" si="28"/>
        <v>-9.6603557209839E-3</v>
      </c>
      <c r="P386" s="1122"/>
    </row>
    <row r="387" spans="1:16">
      <c r="A387" s="427"/>
      <c r="F387" s="1121">
        <f t="shared" si="27"/>
        <v>-5.1546795891944301E-4</v>
      </c>
      <c r="G387" s="1122"/>
      <c r="H387" s="436">
        <v>41015</v>
      </c>
      <c r="I387" s="738">
        <v>1369.57</v>
      </c>
      <c r="J387" s="440">
        <f t="shared" si="26"/>
        <v>-5.0355407003055408E-4</v>
      </c>
      <c r="L387" s="436">
        <v>41015</v>
      </c>
      <c r="M387" s="738">
        <v>89.57</v>
      </c>
      <c r="N387" s="115">
        <f t="shared" si="29"/>
        <v>3.0235162374019353E-3</v>
      </c>
      <c r="O387" s="1121">
        <f t="shared" si="28"/>
        <v>3.0116023485130465E-3</v>
      </c>
      <c r="P387" s="1122"/>
    </row>
    <row r="388" spans="1:16">
      <c r="A388" s="427"/>
      <c r="F388" s="1121">
        <f t="shared" si="27"/>
        <v>1.5474698697543469E-2</v>
      </c>
      <c r="G388" s="1122"/>
      <c r="H388" s="436">
        <v>41016</v>
      </c>
      <c r="I388" s="738">
        <v>1390.78</v>
      </c>
      <c r="J388" s="440">
        <f t="shared" si="26"/>
        <v>1.5486612586432358E-2</v>
      </c>
      <c r="L388" s="436">
        <v>41016</v>
      </c>
      <c r="M388" s="738">
        <v>90.6</v>
      </c>
      <c r="N388" s="115">
        <f t="shared" si="29"/>
        <v>1.1499385955118901E-2</v>
      </c>
      <c r="O388" s="1121">
        <f t="shared" si="28"/>
        <v>1.1487472066230013E-2</v>
      </c>
      <c r="P388" s="1122"/>
    </row>
    <row r="389" spans="1:16">
      <c r="A389" s="427"/>
      <c r="F389" s="1121">
        <f t="shared" si="27"/>
        <v>-4.0671922219105506E-3</v>
      </c>
      <c r="G389" s="1122"/>
      <c r="H389" s="436">
        <v>41017</v>
      </c>
      <c r="I389" s="738">
        <v>1385.14</v>
      </c>
      <c r="J389" s="440">
        <f t="shared" si="26"/>
        <v>-4.0552783330216613E-3</v>
      </c>
      <c r="L389" s="436">
        <v>41017</v>
      </c>
      <c r="M389" s="738">
        <v>90.37</v>
      </c>
      <c r="N389" s="115">
        <f t="shared" si="29"/>
        <v>-2.5386313465782795E-3</v>
      </c>
      <c r="O389" s="1121">
        <f t="shared" si="28"/>
        <v>-2.5505452354671683E-3</v>
      </c>
      <c r="P389" s="1122"/>
    </row>
    <row r="390" spans="1:16">
      <c r="A390" s="427"/>
      <c r="F390" s="1121">
        <f t="shared" si="27"/>
        <v>-5.946332070444601E-3</v>
      </c>
      <c r="G390" s="1122"/>
      <c r="H390" s="436">
        <v>41018</v>
      </c>
      <c r="I390" s="738">
        <v>1376.92</v>
      </c>
      <c r="J390" s="440">
        <f t="shared" si="26"/>
        <v>-5.9344181815557118E-3</v>
      </c>
      <c r="L390" s="436">
        <v>41018</v>
      </c>
      <c r="M390" s="738">
        <v>90.34</v>
      </c>
      <c r="N390" s="115">
        <f t="shared" si="29"/>
        <v>-3.3196857364170551E-4</v>
      </c>
      <c r="O390" s="1121">
        <f t="shared" si="28"/>
        <v>-3.4388246253059439E-4</v>
      </c>
      <c r="P390" s="1122"/>
    </row>
    <row r="391" spans="1:16">
      <c r="A391" s="427"/>
      <c r="F391" s="1121">
        <f t="shared" si="27"/>
        <v>1.1573624670358977E-3</v>
      </c>
      <c r="G391" s="1122"/>
      <c r="H391" s="436">
        <v>41019</v>
      </c>
      <c r="I391" s="738">
        <v>1378.53</v>
      </c>
      <c r="J391" s="440">
        <f t="shared" si="26"/>
        <v>1.1692763559247865E-3</v>
      </c>
      <c r="L391" s="436">
        <v>41019</v>
      </c>
      <c r="M391" s="738">
        <v>90.84</v>
      </c>
      <c r="N391" s="115">
        <f t="shared" si="29"/>
        <v>5.5346468895285383E-3</v>
      </c>
      <c r="O391" s="1121">
        <f t="shared" si="28"/>
        <v>5.5227330006396491E-3</v>
      </c>
      <c r="P391" s="1122"/>
    </row>
    <row r="392" spans="1:16">
      <c r="A392" s="427"/>
      <c r="F392" s="1121">
        <f t="shared" si="27"/>
        <v>-8.4194204357176464E-3</v>
      </c>
      <c r="G392" s="1122"/>
      <c r="H392" s="436">
        <v>41022</v>
      </c>
      <c r="I392" s="738">
        <v>1366.94</v>
      </c>
      <c r="J392" s="440">
        <f t="shared" si="26"/>
        <v>-8.407506546828758E-3</v>
      </c>
      <c r="L392" s="436">
        <v>41022</v>
      </c>
      <c r="M392" s="738">
        <v>90.53</v>
      </c>
      <c r="N392" s="115">
        <f t="shared" si="29"/>
        <v>-3.4125935711141198E-3</v>
      </c>
      <c r="O392" s="1121">
        <f t="shared" si="28"/>
        <v>-3.4245074600030086E-3</v>
      </c>
      <c r="P392" s="1122"/>
    </row>
    <row r="393" spans="1:16">
      <c r="A393" s="427"/>
      <c r="F393" s="1121">
        <f t="shared" si="27"/>
        <v>3.6678379656181963E-3</v>
      </c>
      <c r="G393" s="1122"/>
      <c r="H393" s="436">
        <v>41023</v>
      </c>
      <c r="I393" s="738">
        <v>1371.97</v>
      </c>
      <c r="J393" s="440">
        <f t="shared" si="26"/>
        <v>3.6797518545070851E-3</v>
      </c>
      <c r="L393" s="436">
        <v>41023</v>
      </c>
      <c r="M393" s="738">
        <v>91.13</v>
      </c>
      <c r="N393" s="115">
        <f t="shared" si="29"/>
        <v>6.6276372473212941E-3</v>
      </c>
      <c r="O393" s="1121">
        <f t="shared" si="28"/>
        <v>6.6157233584324049E-3</v>
      </c>
      <c r="P393" s="1122"/>
    </row>
    <row r="394" spans="1:16">
      <c r="A394" s="427"/>
      <c r="F394" s="1121">
        <f t="shared" si="27"/>
        <v>1.3632699331516888E-2</v>
      </c>
      <c r="G394" s="1122"/>
      <c r="H394" s="436">
        <v>41024</v>
      </c>
      <c r="I394" s="738">
        <v>1390.69</v>
      </c>
      <c r="J394" s="440">
        <f t="shared" si="26"/>
        <v>1.3644613220405777E-2</v>
      </c>
      <c r="L394" s="436">
        <v>41024</v>
      </c>
      <c r="M394" s="738">
        <v>90.98</v>
      </c>
      <c r="N394" s="115">
        <f t="shared" si="29"/>
        <v>-1.6460002194665924E-3</v>
      </c>
      <c r="O394" s="1121">
        <f t="shared" si="28"/>
        <v>-1.6579141083554812E-3</v>
      </c>
      <c r="P394" s="1122"/>
    </row>
    <row r="395" spans="1:16">
      <c r="A395" s="427"/>
      <c r="F395" s="1121">
        <f t="shared" si="27"/>
        <v>6.6682233091926923E-3</v>
      </c>
      <c r="G395" s="1122"/>
      <c r="H395" s="436">
        <v>41025</v>
      </c>
      <c r="I395" s="738">
        <v>1399.98</v>
      </c>
      <c r="J395" s="440">
        <f t="shared" si="26"/>
        <v>6.6801371980815816E-3</v>
      </c>
      <c r="L395" s="436">
        <v>41025</v>
      </c>
      <c r="M395" s="738">
        <v>91.7</v>
      </c>
      <c r="N395" s="115">
        <f t="shared" si="29"/>
        <v>7.9138272147725175E-3</v>
      </c>
      <c r="O395" s="1121">
        <f t="shared" si="28"/>
        <v>7.9019133258836291E-3</v>
      </c>
      <c r="P395" s="1122"/>
    </row>
    <row r="396" spans="1:16">
      <c r="A396" s="427"/>
      <c r="F396" s="1121">
        <f t="shared" si="27"/>
        <v>2.4024063156854385E-3</v>
      </c>
      <c r="G396" s="1122"/>
      <c r="H396" s="436">
        <v>41026</v>
      </c>
      <c r="I396" s="738">
        <v>1403.36</v>
      </c>
      <c r="J396" s="440">
        <f t="shared" si="26"/>
        <v>2.4143202045743273E-3</v>
      </c>
      <c r="L396" s="436">
        <v>41026</v>
      </c>
      <c r="M396" s="738">
        <v>91.3</v>
      </c>
      <c r="N396" s="115">
        <f t="shared" si="29"/>
        <v>-4.362050163576936E-3</v>
      </c>
      <c r="O396" s="1121">
        <f t="shared" si="28"/>
        <v>-4.3739640524658252E-3</v>
      </c>
      <c r="P396" s="1122"/>
    </row>
    <row r="397" spans="1:16">
      <c r="A397" s="427"/>
      <c r="F397" s="1121">
        <f t="shared" si="27"/>
        <v>-3.8954505437741667E-3</v>
      </c>
      <c r="G397" s="1122"/>
      <c r="H397" s="436">
        <v>41029</v>
      </c>
      <c r="I397" s="738">
        <v>1397.91</v>
      </c>
      <c r="J397" s="440">
        <f t="shared" si="26"/>
        <v>-3.8835366548852779E-3</v>
      </c>
      <c r="L397" s="436">
        <v>41029</v>
      </c>
      <c r="M397" s="738">
        <v>90.54</v>
      </c>
      <c r="N397" s="115">
        <f t="shared" si="29"/>
        <v>-8.3242059145672842E-3</v>
      </c>
      <c r="O397" s="1121">
        <f t="shared" si="28"/>
        <v>-8.3361198034561726E-3</v>
      </c>
      <c r="P397" s="1122"/>
    </row>
    <row r="398" spans="1:16">
      <c r="A398" s="427"/>
      <c r="F398" s="1121">
        <f t="shared" si="27"/>
        <v>5.6465333645107007E-3</v>
      </c>
      <c r="G398" s="1122"/>
      <c r="H398" s="436">
        <v>41030</v>
      </c>
      <c r="I398" s="738">
        <v>1405.82</v>
      </c>
      <c r="J398" s="440">
        <f t="shared" si="26"/>
        <v>5.65844725339959E-3</v>
      </c>
      <c r="L398" s="436">
        <v>41030</v>
      </c>
      <c r="M398" s="738">
        <v>90.55</v>
      </c>
      <c r="N398" s="115">
        <f t="shared" si="29"/>
        <v>1.1044842058738347E-4</v>
      </c>
      <c r="O398" s="1121">
        <f t="shared" si="28"/>
        <v>9.8534531698494574E-5</v>
      </c>
      <c r="P398" s="1122"/>
    </row>
    <row r="399" spans="1:16">
      <c r="A399" s="427"/>
      <c r="F399" s="1121">
        <f t="shared" si="27"/>
        <v>-2.5086773436696704E-3</v>
      </c>
      <c r="G399" s="1122"/>
      <c r="H399" s="436">
        <v>41031</v>
      </c>
      <c r="I399" s="738">
        <v>1402.31</v>
      </c>
      <c r="J399" s="440">
        <f t="shared" si="26"/>
        <v>-2.4967634547807815E-3</v>
      </c>
      <c r="L399" s="436">
        <v>41031</v>
      </c>
      <c r="M399" s="738">
        <v>90.08</v>
      </c>
      <c r="N399" s="115">
        <f t="shared" si="29"/>
        <v>-5.1905024848150072E-3</v>
      </c>
      <c r="O399" s="1121">
        <f t="shared" si="28"/>
        <v>-5.2024163737038965E-3</v>
      </c>
      <c r="P399" s="1122"/>
    </row>
    <row r="400" spans="1:16">
      <c r="A400" s="427"/>
      <c r="F400" s="1121">
        <f t="shared" si="27"/>
        <v>-7.6707054542346576E-3</v>
      </c>
      <c r="G400" s="1122"/>
      <c r="H400" s="436">
        <v>41032</v>
      </c>
      <c r="I400" s="738">
        <v>1391.57</v>
      </c>
      <c r="J400" s="440">
        <f t="shared" si="26"/>
        <v>-7.6587915653457683E-3</v>
      </c>
      <c r="L400" s="436">
        <v>41032</v>
      </c>
      <c r="M400" s="738">
        <v>89.47</v>
      </c>
      <c r="N400" s="115">
        <f t="shared" si="29"/>
        <v>-6.7717584369448858E-3</v>
      </c>
      <c r="O400" s="1121">
        <f t="shared" si="28"/>
        <v>-6.783672325833775E-3</v>
      </c>
      <c r="P400" s="1122"/>
    </row>
    <row r="401" spans="1:16">
      <c r="A401" s="427"/>
      <c r="F401" s="1121">
        <f t="shared" si="27"/>
        <v>-1.6159143277277528E-2</v>
      </c>
      <c r="G401" s="1122"/>
      <c r="H401" s="436">
        <v>41033</v>
      </c>
      <c r="I401" s="738">
        <v>1369.1</v>
      </c>
      <c r="J401" s="440">
        <f t="shared" si="26"/>
        <v>-1.614722938838864E-2</v>
      </c>
      <c r="L401" s="436">
        <v>41033</v>
      </c>
      <c r="M401" s="738">
        <v>87.83</v>
      </c>
      <c r="N401" s="115">
        <f t="shared" si="29"/>
        <v>-1.8330166536269177E-2</v>
      </c>
      <c r="O401" s="1121">
        <f t="shared" si="28"/>
        <v>-1.8342080425158065E-2</v>
      </c>
      <c r="P401" s="1122"/>
    </row>
    <row r="402" spans="1:16">
      <c r="A402" s="427"/>
      <c r="F402" s="1121">
        <f t="shared" si="27"/>
        <v>3.3868139268299714E-4</v>
      </c>
      <c r="G402" s="1122"/>
      <c r="H402" s="436">
        <v>41036</v>
      </c>
      <c r="I402" s="738">
        <v>1369.58</v>
      </c>
      <c r="J402" s="440">
        <f t="shared" si="26"/>
        <v>3.5059528157188602E-4</v>
      </c>
      <c r="L402" s="436">
        <v>41036</v>
      </c>
      <c r="M402" s="738">
        <v>87.31</v>
      </c>
      <c r="N402" s="115">
        <f t="shared" si="29"/>
        <v>-5.9205282932938141E-3</v>
      </c>
      <c r="O402" s="1121">
        <f t="shared" si="28"/>
        <v>-5.9324421821827034E-3</v>
      </c>
      <c r="P402" s="1122"/>
    </row>
    <row r="403" spans="1:16">
      <c r="A403" s="427"/>
      <c r="F403" s="1121">
        <f t="shared" si="27"/>
        <v>-4.2905978649983101E-3</v>
      </c>
      <c r="G403" s="1122"/>
      <c r="H403" s="436">
        <v>41037</v>
      </c>
      <c r="I403" s="738">
        <v>1363.72</v>
      </c>
      <c r="J403" s="440">
        <f t="shared" si="26"/>
        <v>-4.2786839761094209E-3</v>
      </c>
      <c r="L403" s="436">
        <v>41037</v>
      </c>
      <c r="M403" s="738">
        <v>87.13</v>
      </c>
      <c r="N403" s="115">
        <f t="shared" si="29"/>
        <v>-2.0616195166648366E-3</v>
      </c>
      <c r="O403" s="1121">
        <f t="shared" si="28"/>
        <v>-2.0735334055537254E-3</v>
      </c>
      <c r="P403" s="1122"/>
    </row>
    <row r="404" spans="1:16">
      <c r="A404" s="427"/>
      <c r="F404" s="1121">
        <f t="shared" si="27"/>
        <v>-6.7141694838791588E-3</v>
      </c>
      <c r="G404" s="1122"/>
      <c r="H404" s="436">
        <v>41038</v>
      </c>
      <c r="I404" s="738">
        <v>1354.58</v>
      </c>
      <c r="J404" s="440">
        <f t="shared" si="26"/>
        <v>-6.7022555949902696E-3</v>
      </c>
      <c r="L404" s="436">
        <v>41038</v>
      </c>
      <c r="M404" s="738">
        <v>85.95</v>
      </c>
      <c r="N404" s="115">
        <f t="shared" si="29"/>
        <v>-1.3542981751405891E-2</v>
      </c>
      <c r="O404" s="1121">
        <f t="shared" si="28"/>
        <v>-1.355489564029478E-2</v>
      </c>
      <c r="P404" s="1122"/>
    </row>
    <row r="405" spans="1:16">
      <c r="A405" s="427"/>
      <c r="F405" s="1121">
        <f t="shared" si="27"/>
        <v>2.5054715737638992E-3</v>
      </c>
      <c r="G405" s="1122"/>
      <c r="H405" s="436">
        <v>41039</v>
      </c>
      <c r="I405" s="738">
        <v>1357.99</v>
      </c>
      <c r="J405" s="440">
        <f t="shared" si="26"/>
        <v>2.5173854626527881E-3</v>
      </c>
      <c r="L405" s="436">
        <v>41039</v>
      </c>
      <c r="M405" s="738">
        <v>86.12</v>
      </c>
      <c r="N405" s="115">
        <f t="shared" si="29"/>
        <v>1.9778941244910087E-3</v>
      </c>
      <c r="O405" s="1121">
        <f t="shared" si="28"/>
        <v>1.9659802356021198E-3</v>
      </c>
      <c r="P405" s="1122"/>
    </row>
    <row r="406" spans="1:16">
      <c r="A406" s="427"/>
      <c r="F406" s="1121">
        <f t="shared" si="27"/>
        <v>-3.399273147793543E-3</v>
      </c>
      <c r="G406" s="1122"/>
      <c r="H406" s="436">
        <v>41040</v>
      </c>
      <c r="I406" s="738">
        <v>1353.39</v>
      </c>
      <c r="J406" s="440">
        <f t="shared" si="26"/>
        <v>-3.3873592589046542E-3</v>
      </c>
      <c r="L406" s="436">
        <v>41040</v>
      </c>
      <c r="M406" s="738">
        <v>85.21</v>
      </c>
      <c r="N406" s="115">
        <f t="shared" si="29"/>
        <v>-1.0566651184394038E-2</v>
      </c>
      <c r="O406" s="1121">
        <f t="shared" si="28"/>
        <v>-1.0578565073282926E-2</v>
      </c>
      <c r="P406" s="1122"/>
    </row>
    <row r="407" spans="1:16">
      <c r="A407" s="427"/>
      <c r="F407" s="1121">
        <f t="shared" si="27"/>
        <v>-1.1124749065741242E-2</v>
      </c>
      <c r="G407" s="1122"/>
      <c r="H407" s="436">
        <v>41043</v>
      </c>
      <c r="I407" s="738">
        <v>1338.35</v>
      </c>
      <c r="J407" s="440">
        <f t="shared" si="26"/>
        <v>-1.1112835176852354E-2</v>
      </c>
      <c r="L407" s="436">
        <v>41043</v>
      </c>
      <c r="M407" s="738">
        <v>85.2</v>
      </c>
      <c r="N407" s="115">
        <f t="shared" si="29"/>
        <v>-1.1735711770910484E-4</v>
      </c>
      <c r="O407" s="1121">
        <f t="shared" si="28"/>
        <v>-1.2927100659799372E-4</v>
      </c>
      <c r="P407" s="1122"/>
    </row>
    <row r="408" spans="1:16">
      <c r="A408" s="427"/>
      <c r="F408" s="1121">
        <f t="shared" si="27"/>
        <v>-5.7577950111661414E-3</v>
      </c>
      <c r="G408" s="1122"/>
      <c r="H408" s="436">
        <v>41044</v>
      </c>
      <c r="I408" s="738">
        <v>1330.66</v>
      </c>
      <c r="J408" s="440">
        <f t="shared" si="26"/>
        <v>-5.7458811222772521E-3</v>
      </c>
      <c r="L408" s="436">
        <v>41044</v>
      </c>
      <c r="M408" s="738">
        <v>84.59</v>
      </c>
      <c r="N408" s="115">
        <f t="shared" si="29"/>
        <v>-7.1596244131455489E-3</v>
      </c>
      <c r="O408" s="1121">
        <f t="shared" si="28"/>
        <v>-7.1715383020344381E-3</v>
      </c>
      <c r="P408" s="1122"/>
    </row>
    <row r="409" spans="1:16">
      <c r="A409" s="427"/>
      <c r="F409" s="1121">
        <f t="shared" si="27"/>
        <v>-4.415743567394389E-3</v>
      </c>
      <c r="G409" s="1122"/>
      <c r="H409" s="436">
        <v>41045</v>
      </c>
      <c r="I409" s="738">
        <v>1324.8</v>
      </c>
      <c r="J409" s="440">
        <f t="shared" si="26"/>
        <v>-4.4038296785054998E-3</v>
      </c>
      <c r="L409" s="436">
        <v>41045</v>
      </c>
      <c r="M409" s="738">
        <v>84.33</v>
      </c>
      <c r="N409" s="115">
        <f t="shared" si="29"/>
        <v>-3.0736493675376231E-3</v>
      </c>
      <c r="O409" s="1121">
        <f t="shared" si="28"/>
        <v>-3.0855632564265119E-3</v>
      </c>
      <c r="P409" s="1122"/>
    </row>
    <row r="410" spans="1:16">
      <c r="A410" s="427"/>
      <c r="F410" s="1121">
        <f t="shared" si="27"/>
        <v>-1.5063242391304417E-2</v>
      </c>
      <c r="G410" s="1122"/>
      <c r="H410" s="436">
        <v>41046</v>
      </c>
      <c r="I410" s="738">
        <v>1304.8599999999999</v>
      </c>
      <c r="J410" s="440">
        <f t="shared" si="26"/>
        <v>-1.5051328502415529E-2</v>
      </c>
      <c r="L410" s="436">
        <v>41046</v>
      </c>
      <c r="M410" s="738">
        <v>82.83</v>
      </c>
      <c r="N410" s="115">
        <f t="shared" si="29"/>
        <v>-1.7787264318747775E-2</v>
      </c>
      <c r="O410" s="1121">
        <f t="shared" si="28"/>
        <v>-1.7799178207636664E-2</v>
      </c>
      <c r="P410" s="1122"/>
    </row>
    <row r="411" spans="1:16">
      <c r="A411" s="427"/>
      <c r="F411" s="1121">
        <f t="shared" si="27"/>
        <v>-7.3996796262092513E-3</v>
      </c>
      <c r="G411" s="1122"/>
      <c r="H411" s="436">
        <v>41047</v>
      </c>
      <c r="I411" s="738">
        <v>1295.22</v>
      </c>
      <c r="J411" s="440">
        <f t="shared" si="26"/>
        <v>-7.387765737320362E-3</v>
      </c>
      <c r="L411" s="436">
        <v>41047</v>
      </c>
      <c r="M411" s="738">
        <v>82.78</v>
      </c>
      <c r="N411" s="115">
        <f t="shared" si="29"/>
        <v>-6.0364602197271466E-4</v>
      </c>
      <c r="O411" s="1121">
        <f t="shared" si="28"/>
        <v>-6.155599108616036E-4</v>
      </c>
      <c r="P411" s="1122"/>
    </row>
    <row r="412" spans="1:16">
      <c r="A412" s="427"/>
      <c r="F412" s="1121">
        <f t="shared" si="27"/>
        <v>1.6023971906574334E-2</v>
      </c>
      <c r="G412" s="1122"/>
      <c r="H412" s="436">
        <v>41050</v>
      </c>
      <c r="I412" s="738">
        <v>1315.99</v>
      </c>
      <c r="J412" s="440">
        <f t="shared" si="26"/>
        <v>1.6035885795463223E-2</v>
      </c>
      <c r="L412" s="436">
        <v>41050</v>
      </c>
      <c r="M412" s="738">
        <v>83.63</v>
      </c>
      <c r="N412" s="115">
        <f t="shared" si="29"/>
        <v>1.0268180719980702E-2</v>
      </c>
      <c r="O412" s="1121">
        <f t="shared" si="28"/>
        <v>1.0256266831091813E-2</v>
      </c>
      <c r="P412" s="1122"/>
    </row>
    <row r="413" spans="1:16">
      <c r="A413" s="427"/>
      <c r="F413" s="1121">
        <f t="shared" si="27"/>
        <v>4.7441199504649013E-4</v>
      </c>
      <c r="G413" s="1122"/>
      <c r="H413" s="436">
        <v>41051</v>
      </c>
      <c r="I413" s="738">
        <v>1316.63</v>
      </c>
      <c r="J413" s="440">
        <f t="shared" ref="J413:J476" si="30">I413/I412-1</f>
        <v>4.8632588393537901E-4</v>
      </c>
      <c r="L413" s="436">
        <v>41051</v>
      </c>
      <c r="M413" s="738">
        <v>83.69</v>
      </c>
      <c r="N413" s="115">
        <f t="shared" si="29"/>
        <v>7.1744589262223712E-4</v>
      </c>
      <c r="O413" s="1121">
        <f t="shared" si="28"/>
        <v>7.0553200373334819E-4</v>
      </c>
      <c r="P413" s="1122"/>
    </row>
    <row r="414" spans="1:16">
      <c r="A414" s="427"/>
      <c r="F414" s="1121">
        <f t="shared" ref="F414:F477" si="31">J414-$I$19</f>
        <v>1.6818041640188556E-3</v>
      </c>
      <c r="G414" s="1122"/>
      <c r="H414" s="436">
        <v>41052</v>
      </c>
      <c r="I414" s="738">
        <v>1318.86</v>
      </c>
      <c r="J414" s="440">
        <f t="shared" si="30"/>
        <v>1.6937180529077445E-3</v>
      </c>
      <c r="L414" s="436">
        <v>41052</v>
      </c>
      <c r="M414" s="738">
        <v>83.35</v>
      </c>
      <c r="N414" s="115">
        <f t="shared" si="29"/>
        <v>-4.0626120205520255E-3</v>
      </c>
      <c r="O414" s="1121">
        <f t="shared" ref="O414:O477" si="32">N414-$I$19</f>
        <v>-4.0745259094409148E-3</v>
      </c>
      <c r="P414" s="1122"/>
    </row>
    <row r="415" spans="1:16">
      <c r="A415" s="427"/>
      <c r="F415" s="1121">
        <f t="shared" si="31"/>
        <v>1.3680657905313846E-3</v>
      </c>
      <c r="G415" s="1122"/>
      <c r="H415" s="436">
        <v>41053</v>
      </c>
      <c r="I415" s="738">
        <v>1320.68</v>
      </c>
      <c r="J415" s="440">
        <f t="shared" si="30"/>
        <v>1.3799796794202734E-3</v>
      </c>
      <c r="L415" s="436">
        <v>41053</v>
      </c>
      <c r="M415" s="738">
        <v>83.37</v>
      </c>
      <c r="N415" s="115">
        <f t="shared" si="29"/>
        <v>2.3995200959814333E-4</v>
      </c>
      <c r="O415" s="1121">
        <f t="shared" si="32"/>
        <v>2.2803812070925446E-4</v>
      </c>
      <c r="P415" s="1122"/>
    </row>
    <row r="416" spans="1:16">
      <c r="A416" s="427"/>
      <c r="F416" s="1121">
        <f t="shared" si="31"/>
        <v>-2.1774649686358079E-3</v>
      </c>
      <c r="G416" s="1122"/>
      <c r="H416" s="436">
        <v>41054</v>
      </c>
      <c r="I416" s="738">
        <v>1317.82</v>
      </c>
      <c r="J416" s="440">
        <f t="shared" si="30"/>
        <v>-2.1655510797469191E-3</v>
      </c>
      <c r="L416" s="436">
        <v>41054</v>
      </c>
      <c r="M416" s="738">
        <v>82.71</v>
      </c>
      <c r="N416" s="115">
        <f t="shared" si="29"/>
        <v>-7.9165167326378238E-3</v>
      </c>
      <c r="O416" s="1121">
        <f t="shared" si="32"/>
        <v>-7.9284306215267122E-3</v>
      </c>
      <c r="P416" s="1122"/>
    </row>
    <row r="417" spans="1:16">
      <c r="A417" s="427"/>
      <c r="F417" s="1121">
        <f t="shared" si="31"/>
        <v>-1.1913888888888887E-5</v>
      </c>
      <c r="G417" s="1122"/>
      <c r="H417" s="436">
        <v>41057</v>
      </c>
      <c r="I417" s="738">
        <v>1317.82</v>
      </c>
      <c r="J417" s="440">
        <f t="shared" si="30"/>
        <v>0</v>
      </c>
      <c r="L417" s="436">
        <v>41057</v>
      </c>
      <c r="M417" s="738">
        <v>82.71</v>
      </c>
      <c r="N417" s="115">
        <f t="shared" si="29"/>
        <v>0</v>
      </c>
      <c r="O417" s="1121">
        <f t="shared" si="32"/>
        <v>-1.1913888888888887E-5</v>
      </c>
      <c r="P417" s="1122"/>
    </row>
    <row r="418" spans="1:16">
      <c r="A418" s="427"/>
      <c r="F418" s="1121">
        <f t="shared" si="31"/>
        <v>1.1066989147944788E-2</v>
      </c>
      <c r="G418" s="1122"/>
      <c r="H418" s="436">
        <v>41058</v>
      </c>
      <c r="I418" s="738">
        <v>1332.42</v>
      </c>
      <c r="J418" s="440">
        <f t="shared" si="30"/>
        <v>1.1078903036833676E-2</v>
      </c>
      <c r="L418" s="436">
        <v>41058</v>
      </c>
      <c r="M418" s="738">
        <v>83.66</v>
      </c>
      <c r="N418" s="115">
        <f t="shared" si="29"/>
        <v>1.1485914641518491E-2</v>
      </c>
      <c r="O418" s="1121">
        <f t="shared" si="32"/>
        <v>1.1474000752629603E-2</v>
      </c>
      <c r="P418" s="1122"/>
    </row>
    <row r="419" spans="1:16">
      <c r="A419" s="427"/>
      <c r="F419" s="1121">
        <f t="shared" si="31"/>
        <v>-1.4346733240144578E-2</v>
      </c>
      <c r="G419" s="1122"/>
      <c r="H419" s="436">
        <v>41059</v>
      </c>
      <c r="I419" s="738">
        <v>1313.32</v>
      </c>
      <c r="J419" s="440">
        <f t="shared" si="30"/>
        <v>-1.433481935125569E-2</v>
      </c>
      <c r="L419" s="436">
        <v>41059</v>
      </c>
      <c r="M419" s="738">
        <v>82.8</v>
      </c>
      <c r="N419" s="115">
        <f t="shared" si="29"/>
        <v>-1.0279703562036779E-2</v>
      </c>
      <c r="O419" s="1121">
        <f t="shared" si="32"/>
        <v>-1.0291617450925668E-2</v>
      </c>
      <c r="P419" s="1122"/>
    </row>
    <row r="420" spans="1:16">
      <c r="A420" s="427"/>
      <c r="F420" s="1121">
        <f t="shared" si="31"/>
        <v>-2.2885867485118523E-3</v>
      </c>
      <c r="G420" s="1122"/>
      <c r="H420" s="436">
        <v>41060</v>
      </c>
      <c r="I420" s="738">
        <v>1310.33</v>
      </c>
      <c r="J420" s="440">
        <f t="shared" si="30"/>
        <v>-2.2766728596229635E-3</v>
      </c>
      <c r="L420" s="436">
        <v>41060</v>
      </c>
      <c r="M420" s="738">
        <v>82.8</v>
      </c>
      <c r="N420" s="115">
        <f t="shared" si="29"/>
        <v>0</v>
      </c>
      <c r="O420" s="1121">
        <f t="shared" si="32"/>
        <v>-1.1913888888888887E-5</v>
      </c>
      <c r="P420" s="1122"/>
    </row>
    <row r="421" spans="1:16">
      <c r="A421" s="427"/>
      <c r="F421" s="1121">
        <f t="shared" si="31"/>
        <v>-2.4654561160950113E-2</v>
      </c>
      <c r="G421" s="1122"/>
      <c r="H421" s="436">
        <v>41061</v>
      </c>
      <c r="I421" s="738">
        <v>1278.04</v>
      </c>
      <c r="J421" s="440">
        <f t="shared" si="30"/>
        <v>-2.4642647272061224E-2</v>
      </c>
      <c r="L421" s="436">
        <v>41061</v>
      </c>
      <c r="M421" s="738">
        <v>81.22</v>
      </c>
      <c r="N421" s="115">
        <f t="shared" si="29"/>
        <v>-1.9082125603864686E-2</v>
      </c>
      <c r="O421" s="1121">
        <f t="shared" si="32"/>
        <v>-1.9094039492753574E-2</v>
      </c>
      <c r="P421" s="1122"/>
    </row>
    <row r="422" spans="1:16">
      <c r="A422" s="427"/>
      <c r="F422" s="1121">
        <f t="shared" si="31"/>
        <v>9.7628848427670277E-5</v>
      </c>
      <c r="G422" s="1122"/>
      <c r="H422" s="436">
        <v>41064</v>
      </c>
      <c r="I422" s="738">
        <v>1278.18</v>
      </c>
      <c r="J422" s="440">
        <f t="shared" si="30"/>
        <v>1.0954273731655917E-4</v>
      </c>
      <c r="L422" s="436">
        <v>41064</v>
      </c>
      <c r="M422" s="738">
        <v>81.05</v>
      </c>
      <c r="N422" s="115">
        <f t="shared" si="29"/>
        <v>-2.093080522038937E-3</v>
      </c>
      <c r="O422" s="1121">
        <f t="shared" si="32"/>
        <v>-2.1049944109278258E-3</v>
      </c>
      <c r="P422" s="1122"/>
    </row>
    <row r="423" spans="1:16">
      <c r="A423" s="427"/>
      <c r="F423" s="1121">
        <f t="shared" si="31"/>
        <v>5.7149790369900233E-3</v>
      </c>
      <c r="G423" s="1122"/>
      <c r="H423" s="436">
        <v>41065</v>
      </c>
      <c r="I423" s="738">
        <v>1285.5</v>
      </c>
      <c r="J423" s="440">
        <f t="shared" si="30"/>
        <v>5.7268929258789125E-3</v>
      </c>
      <c r="L423" s="436">
        <v>41065</v>
      </c>
      <c r="M423" s="738">
        <v>80.819999999999993</v>
      </c>
      <c r="N423" s="115">
        <f t="shared" si="29"/>
        <v>-2.8377544725478598E-3</v>
      </c>
      <c r="O423" s="1121">
        <f t="shared" si="32"/>
        <v>-2.8496683614367487E-3</v>
      </c>
      <c r="P423" s="1122"/>
    </row>
    <row r="424" spans="1:16">
      <c r="A424" s="427"/>
      <c r="F424" s="1121">
        <f t="shared" si="31"/>
        <v>2.303748323285381E-2</v>
      </c>
      <c r="G424" s="1122"/>
      <c r="H424" s="436">
        <v>41066</v>
      </c>
      <c r="I424" s="738">
        <v>1315.13</v>
      </c>
      <c r="J424" s="440">
        <f t="shared" si="30"/>
        <v>2.3049397121742699E-2</v>
      </c>
      <c r="L424" s="436">
        <v>41066</v>
      </c>
      <c r="M424" s="738">
        <v>82.38</v>
      </c>
      <c r="N424" s="115">
        <f t="shared" si="29"/>
        <v>1.9302152932442418E-2</v>
      </c>
      <c r="O424" s="1121">
        <f t="shared" si="32"/>
        <v>1.929023904355353E-2</v>
      </c>
      <c r="P424" s="1122"/>
    </row>
    <row r="425" spans="1:16">
      <c r="A425" s="427"/>
      <c r="F425" s="1121">
        <f t="shared" si="31"/>
        <v>-1.1836724331016535E-4</v>
      </c>
      <c r="G425" s="1122"/>
      <c r="H425" s="436">
        <v>41067</v>
      </c>
      <c r="I425" s="738">
        <v>1314.99</v>
      </c>
      <c r="J425" s="440">
        <f t="shared" si="30"/>
        <v>-1.0645335442127646E-4</v>
      </c>
      <c r="L425" s="436">
        <v>41067</v>
      </c>
      <c r="M425" s="738">
        <v>83.15</v>
      </c>
      <c r="N425" s="115">
        <f t="shared" si="29"/>
        <v>9.3469288662297867E-3</v>
      </c>
      <c r="O425" s="1121">
        <f t="shared" si="32"/>
        <v>9.3350149773408983E-3</v>
      </c>
      <c r="P425" s="1122"/>
    </row>
    <row r="426" spans="1:16">
      <c r="A426" s="427"/>
      <c r="F426" s="1121">
        <f t="shared" si="31"/>
        <v>8.102216256587462E-3</v>
      </c>
      <c r="G426" s="1122"/>
      <c r="H426" s="436">
        <v>41068</v>
      </c>
      <c r="I426" s="738">
        <v>1325.66</v>
      </c>
      <c r="J426" s="440">
        <f t="shared" si="30"/>
        <v>8.1141301454763504E-3</v>
      </c>
      <c r="L426" s="436">
        <v>41068</v>
      </c>
      <c r="M426" s="738">
        <v>83.29</v>
      </c>
      <c r="N426" s="115">
        <f t="shared" si="29"/>
        <v>1.6837041491279958E-3</v>
      </c>
      <c r="O426" s="1121">
        <f t="shared" si="32"/>
        <v>1.671790260239107E-3</v>
      </c>
      <c r="P426" s="1122"/>
    </row>
    <row r="427" spans="1:16">
      <c r="A427" s="427"/>
      <c r="F427" s="1121">
        <f t="shared" si="31"/>
        <v>-1.2632042730371669E-2</v>
      </c>
      <c r="G427" s="1122"/>
      <c r="H427" s="436">
        <v>41071</v>
      </c>
      <c r="I427" s="738">
        <v>1308.93</v>
      </c>
      <c r="J427" s="440">
        <f t="shared" si="30"/>
        <v>-1.2620128841482781E-2</v>
      </c>
      <c r="L427" s="436">
        <v>41071</v>
      </c>
      <c r="M427" s="738">
        <v>82.46</v>
      </c>
      <c r="N427" s="115">
        <f t="shared" si="29"/>
        <v>-9.9651818945852844E-3</v>
      </c>
      <c r="O427" s="1121">
        <f t="shared" si="32"/>
        <v>-9.9770957834741728E-3</v>
      </c>
      <c r="P427" s="1122"/>
    </row>
    <row r="428" spans="1:16">
      <c r="F428" s="1121">
        <f t="shared" si="31"/>
        <v>1.1638823736499819E-2</v>
      </c>
      <c r="G428" s="1122"/>
      <c r="H428" s="436">
        <v>41072</v>
      </c>
      <c r="I428" s="738">
        <v>1324.18</v>
      </c>
      <c r="J428" s="440">
        <f t="shared" si="30"/>
        <v>1.1650737625388707E-2</v>
      </c>
      <c r="L428" s="436">
        <v>41072</v>
      </c>
      <c r="M428" s="738">
        <v>83.37</v>
      </c>
      <c r="N428" s="115">
        <f t="shared" si="29"/>
        <v>1.1035653650254718E-2</v>
      </c>
      <c r="O428" s="1121">
        <f t="shared" si="32"/>
        <v>1.1023739761365829E-2</v>
      </c>
      <c r="P428" s="1122"/>
    </row>
    <row r="429" spans="1:16">
      <c r="F429" s="1121">
        <f t="shared" si="31"/>
        <v>-7.0351282555157846E-3</v>
      </c>
      <c r="G429" s="1122"/>
      <c r="H429" s="436">
        <v>41073</v>
      </c>
      <c r="I429" s="738">
        <v>1314.88</v>
      </c>
      <c r="J429" s="440">
        <f t="shared" si="30"/>
        <v>-7.0232143666268954E-3</v>
      </c>
      <c r="L429" s="436">
        <v>41073</v>
      </c>
      <c r="M429" s="738">
        <v>82.67</v>
      </c>
      <c r="N429" s="115">
        <f t="shared" si="29"/>
        <v>-8.3963056255248469E-3</v>
      </c>
      <c r="O429" s="1121">
        <f t="shared" si="32"/>
        <v>-8.4082195144137353E-3</v>
      </c>
      <c r="P429" s="1122"/>
    </row>
    <row r="430" spans="1:16">
      <c r="F430" s="1121">
        <f t="shared" si="31"/>
        <v>1.0802761214542371E-2</v>
      </c>
      <c r="G430" s="1122"/>
      <c r="H430" s="436">
        <v>41074</v>
      </c>
      <c r="I430" s="738">
        <v>1329.1</v>
      </c>
      <c r="J430" s="440">
        <f t="shared" si="30"/>
        <v>1.0814675103431259E-2</v>
      </c>
      <c r="L430" s="436">
        <v>41074</v>
      </c>
      <c r="M430" s="738">
        <v>83.33</v>
      </c>
      <c r="N430" s="115">
        <f t="shared" si="29"/>
        <v>7.9835490504414075E-3</v>
      </c>
      <c r="O430" s="1121">
        <f t="shared" si="32"/>
        <v>7.9716351615525191E-3</v>
      </c>
      <c r="P430" s="1122"/>
    </row>
    <row r="431" spans="1:16">
      <c r="F431" s="1121">
        <f t="shared" si="31"/>
        <v>1.0325908697823898E-2</v>
      </c>
      <c r="G431" s="1122"/>
      <c r="H431" s="436">
        <v>41075</v>
      </c>
      <c r="I431" s="738">
        <v>1342.84</v>
      </c>
      <c r="J431" s="440">
        <f t="shared" si="30"/>
        <v>1.0337822586712786E-2</v>
      </c>
      <c r="L431" s="436">
        <v>41075</v>
      </c>
      <c r="M431" s="738">
        <v>83.45</v>
      </c>
      <c r="N431" s="115">
        <f t="shared" si="29"/>
        <v>1.4400576023041456E-3</v>
      </c>
      <c r="O431" s="1121">
        <f t="shared" si="32"/>
        <v>1.4281437134152568E-3</v>
      </c>
      <c r="P431" s="1122"/>
    </row>
    <row r="432" spans="1:16">
      <c r="F432" s="1121">
        <f t="shared" si="31"/>
        <v>1.4327854051446802E-3</v>
      </c>
      <c r="G432" s="1122"/>
      <c r="H432" s="436">
        <v>41078</v>
      </c>
      <c r="I432" s="738">
        <v>1344.78</v>
      </c>
      <c r="J432" s="440">
        <f t="shared" si="30"/>
        <v>1.444699294033569E-3</v>
      </c>
      <c r="L432" s="436">
        <v>41078</v>
      </c>
      <c r="M432" s="738">
        <v>84.76</v>
      </c>
      <c r="N432" s="115">
        <f t="shared" si="29"/>
        <v>1.5698022768124709E-2</v>
      </c>
      <c r="O432" s="1121">
        <f t="shared" si="32"/>
        <v>1.568610887923582E-2</v>
      </c>
      <c r="P432" s="1122"/>
    </row>
    <row r="433" spans="6:16">
      <c r="F433" s="1121">
        <f t="shared" si="31"/>
        <v>9.8038180523952675E-3</v>
      </c>
      <c r="G433" s="1122"/>
      <c r="H433" s="436">
        <v>41079</v>
      </c>
      <c r="I433" s="738">
        <v>1357.98</v>
      </c>
      <c r="J433" s="440">
        <f t="shared" si="30"/>
        <v>9.8157319412841559E-3</v>
      </c>
      <c r="L433" s="436">
        <v>41079</v>
      </c>
      <c r="M433" s="738">
        <v>85.3</v>
      </c>
      <c r="N433" s="115">
        <f t="shared" ref="N433:N496" si="33">M433/M432-1</f>
        <v>6.3709296838130314E-3</v>
      </c>
      <c r="O433" s="1121">
        <f t="shared" si="32"/>
        <v>6.3590157949241421E-3</v>
      </c>
      <c r="P433" s="1122"/>
    </row>
    <row r="434" spans="6:16">
      <c r="F434" s="1121">
        <f t="shared" si="31"/>
        <v>-1.6982421116903475E-3</v>
      </c>
      <c r="G434" s="1122"/>
      <c r="H434" s="436">
        <v>41080</v>
      </c>
      <c r="I434" s="738">
        <v>1355.69</v>
      </c>
      <c r="J434" s="440">
        <f t="shared" si="30"/>
        <v>-1.6863282228014587E-3</v>
      </c>
      <c r="L434" s="436">
        <v>41080</v>
      </c>
      <c r="M434" s="738">
        <v>84.54</v>
      </c>
      <c r="N434" s="115">
        <f t="shared" si="33"/>
        <v>-8.9097303634231295E-3</v>
      </c>
      <c r="O434" s="1121">
        <f t="shared" si="32"/>
        <v>-8.9216442523120179E-3</v>
      </c>
      <c r="P434" s="1122"/>
    </row>
    <row r="435" spans="6:16">
      <c r="F435" s="1121">
        <f t="shared" si="31"/>
        <v>-2.2273640389785195E-2</v>
      </c>
      <c r="G435" s="1122"/>
      <c r="H435" s="436">
        <v>41081</v>
      </c>
      <c r="I435" s="738">
        <v>1325.51</v>
      </c>
      <c r="J435" s="440">
        <f t="shared" si="30"/>
        <v>-2.2261726500896306E-2</v>
      </c>
      <c r="L435" s="436">
        <v>41081</v>
      </c>
      <c r="M435" s="738">
        <v>84.37</v>
      </c>
      <c r="N435" s="115">
        <f t="shared" si="33"/>
        <v>-2.010882422521898E-3</v>
      </c>
      <c r="O435" s="1121">
        <f t="shared" si="32"/>
        <v>-2.0227963114107868E-3</v>
      </c>
      <c r="P435" s="1122"/>
    </row>
    <row r="436" spans="6:16">
      <c r="F436" s="1121">
        <f t="shared" si="31"/>
        <v>7.1626830587011503E-3</v>
      </c>
      <c r="G436" s="1122"/>
      <c r="H436" s="436">
        <v>41082</v>
      </c>
      <c r="I436" s="738">
        <v>1335.02</v>
      </c>
      <c r="J436" s="440">
        <f t="shared" si="30"/>
        <v>7.1745969475900395E-3</v>
      </c>
      <c r="L436" s="436">
        <v>41082</v>
      </c>
      <c r="M436" s="738">
        <v>85.35</v>
      </c>
      <c r="N436" s="115">
        <f t="shared" si="33"/>
        <v>1.1615503140926853E-2</v>
      </c>
      <c r="O436" s="1121">
        <f t="shared" si="32"/>
        <v>1.1603589252037964E-2</v>
      </c>
      <c r="P436" s="1122"/>
    </row>
    <row r="437" spans="6:16">
      <c r="F437" s="1121">
        <f t="shared" si="31"/>
        <v>-1.5966731045186096E-2</v>
      </c>
      <c r="G437" s="1122"/>
      <c r="H437" s="436">
        <v>41085</v>
      </c>
      <c r="I437" s="738">
        <v>1313.72</v>
      </c>
      <c r="J437" s="440">
        <f t="shared" si="30"/>
        <v>-1.5954817156297207E-2</v>
      </c>
      <c r="L437" s="436">
        <v>41085</v>
      </c>
      <c r="M437" s="738">
        <v>84.25</v>
      </c>
      <c r="N437" s="115">
        <f t="shared" si="33"/>
        <v>-1.288810779144689E-2</v>
      </c>
      <c r="O437" s="1121">
        <f t="shared" si="32"/>
        <v>-1.2900021680335778E-2</v>
      </c>
      <c r="P437" s="1122"/>
    </row>
    <row r="438" spans="6:16">
      <c r="F438" s="1121">
        <f t="shared" si="31"/>
        <v>4.7607926239144815E-3</v>
      </c>
      <c r="G438" s="1122"/>
      <c r="H438" s="436">
        <v>41086</v>
      </c>
      <c r="I438" s="738">
        <v>1319.99</v>
      </c>
      <c r="J438" s="440">
        <f t="shared" si="30"/>
        <v>4.7727065128033708E-3</v>
      </c>
      <c r="L438" s="436">
        <v>41086</v>
      </c>
      <c r="M438" s="738">
        <v>83.38</v>
      </c>
      <c r="N438" s="115">
        <f t="shared" si="33"/>
        <v>-1.0326409495548972E-2</v>
      </c>
      <c r="O438" s="1121">
        <f t="shared" si="32"/>
        <v>-1.033832338443786E-2</v>
      </c>
      <c r="P438" s="1122"/>
    </row>
    <row r="439" spans="6:16">
      <c r="F439" s="1121">
        <f t="shared" si="31"/>
        <v>8.9730026635091928E-3</v>
      </c>
      <c r="G439" s="1122"/>
      <c r="H439" s="436">
        <v>41087</v>
      </c>
      <c r="I439" s="738">
        <v>1331.85</v>
      </c>
      <c r="J439" s="440">
        <f t="shared" si="30"/>
        <v>8.9849165523980812E-3</v>
      </c>
      <c r="L439" s="436">
        <v>41087</v>
      </c>
      <c r="M439" s="738">
        <v>84.91</v>
      </c>
      <c r="N439" s="115">
        <f t="shared" si="33"/>
        <v>1.8349724154473446E-2</v>
      </c>
      <c r="O439" s="1121">
        <f t="shared" si="32"/>
        <v>1.8337810265584557E-2</v>
      </c>
      <c r="P439" s="1122"/>
    </row>
    <row r="440" spans="6:16">
      <c r="F440" s="1121">
        <f t="shared" si="31"/>
        <v>-2.1217610939043914E-3</v>
      </c>
      <c r="G440" s="1122"/>
      <c r="H440" s="436">
        <v>41088</v>
      </c>
      <c r="I440" s="738">
        <v>1329.04</v>
      </c>
      <c r="J440" s="440">
        <f t="shared" si="30"/>
        <v>-2.1098472050155026E-3</v>
      </c>
      <c r="L440" s="436">
        <v>41088</v>
      </c>
      <c r="M440" s="738">
        <v>84.53</v>
      </c>
      <c r="N440" s="115">
        <f t="shared" si="33"/>
        <v>-4.4753268166293214E-3</v>
      </c>
      <c r="O440" s="1121">
        <f t="shared" si="32"/>
        <v>-4.4872407055182107E-3</v>
      </c>
      <c r="P440" s="1122"/>
    </row>
    <row r="441" spans="6:16">
      <c r="F441" s="1121">
        <f t="shared" si="31"/>
        <v>2.490832929416064E-2</v>
      </c>
      <c r="G441" s="1122"/>
      <c r="H441" s="436">
        <v>41089</v>
      </c>
      <c r="I441" s="738">
        <v>1362.16</v>
      </c>
      <c r="J441" s="440">
        <f t="shared" si="30"/>
        <v>2.4920243183049529E-2</v>
      </c>
      <c r="L441" s="436">
        <v>41089</v>
      </c>
      <c r="M441" s="738">
        <v>87.08</v>
      </c>
      <c r="N441" s="115">
        <f t="shared" si="33"/>
        <v>3.0166804684727211E-2</v>
      </c>
      <c r="O441" s="1121">
        <f t="shared" si="32"/>
        <v>3.0154890795838322E-2</v>
      </c>
      <c r="P441" s="1122"/>
    </row>
    <row r="442" spans="6:16">
      <c r="F442" s="1121">
        <f t="shared" si="31"/>
        <v>2.4474154116337281E-3</v>
      </c>
      <c r="G442" s="1122"/>
      <c r="H442" s="436">
        <v>41092</v>
      </c>
      <c r="I442" s="738">
        <v>1365.51</v>
      </c>
      <c r="J442" s="440">
        <f t="shared" si="30"/>
        <v>2.4593293005226169E-3</v>
      </c>
      <c r="L442" s="436">
        <v>41092</v>
      </c>
      <c r="M442" s="738">
        <v>87.16</v>
      </c>
      <c r="N442" s="115">
        <f t="shared" si="33"/>
        <v>9.1869545245759632E-4</v>
      </c>
      <c r="O442" s="1121">
        <f t="shared" si="32"/>
        <v>9.0678156356870738E-4</v>
      </c>
      <c r="P442" s="1122"/>
    </row>
    <row r="443" spans="6:16">
      <c r="F443" s="1121">
        <f t="shared" si="31"/>
        <v>6.2201898672168332E-3</v>
      </c>
      <c r="G443" s="1122"/>
      <c r="H443" s="436">
        <v>41093</v>
      </c>
      <c r="I443" s="738">
        <v>1374.02</v>
      </c>
      <c r="J443" s="440">
        <f t="shared" si="30"/>
        <v>6.2321037561057224E-3</v>
      </c>
      <c r="L443" s="436">
        <v>41093</v>
      </c>
      <c r="M443" s="738">
        <v>87.51</v>
      </c>
      <c r="N443" s="115">
        <f t="shared" si="33"/>
        <v>4.0156034878384705E-3</v>
      </c>
      <c r="O443" s="1121">
        <f t="shared" si="32"/>
        <v>4.0036895989495813E-3</v>
      </c>
      <c r="P443" s="1122"/>
    </row>
    <row r="444" spans="6:16">
      <c r="F444" s="1121">
        <f t="shared" si="31"/>
        <v>-1.1913888888888887E-5</v>
      </c>
      <c r="G444" s="1122"/>
      <c r="H444" s="436">
        <v>41094</v>
      </c>
      <c r="I444" s="738">
        <v>1374.02</v>
      </c>
      <c r="J444" s="440">
        <f t="shared" si="30"/>
        <v>0</v>
      </c>
      <c r="L444" s="436">
        <v>41094</v>
      </c>
      <c r="M444" s="738">
        <v>87.51</v>
      </c>
      <c r="N444" s="115">
        <f t="shared" si="33"/>
        <v>0</v>
      </c>
      <c r="O444" s="1121">
        <f t="shared" si="32"/>
        <v>-1.1913888888888887E-5</v>
      </c>
      <c r="P444" s="1122"/>
    </row>
    <row r="445" spans="6:16">
      <c r="F445" s="1121">
        <f t="shared" si="31"/>
        <v>-4.6988907887884979E-3</v>
      </c>
      <c r="G445" s="1122"/>
      <c r="H445" s="436">
        <v>41095</v>
      </c>
      <c r="I445" s="738">
        <v>1367.58</v>
      </c>
      <c r="J445" s="440">
        <f t="shared" si="30"/>
        <v>-4.6869768998996086E-3</v>
      </c>
      <c r="L445" s="436">
        <v>41095</v>
      </c>
      <c r="M445" s="738">
        <v>87</v>
      </c>
      <c r="N445" s="115">
        <f t="shared" si="33"/>
        <v>-5.8279053822420934E-3</v>
      </c>
      <c r="O445" s="1121">
        <f t="shared" si="32"/>
        <v>-5.8398192711309827E-3</v>
      </c>
      <c r="P445" s="1122"/>
    </row>
    <row r="446" spans="6:16">
      <c r="F446" s="1121">
        <f t="shared" si="31"/>
        <v>-9.4446344609943125E-3</v>
      </c>
      <c r="G446" s="1122"/>
      <c r="H446" s="436">
        <v>41096</v>
      </c>
      <c r="I446" s="738">
        <v>1354.68</v>
      </c>
      <c r="J446" s="440">
        <f t="shared" si="30"/>
        <v>-9.4327205721054241E-3</v>
      </c>
      <c r="L446" s="436">
        <v>41096</v>
      </c>
      <c r="M446" s="738">
        <v>86.86</v>
      </c>
      <c r="N446" s="115">
        <f t="shared" si="33"/>
        <v>-1.6091954022988686E-3</v>
      </c>
      <c r="O446" s="1121">
        <f t="shared" si="32"/>
        <v>-1.6211092911877574E-3</v>
      </c>
      <c r="P446" s="1122"/>
    </row>
    <row r="447" spans="6:16">
      <c r="F447" s="1121">
        <f t="shared" si="31"/>
        <v>-1.6506772868869553E-3</v>
      </c>
      <c r="G447" s="1122"/>
      <c r="H447" s="436">
        <v>41099</v>
      </c>
      <c r="I447" s="738">
        <v>1352.46</v>
      </c>
      <c r="J447" s="440">
        <f t="shared" si="30"/>
        <v>-1.6387633979980665E-3</v>
      </c>
      <c r="L447" s="436">
        <v>41099</v>
      </c>
      <c r="M447" s="738">
        <v>87.39</v>
      </c>
      <c r="N447" s="115">
        <f t="shared" si="33"/>
        <v>6.1017729679944122E-3</v>
      </c>
      <c r="O447" s="1121">
        <f t="shared" si="32"/>
        <v>6.0898590791055229E-3</v>
      </c>
      <c r="P447" s="1122"/>
    </row>
    <row r="448" spans="6:16">
      <c r="F448" s="1121">
        <f t="shared" si="31"/>
        <v>-8.1378473730584558E-3</v>
      </c>
      <c r="G448" s="1122"/>
      <c r="H448" s="436">
        <v>41100</v>
      </c>
      <c r="I448" s="738">
        <v>1341.47</v>
      </c>
      <c r="J448" s="440">
        <f t="shared" si="30"/>
        <v>-8.1259334841695674E-3</v>
      </c>
      <c r="L448" s="436">
        <v>41100</v>
      </c>
      <c r="M448" s="738">
        <v>87.02</v>
      </c>
      <c r="N448" s="115">
        <f t="shared" si="33"/>
        <v>-4.2338940382194989E-3</v>
      </c>
      <c r="O448" s="1121">
        <f t="shared" si="32"/>
        <v>-4.2458079271083882E-3</v>
      </c>
      <c r="P448" s="1122"/>
    </row>
    <row r="449" spans="6:16">
      <c r="F449" s="1121">
        <f t="shared" si="31"/>
        <v>-2.6822906608277792E-5</v>
      </c>
      <c r="G449" s="1122"/>
      <c r="H449" s="436">
        <v>41101</v>
      </c>
      <c r="I449" s="738">
        <v>1341.45</v>
      </c>
      <c r="J449" s="440">
        <f t="shared" si="30"/>
        <v>-1.4909017719388906E-5</v>
      </c>
      <c r="L449" s="436">
        <v>41101</v>
      </c>
      <c r="M449" s="738">
        <v>86.84</v>
      </c>
      <c r="N449" s="115">
        <f t="shared" si="33"/>
        <v>-2.0684900022982511E-3</v>
      </c>
      <c r="O449" s="1121">
        <f t="shared" si="32"/>
        <v>-2.0804038911871399E-3</v>
      </c>
      <c r="P449" s="1122"/>
    </row>
    <row r="450" spans="6:16">
      <c r="F450" s="1121">
        <f t="shared" si="31"/>
        <v>-4.999054669387667E-3</v>
      </c>
      <c r="G450" s="1122"/>
      <c r="H450" s="436">
        <v>41102</v>
      </c>
      <c r="I450" s="738">
        <v>1334.76</v>
      </c>
      <c r="J450" s="440">
        <f t="shared" si="30"/>
        <v>-4.9871407804987777E-3</v>
      </c>
      <c r="L450" s="436">
        <v>41102</v>
      </c>
      <c r="M450" s="738">
        <v>86.02</v>
      </c>
      <c r="N450" s="115">
        <f t="shared" si="33"/>
        <v>-9.4426531552280757E-3</v>
      </c>
      <c r="O450" s="1121">
        <f t="shared" si="32"/>
        <v>-9.4545670441169641E-3</v>
      </c>
      <c r="P450" s="1122"/>
    </row>
    <row r="451" spans="6:16">
      <c r="F451" s="1121">
        <f t="shared" si="31"/>
        <v>1.6485433948924537E-2</v>
      </c>
      <c r="G451" s="1122"/>
      <c r="H451" s="436">
        <v>41103</v>
      </c>
      <c r="I451" s="738">
        <v>1356.78</v>
      </c>
      <c r="J451" s="440">
        <f t="shared" si="30"/>
        <v>1.6497347837813425E-2</v>
      </c>
      <c r="L451" s="436">
        <v>41103</v>
      </c>
      <c r="M451" s="738">
        <v>87.25</v>
      </c>
      <c r="N451" s="115">
        <f t="shared" si="33"/>
        <v>1.4299000232504078E-2</v>
      </c>
      <c r="O451" s="1121">
        <f t="shared" si="32"/>
        <v>1.4287086343615189E-2</v>
      </c>
      <c r="P451" s="1122"/>
    </row>
    <row r="452" spans="6:16">
      <c r="F452" s="1121">
        <f t="shared" si="31"/>
        <v>-2.3262168709492566E-3</v>
      </c>
      <c r="G452" s="1122"/>
      <c r="H452" s="436">
        <v>41106</v>
      </c>
      <c r="I452" s="738">
        <v>1353.64</v>
      </c>
      <c r="J452" s="440">
        <f t="shared" si="30"/>
        <v>-2.3143029820603678E-3</v>
      </c>
      <c r="L452" s="436">
        <v>41106</v>
      </c>
      <c r="M452" s="738">
        <v>87.14</v>
      </c>
      <c r="N452" s="115">
        <f t="shared" si="33"/>
        <v>-1.2607449856733011E-3</v>
      </c>
      <c r="O452" s="1121">
        <f t="shared" si="32"/>
        <v>-1.2726588745621899E-3</v>
      </c>
      <c r="P452" s="1122"/>
    </row>
    <row r="453" spans="6:16">
      <c r="F453" s="1121">
        <f t="shared" si="31"/>
        <v>7.3977371261520963E-3</v>
      </c>
      <c r="G453" s="1122"/>
      <c r="H453" s="436">
        <v>41107</v>
      </c>
      <c r="I453" s="738">
        <v>1363.67</v>
      </c>
      <c r="J453" s="440">
        <f t="shared" si="30"/>
        <v>7.4096510150409856E-3</v>
      </c>
      <c r="L453" s="436">
        <v>41107</v>
      </c>
      <c r="M453" s="738">
        <v>87.43</v>
      </c>
      <c r="N453" s="115">
        <f t="shared" si="33"/>
        <v>3.3279779664907583E-3</v>
      </c>
      <c r="O453" s="1121">
        <f t="shared" si="32"/>
        <v>3.3160640776018695E-3</v>
      </c>
      <c r="P453" s="1122"/>
    </row>
    <row r="454" spans="6:16">
      <c r="F454" s="1121">
        <f t="shared" si="31"/>
        <v>6.6685879920645929E-3</v>
      </c>
      <c r="G454" s="1122"/>
      <c r="H454" s="436">
        <v>41108</v>
      </c>
      <c r="I454" s="738">
        <v>1372.78</v>
      </c>
      <c r="J454" s="440">
        <f t="shared" si="30"/>
        <v>6.6805018809534822E-3</v>
      </c>
      <c r="L454" s="436">
        <v>41108</v>
      </c>
      <c r="M454" s="738">
        <v>88.6</v>
      </c>
      <c r="N454" s="115">
        <f t="shared" si="33"/>
        <v>1.3382134278851598E-2</v>
      </c>
      <c r="O454" s="1121">
        <f t="shared" si="32"/>
        <v>1.337022038996271E-2</v>
      </c>
      <c r="P454" s="1122"/>
    </row>
    <row r="455" spans="6:16">
      <c r="F455" s="1121">
        <f t="shared" si="31"/>
        <v>2.7052002881825447E-3</v>
      </c>
      <c r="G455" s="1122"/>
      <c r="H455" s="436">
        <v>41109</v>
      </c>
      <c r="I455" s="738">
        <v>1376.51</v>
      </c>
      <c r="J455" s="440">
        <f t="shared" si="30"/>
        <v>2.7171141770714335E-3</v>
      </c>
      <c r="L455" s="436">
        <v>41109</v>
      </c>
      <c r="M455" s="738">
        <v>88.51</v>
      </c>
      <c r="N455" s="115">
        <f t="shared" si="33"/>
        <v>-1.015801354401713E-3</v>
      </c>
      <c r="O455" s="1121">
        <f t="shared" si="32"/>
        <v>-1.0277152432906019E-3</v>
      </c>
      <c r="P455" s="1122"/>
    </row>
    <row r="456" spans="6:16">
      <c r="F456" s="1121">
        <f t="shared" si="31"/>
        <v>-1.0073591610082262E-2</v>
      </c>
      <c r="G456" s="1122"/>
      <c r="H456" s="436">
        <v>41110</v>
      </c>
      <c r="I456" s="738">
        <v>1362.66</v>
      </c>
      <c r="J456" s="440">
        <f t="shared" si="30"/>
        <v>-1.0061677721193374E-2</v>
      </c>
      <c r="L456" s="436">
        <v>41110</v>
      </c>
      <c r="M456" s="738">
        <v>87.71</v>
      </c>
      <c r="N456" s="115">
        <f t="shared" si="33"/>
        <v>-9.0385267201447128E-3</v>
      </c>
      <c r="O456" s="1121">
        <f t="shared" si="32"/>
        <v>-9.0504406090336012E-3</v>
      </c>
      <c r="P456" s="1122"/>
    </row>
    <row r="457" spans="6:16">
      <c r="F457" s="1121">
        <f t="shared" si="31"/>
        <v>-8.9209594321646504E-3</v>
      </c>
      <c r="G457" s="1122"/>
      <c r="H457" s="436">
        <v>41113</v>
      </c>
      <c r="I457" s="738">
        <v>1350.52</v>
      </c>
      <c r="J457" s="440">
        <f t="shared" si="30"/>
        <v>-8.909045543275762E-3</v>
      </c>
      <c r="L457" s="436">
        <v>41113</v>
      </c>
      <c r="M457" s="738">
        <v>86.91</v>
      </c>
      <c r="N457" s="115">
        <f t="shared" si="33"/>
        <v>-9.1209668224832008E-3</v>
      </c>
      <c r="O457" s="1121">
        <f t="shared" si="32"/>
        <v>-9.1328807113720892E-3</v>
      </c>
      <c r="P457" s="1122"/>
    </row>
    <row r="458" spans="6:16">
      <c r="F458" s="1121">
        <f t="shared" si="31"/>
        <v>-9.0528758887111829E-3</v>
      </c>
      <c r="G458" s="1122"/>
      <c r="H458" s="436">
        <v>41114</v>
      </c>
      <c r="I458" s="738">
        <v>1338.31</v>
      </c>
      <c r="J458" s="440">
        <f t="shared" si="30"/>
        <v>-9.0409619998222945E-3</v>
      </c>
      <c r="L458" s="436">
        <v>41114</v>
      </c>
      <c r="M458" s="738">
        <v>87.79</v>
      </c>
      <c r="N458" s="115">
        <f t="shared" si="33"/>
        <v>1.0125417098147516E-2</v>
      </c>
      <c r="O458" s="1121">
        <f t="shared" si="32"/>
        <v>1.0113503209258627E-2</v>
      </c>
      <c r="P458" s="1122"/>
    </row>
    <row r="459" spans="6:16">
      <c r="F459" s="1121">
        <f t="shared" si="31"/>
        <v>-3.2574252351003828E-4</v>
      </c>
      <c r="G459" s="1122"/>
      <c r="H459" s="436">
        <v>41115</v>
      </c>
      <c r="I459" s="738">
        <v>1337.89</v>
      </c>
      <c r="J459" s="440">
        <f t="shared" si="30"/>
        <v>-3.138286346211494E-4</v>
      </c>
      <c r="L459" s="436">
        <v>41115</v>
      </c>
      <c r="M459" s="738">
        <v>87.68</v>
      </c>
      <c r="N459" s="115">
        <f t="shared" si="33"/>
        <v>-1.2529900899874713E-3</v>
      </c>
      <c r="O459" s="1121">
        <f t="shared" si="32"/>
        <v>-1.2649039788763601E-3</v>
      </c>
      <c r="P459" s="1122"/>
    </row>
    <row r="460" spans="6:16">
      <c r="F460" s="1121">
        <f t="shared" si="31"/>
        <v>1.6529057341929769E-2</v>
      </c>
      <c r="G460" s="1122"/>
      <c r="H460" s="436">
        <v>41116</v>
      </c>
      <c r="I460" s="738">
        <v>1360.02</v>
      </c>
      <c r="J460" s="440">
        <f t="shared" si="30"/>
        <v>1.6540971230818657E-2</v>
      </c>
      <c r="L460" s="436">
        <v>41116</v>
      </c>
      <c r="M460" s="738">
        <v>88.55</v>
      </c>
      <c r="N460" s="115">
        <f t="shared" si="33"/>
        <v>9.9224452554742548E-3</v>
      </c>
      <c r="O460" s="1121">
        <f t="shared" si="32"/>
        <v>9.9105313665853664E-3</v>
      </c>
      <c r="P460" s="1122"/>
    </row>
    <row r="461" spans="6:16">
      <c r="F461" s="1121">
        <f t="shared" si="31"/>
        <v>1.9068687866967575E-2</v>
      </c>
      <c r="G461" s="1122"/>
      <c r="H461" s="436">
        <v>41117</v>
      </c>
      <c r="I461" s="738">
        <v>1385.97</v>
      </c>
      <c r="J461" s="440">
        <f t="shared" si="30"/>
        <v>1.9080601755856463E-2</v>
      </c>
      <c r="L461" s="436">
        <v>41117</v>
      </c>
      <c r="M461" s="738">
        <v>90.2</v>
      </c>
      <c r="N461" s="115">
        <f t="shared" si="33"/>
        <v>1.8633540372670954E-2</v>
      </c>
      <c r="O461" s="1121">
        <f t="shared" si="32"/>
        <v>1.8621626483782065E-2</v>
      </c>
      <c r="P461" s="1122"/>
    </row>
    <row r="462" spans="6:16">
      <c r="F462" s="1121">
        <f t="shared" si="31"/>
        <v>-4.9532983584311323E-4</v>
      </c>
      <c r="G462" s="1122"/>
      <c r="H462" s="436">
        <v>41120</v>
      </c>
      <c r="I462" s="738">
        <v>1385.3</v>
      </c>
      <c r="J462" s="440">
        <f t="shared" si="30"/>
        <v>-4.834159469542243E-4</v>
      </c>
      <c r="L462" s="436">
        <v>41120</v>
      </c>
      <c r="M462" s="738">
        <v>89.08</v>
      </c>
      <c r="N462" s="115">
        <f t="shared" si="33"/>
        <v>-1.2416851441241716E-2</v>
      </c>
      <c r="O462" s="1121">
        <f t="shared" si="32"/>
        <v>-1.2428765330130605E-2</v>
      </c>
      <c r="P462" s="1122"/>
    </row>
    <row r="463" spans="6:16">
      <c r="F463" s="1121">
        <f t="shared" si="31"/>
        <v>-4.3286683825003525E-3</v>
      </c>
      <c r="G463" s="1122"/>
      <c r="H463" s="436">
        <v>41121</v>
      </c>
      <c r="I463" s="738">
        <v>1379.32</v>
      </c>
      <c r="J463" s="440">
        <f t="shared" si="30"/>
        <v>-4.3167544936114632E-3</v>
      </c>
      <c r="L463" s="436">
        <v>41121</v>
      </c>
      <c r="M463" s="738">
        <v>89.27</v>
      </c>
      <c r="N463" s="115">
        <f t="shared" si="33"/>
        <v>2.1329142343959884E-3</v>
      </c>
      <c r="O463" s="1121">
        <f t="shared" si="32"/>
        <v>2.1210003455070995E-3</v>
      </c>
      <c r="P463" s="1122"/>
    </row>
    <row r="464" spans="6:16">
      <c r="F464" s="1121">
        <f t="shared" si="31"/>
        <v>-3.042392675537305E-3</v>
      </c>
      <c r="G464" s="1122"/>
      <c r="H464" s="436">
        <v>41122</v>
      </c>
      <c r="I464" s="738">
        <v>1375.14</v>
      </c>
      <c r="J464" s="440">
        <f t="shared" si="30"/>
        <v>-3.0304787866484162E-3</v>
      </c>
      <c r="L464" s="436">
        <v>41122</v>
      </c>
      <c r="M464" s="738">
        <v>88.96</v>
      </c>
      <c r="N464" s="115">
        <f t="shared" si="33"/>
        <v>-3.4726111795676529E-3</v>
      </c>
      <c r="O464" s="1121">
        <f t="shared" si="32"/>
        <v>-3.4845250684565417E-3</v>
      </c>
      <c r="P464" s="1122"/>
    </row>
    <row r="465" spans="6:16">
      <c r="F465" s="1121">
        <f t="shared" si="31"/>
        <v>-7.3857085570682235E-3</v>
      </c>
      <c r="G465" s="1122"/>
      <c r="H465" s="436">
        <v>41123</v>
      </c>
      <c r="I465" s="738">
        <v>1365</v>
      </c>
      <c r="J465" s="440">
        <f t="shared" si="30"/>
        <v>-7.3737946681793343E-3</v>
      </c>
      <c r="L465" s="436">
        <v>41123</v>
      </c>
      <c r="M465" s="738">
        <v>88.45</v>
      </c>
      <c r="N465" s="115">
        <f t="shared" si="33"/>
        <v>-5.7329136690646987E-3</v>
      </c>
      <c r="O465" s="1121">
        <f t="shared" si="32"/>
        <v>-5.7448275579535879E-3</v>
      </c>
      <c r="P465" s="1122"/>
    </row>
    <row r="466" spans="6:16">
      <c r="F466" s="1121">
        <f t="shared" si="31"/>
        <v>1.90283791514042E-2</v>
      </c>
      <c r="G466" s="1122"/>
      <c r="H466" s="436">
        <v>41124</v>
      </c>
      <c r="I466" s="738">
        <v>1390.99</v>
      </c>
      <c r="J466" s="440">
        <f t="shared" si="30"/>
        <v>1.9040293040293088E-2</v>
      </c>
      <c r="L466" s="436">
        <v>41124</v>
      </c>
      <c r="M466" s="738">
        <v>89.39</v>
      </c>
      <c r="N466" s="115">
        <f t="shared" si="33"/>
        <v>1.0627473148671518E-2</v>
      </c>
      <c r="O466" s="1121">
        <f t="shared" si="32"/>
        <v>1.061555925978263E-2</v>
      </c>
      <c r="P466" s="1122"/>
    </row>
    <row r="467" spans="6:16">
      <c r="F467" s="1121">
        <f t="shared" si="31"/>
        <v>2.317362381968661E-3</v>
      </c>
      <c r="G467" s="1122"/>
      <c r="H467" s="436">
        <v>41127</v>
      </c>
      <c r="I467" s="738">
        <v>1394.23</v>
      </c>
      <c r="J467" s="440">
        <f t="shared" si="30"/>
        <v>2.3292762708575498E-3</v>
      </c>
      <c r="L467" s="436">
        <v>41127</v>
      </c>
      <c r="M467" s="738">
        <v>88.99</v>
      </c>
      <c r="N467" s="115">
        <f t="shared" si="33"/>
        <v>-4.4747734645934623E-3</v>
      </c>
      <c r="O467" s="1121">
        <f t="shared" si="32"/>
        <v>-4.4866873534823515E-3</v>
      </c>
      <c r="P467" s="1122"/>
    </row>
    <row r="468" spans="6:16">
      <c r="F468" s="1121">
        <f t="shared" si="31"/>
        <v>5.0948475493243139E-3</v>
      </c>
      <c r="G468" s="1122"/>
      <c r="H468" s="436">
        <v>41128</v>
      </c>
      <c r="I468" s="738">
        <v>1401.35</v>
      </c>
      <c r="J468" s="440">
        <f t="shared" si="30"/>
        <v>5.1067614382132032E-3</v>
      </c>
      <c r="L468" s="436">
        <v>41128</v>
      </c>
      <c r="M468" s="738">
        <v>90.32</v>
      </c>
      <c r="N468" s="115">
        <f t="shared" si="33"/>
        <v>1.4945499494325221E-2</v>
      </c>
      <c r="O468" s="1121">
        <f t="shared" si="32"/>
        <v>1.4933585605436332E-2</v>
      </c>
      <c r="P468" s="1122"/>
    </row>
    <row r="469" spans="6:16">
      <c r="F469" s="1121">
        <f t="shared" si="31"/>
        <v>6.0891602512268912E-4</v>
      </c>
      <c r="G469" s="1122"/>
      <c r="H469" s="436">
        <v>41129</v>
      </c>
      <c r="I469" s="738">
        <v>1402.22</v>
      </c>
      <c r="J469" s="440">
        <f t="shared" si="30"/>
        <v>6.2082991401157805E-4</v>
      </c>
      <c r="L469" s="436">
        <v>41129</v>
      </c>
      <c r="M469" s="738">
        <v>90.89</v>
      </c>
      <c r="N469" s="115">
        <f t="shared" si="33"/>
        <v>6.3108945969885255E-3</v>
      </c>
      <c r="O469" s="1121">
        <f t="shared" si="32"/>
        <v>6.2989807080996362E-3</v>
      </c>
      <c r="P469" s="1122"/>
    </row>
    <row r="470" spans="6:16">
      <c r="F470" s="1121">
        <f t="shared" si="31"/>
        <v>4.0171592668924262E-4</v>
      </c>
      <c r="G470" s="1122"/>
      <c r="H470" s="436">
        <v>41130</v>
      </c>
      <c r="I470" s="738">
        <v>1402.8</v>
      </c>
      <c r="J470" s="440">
        <f t="shared" si="30"/>
        <v>4.136298155781315E-4</v>
      </c>
      <c r="L470" s="436">
        <v>41130</v>
      </c>
      <c r="M470" s="738">
        <v>90.54</v>
      </c>
      <c r="N470" s="115">
        <f t="shared" si="33"/>
        <v>-3.8508086698205712E-3</v>
      </c>
      <c r="O470" s="1121">
        <f t="shared" si="32"/>
        <v>-3.8627225587094601E-3</v>
      </c>
      <c r="P470" s="1122"/>
    </row>
    <row r="471" spans="6:16">
      <c r="F471" s="1121">
        <f t="shared" si="31"/>
        <v>2.1765662936031808E-3</v>
      </c>
      <c r="G471" s="1122"/>
      <c r="H471" s="436">
        <v>41131</v>
      </c>
      <c r="I471" s="738">
        <v>1405.87</v>
      </c>
      <c r="J471" s="440">
        <f t="shared" si="30"/>
        <v>2.1884801824920697E-3</v>
      </c>
      <c r="L471" s="436">
        <v>41131</v>
      </c>
      <c r="M471" s="738">
        <v>91.03</v>
      </c>
      <c r="N471" s="115">
        <f t="shared" si="33"/>
        <v>5.4119726087915598E-3</v>
      </c>
      <c r="O471" s="1121">
        <f t="shared" si="32"/>
        <v>5.4000587199026706E-3</v>
      </c>
      <c r="P471" s="1122"/>
    </row>
    <row r="472" spans="6:16">
      <c r="F472" s="1121">
        <f t="shared" si="31"/>
        <v>-1.2638077339812777E-3</v>
      </c>
      <c r="G472" s="1122"/>
      <c r="H472" s="436">
        <v>41134</v>
      </c>
      <c r="I472" s="738">
        <v>1404.11</v>
      </c>
      <c r="J472" s="440">
        <f t="shared" si="30"/>
        <v>-1.2518938450923889E-3</v>
      </c>
      <c r="L472" s="436">
        <v>41134</v>
      </c>
      <c r="M472" s="738">
        <v>91.12</v>
      </c>
      <c r="N472" s="115">
        <f t="shared" si="33"/>
        <v>9.886850488849408E-4</v>
      </c>
      <c r="O472" s="1121">
        <f t="shared" si="32"/>
        <v>9.7677115999605197E-4</v>
      </c>
      <c r="P472" s="1122"/>
    </row>
    <row r="473" spans="6:16">
      <c r="F473" s="1121">
        <f t="shared" si="31"/>
        <v>-1.4010897331951565E-4</v>
      </c>
      <c r="G473" s="1122"/>
      <c r="H473" s="436">
        <v>41135</v>
      </c>
      <c r="I473" s="738">
        <v>1403.93</v>
      </c>
      <c r="J473" s="440">
        <f t="shared" si="30"/>
        <v>-1.2819508443062677E-4</v>
      </c>
      <c r="L473" s="436">
        <v>41135</v>
      </c>
      <c r="M473" s="738">
        <v>91.35</v>
      </c>
      <c r="N473" s="115">
        <f t="shared" si="33"/>
        <v>2.524143985952465E-3</v>
      </c>
      <c r="O473" s="1121">
        <f t="shared" si="32"/>
        <v>2.5122300970635762E-3</v>
      </c>
      <c r="P473" s="1122"/>
    </row>
    <row r="474" spans="6:16">
      <c r="F474" s="1121">
        <f t="shared" si="31"/>
        <v>1.1277440712656943E-3</v>
      </c>
      <c r="G474" s="1122"/>
      <c r="H474" s="436">
        <v>41136</v>
      </c>
      <c r="I474" s="738">
        <v>1405.53</v>
      </c>
      <c r="J474" s="440">
        <f t="shared" si="30"/>
        <v>1.1396579601545831E-3</v>
      </c>
      <c r="L474" s="436">
        <v>41136</v>
      </c>
      <c r="M474" s="738">
        <v>91.51</v>
      </c>
      <c r="N474" s="115">
        <f t="shared" si="33"/>
        <v>1.7515051997811781E-3</v>
      </c>
      <c r="O474" s="1121">
        <f t="shared" si="32"/>
        <v>1.7395913108922893E-3</v>
      </c>
      <c r="P474" s="1122"/>
    </row>
    <row r="475" spans="6:16">
      <c r="F475" s="1121">
        <f t="shared" si="31"/>
        <v>7.0886104684709716E-3</v>
      </c>
      <c r="G475" s="1122"/>
      <c r="H475" s="436">
        <v>41137</v>
      </c>
      <c r="I475" s="738">
        <v>1415.51</v>
      </c>
      <c r="J475" s="440">
        <f t="shared" si="30"/>
        <v>7.1005243573598609E-3</v>
      </c>
      <c r="L475" s="436">
        <v>41137</v>
      </c>
      <c r="M475" s="738">
        <v>92.05</v>
      </c>
      <c r="N475" s="115">
        <f t="shared" si="33"/>
        <v>5.9009944268384462E-3</v>
      </c>
      <c r="O475" s="1121">
        <f t="shared" si="32"/>
        <v>5.889080537949557E-3</v>
      </c>
      <c r="P475" s="1122"/>
    </row>
    <row r="476" spans="6:16">
      <c r="F476" s="1121">
        <f t="shared" si="31"/>
        <v>1.8602028746804648E-3</v>
      </c>
      <c r="G476" s="1122"/>
      <c r="H476" s="436">
        <v>41138</v>
      </c>
      <c r="I476" s="738">
        <v>1418.16</v>
      </c>
      <c r="J476" s="440">
        <f t="shared" si="30"/>
        <v>1.8721167635693536E-3</v>
      </c>
      <c r="L476" s="436">
        <v>41138</v>
      </c>
      <c r="M476" s="738">
        <v>92.4</v>
      </c>
      <c r="N476" s="115">
        <f t="shared" si="33"/>
        <v>3.8022813688214363E-3</v>
      </c>
      <c r="O476" s="1121">
        <f t="shared" si="32"/>
        <v>3.7903674799325475E-3</v>
      </c>
      <c r="P476" s="1122"/>
    </row>
    <row r="477" spans="6:16">
      <c r="F477" s="1121">
        <f t="shared" si="31"/>
        <v>-3.3068060491533097E-5</v>
      </c>
      <c r="G477" s="1122"/>
      <c r="H477" s="436">
        <v>41141</v>
      </c>
      <c r="I477" s="738">
        <v>1418.13</v>
      </c>
      <c r="J477" s="440">
        <f t="shared" ref="J477:J540" si="34">I477/I476-1</f>
        <v>-2.1154171602644212E-5</v>
      </c>
      <c r="L477" s="436">
        <v>41141</v>
      </c>
      <c r="M477" s="738">
        <v>93.32</v>
      </c>
      <c r="N477" s="115">
        <f t="shared" si="33"/>
        <v>9.9567099567097195E-3</v>
      </c>
      <c r="O477" s="1121">
        <f t="shared" si="32"/>
        <v>9.9447960678208311E-3</v>
      </c>
      <c r="P477" s="1122"/>
    </row>
    <row r="478" spans="6:16">
      <c r="F478" s="1121">
        <f t="shared" ref="F478:F541" si="35">J478-$I$19</f>
        <v>-3.5094775819213349E-3</v>
      </c>
      <c r="G478" s="1122"/>
      <c r="H478" s="436">
        <v>41142</v>
      </c>
      <c r="I478" s="738">
        <v>1413.17</v>
      </c>
      <c r="J478" s="440">
        <f t="shared" si="34"/>
        <v>-3.4975636930324461E-3</v>
      </c>
      <c r="L478" s="436">
        <v>41142</v>
      </c>
      <c r="M478" s="738">
        <v>93.8</v>
      </c>
      <c r="N478" s="115">
        <f t="shared" si="33"/>
        <v>5.1435919417059939E-3</v>
      </c>
      <c r="O478" s="1121">
        <f t="shared" ref="O478:O541" si="36">N478-$I$19</f>
        <v>5.1316780528171046E-3</v>
      </c>
      <c r="P478" s="1122"/>
    </row>
    <row r="479" spans="6:16">
      <c r="F479" s="1121">
        <f t="shared" si="35"/>
        <v>2.1452737437021398E-4</v>
      </c>
      <c r="G479" s="1122"/>
      <c r="H479" s="436">
        <v>41143</v>
      </c>
      <c r="I479" s="738">
        <v>1413.49</v>
      </c>
      <c r="J479" s="440">
        <f t="shared" si="34"/>
        <v>2.2644126325910285E-4</v>
      </c>
      <c r="L479" s="436">
        <v>41143</v>
      </c>
      <c r="M479" s="738">
        <v>93.03</v>
      </c>
      <c r="N479" s="115">
        <f t="shared" si="33"/>
        <v>-8.208955223880543E-3</v>
      </c>
      <c r="O479" s="1121">
        <f t="shared" si="36"/>
        <v>-8.2208691127694314E-3</v>
      </c>
      <c r="P479" s="1122"/>
    </row>
    <row r="480" spans="6:16">
      <c r="F480" s="1121">
        <f t="shared" si="35"/>
        <v>-8.0841322986406963E-3</v>
      </c>
      <c r="G480" s="1122"/>
      <c r="H480" s="436">
        <v>41144</v>
      </c>
      <c r="I480" s="738">
        <v>1402.08</v>
      </c>
      <c r="J480" s="440">
        <f t="shared" si="34"/>
        <v>-8.0722184097518079E-3</v>
      </c>
      <c r="L480" s="436">
        <v>41144</v>
      </c>
      <c r="M480" s="738">
        <v>92.2</v>
      </c>
      <c r="N480" s="115">
        <f t="shared" si="33"/>
        <v>-8.9218531656454214E-3</v>
      </c>
      <c r="O480" s="1121">
        <f t="shared" si="36"/>
        <v>-8.9337670545343098E-3</v>
      </c>
      <c r="P480" s="1122"/>
    </row>
    <row r="481" spans="6:16">
      <c r="F481" s="1121">
        <f t="shared" si="35"/>
        <v>6.44278199151748E-3</v>
      </c>
      <c r="G481" s="1122"/>
      <c r="H481" s="436">
        <v>41145</v>
      </c>
      <c r="I481" s="738">
        <v>1411.13</v>
      </c>
      <c r="J481" s="440">
        <f t="shared" si="34"/>
        <v>6.4546958804063692E-3</v>
      </c>
      <c r="L481" s="436">
        <v>41145</v>
      </c>
      <c r="M481" s="738">
        <v>92.45</v>
      </c>
      <c r="N481" s="115">
        <f t="shared" si="33"/>
        <v>2.7114967462038564E-3</v>
      </c>
      <c r="O481" s="1121">
        <f t="shared" si="36"/>
        <v>2.6995828573149676E-3</v>
      </c>
      <c r="P481" s="1122"/>
    </row>
    <row r="482" spans="6:16">
      <c r="F482" s="1121">
        <f t="shared" si="35"/>
        <v>-5.0088372157620269E-4</v>
      </c>
      <c r="G482" s="1122"/>
      <c r="H482" s="436">
        <v>41148</v>
      </c>
      <c r="I482" s="738">
        <v>1410.44</v>
      </c>
      <c r="J482" s="440">
        <f t="shared" si="34"/>
        <v>-4.8896983268731375E-4</v>
      </c>
      <c r="L482" s="436">
        <v>41148</v>
      </c>
      <c r="M482" s="738">
        <v>92.28</v>
      </c>
      <c r="N482" s="115">
        <f t="shared" si="33"/>
        <v>-1.8388318009735505E-3</v>
      </c>
      <c r="O482" s="1121">
        <f t="shared" si="36"/>
        <v>-1.8507456898624393E-3</v>
      </c>
      <c r="P482" s="1122"/>
    </row>
    <row r="483" spans="6:16">
      <c r="F483" s="1121">
        <f t="shared" si="35"/>
        <v>-8.2017230470244533E-4</v>
      </c>
      <c r="G483" s="1122"/>
      <c r="H483" s="436">
        <v>41149</v>
      </c>
      <c r="I483" s="738">
        <v>1409.3</v>
      </c>
      <c r="J483" s="440">
        <f t="shared" si="34"/>
        <v>-8.082584158135564E-4</v>
      </c>
      <c r="L483" s="436">
        <v>41149</v>
      </c>
      <c r="M483" s="738">
        <v>92.48</v>
      </c>
      <c r="N483" s="115">
        <f t="shared" si="33"/>
        <v>2.1673168617251104E-3</v>
      </c>
      <c r="O483" s="1121">
        <f t="shared" si="36"/>
        <v>2.1554029728362216E-3</v>
      </c>
      <c r="P483" s="1122"/>
    </row>
    <row r="484" spans="6:16">
      <c r="F484" s="1121">
        <f t="shared" si="35"/>
        <v>8.3247694343923458E-4</v>
      </c>
      <c r="G484" s="1122"/>
      <c r="H484" s="436">
        <v>41150</v>
      </c>
      <c r="I484" s="738">
        <v>1410.49</v>
      </c>
      <c r="J484" s="440">
        <f t="shared" si="34"/>
        <v>8.4439083232812351E-4</v>
      </c>
      <c r="L484" s="436">
        <v>41150</v>
      </c>
      <c r="M484" s="738">
        <v>91.92</v>
      </c>
      <c r="N484" s="115">
        <f t="shared" si="33"/>
        <v>-6.0553633217993452E-3</v>
      </c>
      <c r="O484" s="1121">
        <f t="shared" si="36"/>
        <v>-6.0672772106882345E-3</v>
      </c>
      <c r="P484" s="1122"/>
    </row>
    <row r="485" spans="6:16">
      <c r="F485" s="1121">
        <f t="shared" si="35"/>
        <v>-7.8177118739862841E-3</v>
      </c>
      <c r="G485" s="1122"/>
      <c r="H485" s="436">
        <v>41151</v>
      </c>
      <c r="I485" s="738">
        <v>1399.48</v>
      </c>
      <c r="J485" s="440">
        <f t="shared" si="34"/>
        <v>-7.8057979850973958E-3</v>
      </c>
      <c r="L485" s="436">
        <v>41151</v>
      </c>
      <c r="M485" s="738">
        <v>90.93</v>
      </c>
      <c r="N485" s="115">
        <f t="shared" si="33"/>
        <v>-1.0770234986945071E-2</v>
      </c>
      <c r="O485" s="1121">
        <f t="shared" si="36"/>
        <v>-1.0782148875833959E-2</v>
      </c>
      <c r="P485" s="1122"/>
    </row>
    <row r="486" spans="6:16">
      <c r="F486" s="1121">
        <f t="shared" si="35"/>
        <v>5.0613990559190613E-3</v>
      </c>
      <c r="G486" s="1122"/>
      <c r="H486" s="436">
        <v>41152</v>
      </c>
      <c r="I486" s="738">
        <v>1406.58</v>
      </c>
      <c r="J486" s="440">
        <f t="shared" si="34"/>
        <v>5.0733129448079506E-3</v>
      </c>
      <c r="L486" s="436">
        <v>41152</v>
      </c>
      <c r="M486" s="738">
        <v>91.14</v>
      </c>
      <c r="N486" s="115">
        <f t="shared" si="33"/>
        <v>2.3094688221707571E-3</v>
      </c>
      <c r="O486" s="1121">
        <f t="shared" si="36"/>
        <v>2.2975549332818683E-3</v>
      </c>
      <c r="P486" s="1122"/>
    </row>
    <row r="487" spans="6:16">
      <c r="F487" s="1121">
        <f t="shared" si="35"/>
        <v>-1.1913888888888887E-5</v>
      </c>
      <c r="G487" s="1122"/>
      <c r="H487" s="436">
        <v>41155</v>
      </c>
      <c r="I487" s="738">
        <v>1406.58</v>
      </c>
      <c r="J487" s="440">
        <f t="shared" si="34"/>
        <v>0</v>
      </c>
      <c r="L487" s="436">
        <v>41155</v>
      </c>
      <c r="M487" s="738">
        <v>91.14</v>
      </c>
      <c r="N487" s="115">
        <f t="shared" si="33"/>
        <v>0</v>
      </c>
      <c r="O487" s="1121">
        <f t="shared" si="36"/>
        <v>-1.1913888888888887E-5</v>
      </c>
      <c r="P487" s="1122"/>
    </row>
    <row r="488" spans="6:16">
      <c r="F488" s="1121">
        <f t="shared" si="35"/>
        <v>-1.1778625018364981E-3</v>
      </c>
      <c r="G488" s="1122"/>
      <c r="H488" s="436">
        <v>41156</v>
      </c>
      <c r="I488" s="738">
        <v>1404.94</v>
      </c>
      <c r="J488" s="440">
        <f t="shared" si="34"/>
        <v>-1.1659486129476093E-3</v>
      </c>
      <c r="L488" s="436">
        <v>41156</v>
      </c>
      <c r="M488" s="738">
        <v>90.53</v>
      </c>
      <c r="N488" s="115">
        <f t="shared" si="33"/>
        <v>-6.6929997805573738E-3</v>
      </c>
      <c r="O488" s="1121">
        <f t="shared" si="36"/>
        <v>-6.704913669446263E-3</v>
      </c>
      <c r="P488" s="1122"/>
    </row>
    <row r="489" spans="6:16">
      <c r="F489" s="1121">
        <f t="shared" si="35"/>
        <v>-1.0795751413267348E-3</v>
      </c>
      <c r="G489" s="1122"/>
      <c r="H489" s="436">
        <v>41157</v>
      </c>
      <c r="I489" s="738">
        <v>1403.44</v>
      </c>
      <c r="J489" s="440">
        <f t="shared" si="34"/>
        <v>-1.0676612524378459E-3</v>
      </c>
      <c r="L489" s="436">
        <v>41157</v>
      </c>
      <c r="M489" s="738">
        <v>91.53</v>
      </c>
      <c r="N489" s="115">
        <f t="shared" si="33"/>
        <v>1.1046062078868824E-2</v>
      </c>
      <c r="O489" s="1121">
        <f t="shared" si="36"/>
        <v>1.1034148189979935E-2</v>
      </c>
      <c r="P489" s="1122"/>
    </row>
    <row r="490" spans="6:16">
      <c r="F490" s="1121">
        <f t="shared" si="35"/>
        <v>2.0423587450676732E-2</v>
      </c>
      <c r="G490" s="1122"/>
      <c r="H490" s="436">
        <v>41158</v>
      </c>
      <c r="I490" s="738">
        <v>1432.12</v>
      </c>
      <c r="J490" s="440">
        <f t="shared" si="34"/>
        <v>2.043550133956562E-2</v>
      </c>
      <c r="L490" s="436">
        <v>41158</v>
      </c>
      <c r="M490" s="738">
        <v>92.83</v>
      </c>
      <c r="N490" s="115">
        <f t="shared" si="33"/>
        <v>1.4202993554025989E-2</v>
      </c>
      <c r="O490" s="1121">
        <f t="shared" si="36"/>
        <v>1.41910796651371E-2</v>
      </c>
      <c r="P490" s="1122"/>
    </row>
    <row r="491" spans="6:16">
      <c r="F491" s="1121">
        <f t="shared" si="35"/>
        <v>4.0380260602775808E-3</v>
      </c>
      <c r="G491" s="1122"/>
      <c r="H491" s="436">
        <v>41159</v>
      </c>
      <c r="I491" s="738">
        <v>1437.92</v>
      </c>
      <c r="J491" s="440">
        <f t="shared" si="34"/>
        <v>4.04993994916647E-3</v>
      </c>
      <c r="L491" s="436">
        <v>41159</v>
      </c>
      <c r="M491" s="738">
        <v>92.18</v>
      </c>
      <c r="N491" s="115">
        <f t="shared" si="33"/>
        <v>-7.0020467521274554E-3</v>
      </c>
      <c r="O491" s="1121">
        <f t="shared" si="36"/>
        <v>-7.0139606410163447E-3</v>
      </c>
      <c r="P491" s="1122"/>
    </row>
    <row r="492" spans="6:16">
      <c r="F492" s="1121">
        <f t="shared" si="35"/>
        <v>-6.1596828885551813E-3</v>
      </c>
      <c r="G492" s="1122"/>
      <c r="H492" s="436">
        <v>41162</v>
      </c>
      <c r="I492" s="738">
        <v>1429.08</v>
      </c>
      <c r="J492" s="440">
        <f t="shared" si="34"/>
        <v>-6.1477689996662921E-3</v>
      </c>
      <c r="L492" s="436">
        <v>41162</v>
      </c>
      <c r="M492" s="738">
        <v>92.03</v>
      </c>
      <c r="N492" s="115">
        <f t="shared" si="33"/>
        <v>-1.6272510305923582E-3</v>
      </c>
      <c r="O492" s="1121">
        <f t="shared" si="36"/>
        <v>-1.639164919481247E-3</v>
      </c>
      <c r="P492" s="1122"/>
    </row>
    <row r="493" spans="6:16">
      <c r="F493" s="1121">
        <f t="shared" si="35"/>
        <v>3.1229700924136831E-3</v>
      </c>
      <c r="G493" s="1122"/>
      <c r="H493" s="436">
        <v>41163</v>
      </c>
      <c r="I493" s="738">
        <v>1433.56</v>
      </c>
      <c r="J493" s="440">
        <f t="shared" si="34"/>
        <v>3.134883981302572E-3</v>
      </c>
      <c r="L493" s="436">
        <v>41163</v>
      </c>
      <c r="M493" s="738">
        <v>92.24</v>
      </c>
      <c r="N493" s="115">
        <f t="shared" si="33"/>
        <v>2.281864609366524E-3</v>
      </c>
      <c r="O493" s="1121">
        <f t="shared" si="36"/>
        <v>2.2699507204776352E-3</v>
      </c>
      <c r="P493" s="1122"/>
    </row>
    <row r="494" spans="6:16">
      <c r="F494" s="1121">
        <f t="shared" si="35"/>
        <v>2.0807784295352387E-3</v>
      </c>
      <c r="G494" s="1122"/>
      <c r="H494" s="436">
        <v>41164</v>
      </c>
      <c r="I494" s="738">
        <v>1436.56</v>
      </c>
      <c r="J494" s="440">
        <f t="shared" si="34"/>
        <v>2.0926923184241275E-3</v>
      </c>
      <c r="L494" s="436">
        <v>41164</v>
      </c>
      <c r="M494" s="738">
        <v>92.42</v>
      </c>
      <c r="N494" s="115">
        <f t="shared" si="33"/>
        <v>1.9514310494364029E-3</v>
      </c>
      <c r="O494" s="1121">
        <f t="shared" si="36"/>
        <v>1.9395171605475141E-3</v>
      </c>
      <c r="P494" s="1122"/>
    </row>
    <row r="495" spans="6:16">
      <c r="F495" s="1121">
        <f t="shared" si="35"/>
        <v>1.6297881733987933E-2</v>
      </c>
      <c r="G495" s="1122"/>
      <c r="H495" s="436">
        <v>41165</v>
      </c>
      <c r="I495" s="738">
        <v>1459.99</v>
      </c>
      <c r="J495" s="440">
        <f t="shared" si="34"/>
        <v>1.6309795622876821E-2</v>
      </c>
      <c r="L495" s="436">
        <v>41165</v>
      </c>
      <c r="M495" s="738">
        <v>93.13</v>
      </c>
      <c r="N495" s="115">
        <f t="shared" si="33"/>
        <v>7.6823198441895446E-3</v>
      </c>
      <c r="O495" s="1121">
        <f t="shared" si="36"/>
        <v>7.6704059553006554E-3</v>
      </c>
      <c r="P495" s="1122"/>
    </row>
    <row r="496" spans="6:16">
      <c r="F496" s="1121">
        <f t="shared" si="35"/>
        <v>3.947017336667461E-3</v>
      </c>
      <c r="G496" s="1122"/>
      <c r="H496" s="436">
        <v>41166</v>
      </c>
      <c r="I496" s="738">
        <v>1465.77</v>
      </c>
      <c r="J496" s="440">
        <f t="shared" si="34"/>
        <v>3.9589312255563502E-3</v>
      </c>
      <c r="L496" s="436">
        <v>41166</v>
      </c>
      <c r="M496" s="738">
        <v>92.52</v>
      </c>
      <c r="N496" s="115">
        <f t="shared" si="33"/>
        <v>-6.5499838934822696E-3</v>
      </c>
      <c r="O496" s="1121">
        <f t="shared" si="36"/>
        <v>-6.5618977823711589E-3</v>
      </c>
      <c r="P496" s="1122"/>
    </row>
    <row r="497" spans="6:16">
      <c r="F497" s="1121">
        <f t="shared" si="35"/>
        <v>-3.136551451398691E-3</v>
      </c>
      <c r="G497" s="1122"/>
      <c r="H497" s="436">
        <v>41169</v>
      </c>
      <c r="I497" s="738">
        <v>1461.19</v>
      </c>
      <c r="J497" s="440">
        <f t="shared" si="34"/>
        <v>-3.1246375625098022E-3</v>
      </c>
      <c r="L497" s="436">
        <v>41169</v>
      </c>
      <c r="M497" s="738">
        <v>92.21</v>
      </c>
      <c r="N497" s="115">
        <f t="shared" ref="N497:N560" si="37">M497/M496-1</f>
        <v>-3.3506268914829107E-3</v>
      </c>
      <c r="O497" s="1121">
        <f t="shared" si="36"/>
        <v>-3.3625407803717995E-3</v>
      </c>
      <c r="P497" s="1122"/>
    </row>
    <row r="498" spans="6:16">
      <c r="F498" s="1121">
        <f t="shared" si="35"/>
        <v>-1.2916926993106277E-3</v>
      </c>
      <c r="G498" s="1122"/>
      <c r="H498" s="436">
        <v>41170</v>
      </c>
      <c r="I498" s="738">
        <v>1459.32</v>
      </c>
      <c r="J498" s="440">
        <f t="shared" si="34"/>
        <v>-1.2797788104217389E-3</v>
      </c>
      <c r="L498" s="436">
        <v>41170</v>
      </c>
      <c r="M498" s="738">
        <v>91.77</v>
      </c>
      <c r="N498" s="115">
        <f t="shared" si="37"/>
        <v>-4.77171673354293E-3</v>
      </c>
      <c r="O498" s="1121">
        <f t="shared" si="36"/>
        <v>-4.7836306224318193E-3</v>
      </c>
      <c r="P498" s="1122"/>
    </row>
    <row r="499" spans="6:16">
      <c r="F499" s="1121">
        <f t="shared" si="35"/>
        <v>1.1735697610303279E-3</v>
      </c>
      <c r="G499" s="1122"/>
      <c r="H499" s="436">
        <v>41171</v>
      </c>
      <c r="I499" s="738">
        <v>1461.05</v>
      </c>
      <c r="J499" s="440">
        <f t="shared" si="34"/>
        <v>1.1854836499192167E-3</v>
      </c>
      <c r="L499" s="436">
        <v>41171</v>
      </c>
      <c r="M499" s="738">
        <v>92.24</v>
      </c>
      <c r="N499" s="115">
        <f t="shared" si="37"/>
        <v>5.1214994006756331E-3</v>
      </c>
      <c r="O499" s="1121">
        <f t="shared" si="36"/>
        <v>5.1095855117867439E-3</v>
      </c>
      <c r="P499" s="1122"/>
    </row>
    <row r="500" spans="6:16">
      <c r="F500" s="1121">
        <f t="shared" si="35"/>
        <v>-5.5262091465802714E-4</v>
      </c>
      <c r="G500" s="1122"/>
      <c r="H500" s="436">
        <v>41172</v>
      </c>
      <c r="I500" s="738">
        <v>1460.26</v>
      </c>
      <c r="J500" s="440">
        <f t="shared" si="34"/>
        <v>-5.4070702576913821E-4</v>
      </c>
      <c r="L500" s="436">
        <v>41172</v>
      </c>
      <c r="M500" s="738">
        <v>91.18</v>
      </c>
      <c r="N500" s="115">
        <f t="shared" si="37"/>
        <v>-1.1491760624457781E-2</v>
      </c>
      <c r="O500" s="1121">
        <f t="shared" si="36"/>
        <v>-1.1503674513346669E-2</v>
      </c>
      <c r="P500" s="1122"/>
    </row>
    <row r="501" spans="6:16">
      <c r="F501" s="1121">
        <f t="shared" si="35"/>
        <v>-8.7242939879724426E-5</v>
      </c>
      <c r="G501" s="1122"/>
      <c r="H501" s="436">
        <v>41173</v>
      </c>
      <c r="I501" s="738">
        <v>1460.15</v>
      </c>
      <c r="J501" s="440">
        <f t="shared" si="34"/>
        <v>-7.5329050990835533E-5</v>
      </c>
      <c r="L501" s="436">
        <v>41173</v>
      </c>
      <c r="M501" s="738">
        <v>91.29</v>
      </c>
      <c r="N501" s="115">
        <f t="shared" si="37"/>
        <v>1.2064049133582166E-3</v>
      </c>
      <c r="O501" s="1121">
        <f t="shared" si="36"/>
        <v>1.1944910244693278E-3</v>
      </c>
      <c r="P501" s="1122"/>
    </row>
    <row r="502" spans="6:16">
      <c r="F502" s="1121">
        <f t="shared" si="35"/>
        <v>-2.2445612196425675E-3</v>
      </c>
      <c r="G502" s="1122"/>
      <c r="H502" s="436">
        <v>41176</v>
      </c>
      <c r="I502" s="738">
        <v>1456.89</v>
      </c>
      <c r="J502" s="440">
        <f t="shared" si="34"/>
        <v>-2.2326473307536787E-3</v>
      </c>
      <c r="L502" s="436">
        <v>41176</v>
      </c>
      <c r="M502" s="738">
        <v>91.04</v>
      </c>
      <c r="N502" s="115">
        <f t="shared" si="37"/>
        <v>-2.738525577828943E-3</v>
      </c>
      <c r="O502" s="1121">
        <f t="shared" si="36"/>
        <v>-2.7504394667178318E-3</v>
      </c>
      <c r="P502" s="1122"/>
    </row>
    <row r="503" spans="6:16">
      <c r="F503" s="1121">
        <f t="shared" si="35"/>
        <v>-1.0513736263948255E-2</v>
      </c>
      <c r="G503" s="1122"/>
      <c r="H503" s="436">
        <v>41177</v>
      </c>
      <c r="I503" s="738">
        <v>1441.59</v>
      </c>
      <c r="J503" s="440">
        <f t="shared" si="34"/>
        <v>-1.0501822375059366E-2</v>
      </c>
      <c r="L503" s="436">
        <v>41177</v>
      </c>
      <c r="M503" s="738">
        <v>91.5</v>
      </c>
      <c r="N503" s="115">
        <f t="shared" si="37"/>
        <v>5.0527240773285964E-3</v>
      </c>
      <c r="O503" s="1121">
        <f t="shared" si="36"/>
        <v>5.0408101884397071E-3</v>
      </c>
      <c r="P503" s="1122"/>
    </row>
    <row r="504" spans="6:16">
      <c r="F504" s="1121">
        <f t="shared" si="35"/>
        <v>-5.7486351480541343E-3</v>
      </c>
      <c r="G504" s="1122"/>
      <c r="H504" s="436">
        <v>41178</v>
      </c>
      <c r="I504" s="738">
        <v>1433.32</v>
      </c>
      <c r="J504" s="440">
        <f t="shared" si="34"/>
        <v>-5.736721259165245E-3</v>
      </c>
      <c r="L504" s="436">
        <v>41178</v>
      </c>
      <c r="M504" s="738">
        <v>91.91</v>
      </c>
      <c r="N504" s="115">
        <f t="shared" si="37"/>
        <v>4.4808743169397758E-3</v>
      </c>
      <c r="O504" s="1121">
        <f t="shared" si="36"/>
        <v>4.4689604280508865E-3</v>
      </c>
      <c r="P504" s="1122"/>
    </row>
    <row r="505" spans="6:16">
      <c r="F505" s="1121">
        <f t="shared" si="35"/>
        <v>9.6370130778736726E-3</v>
      </c>
      <c r="G505" s="1122"/>
      <c r="H505" s="436">
        <v>41179</v>
      </c>
      <c r="I505" s="738">
        <v>1447.15</v>
      </c>
      <c r="J505" s="440">
        <f t="shared" si="34"/>
        <v>9.648926966762561E-3</v>
      </c>
      <c r="L505" s="436">
        <v>41179</v>
      </c>
      <c r="M505" s="738">
        <v>92.46</v>
      </c>
      <c r="N505" s="115">
        <f t="shared" si="37"/>
        <v>5.9841148950059431E-3</v>
      </c>
      <c r="O505" s="1121">
        <f t="shared" si="36"/>
        <v>5.9722010061170538E-3</v>
      </c>
      <c r="P505" s="1122"/>
    </row>
    <row r="506" spans="6:16">
      <c r="F506" s="1121">
        <f t="shared" si="35"/>
        <v>-4.489680533673498E-3</v>
      </c>
      <c r="G506" s="1122"/>
      <c r="H506" s="436">
        <v>41180</v>
      </c>
      <c r="I506" s="738">
        <v>1440.67</v>
      </c>
      <c r="J506" s="440">
        <f t="shared" si="34"/>
        <v>-4.4777666447846087E-3</v>
      </c>
      <c r="L506" s="436">
        <v>41180</v>
      </c>
      <c r="M506" s="738">
        <v>93.38</v>
      </c>
      <c r="N506" s="115">
        <f t="shared" si="37"/>
        <v>9.9502487562188602E-3</v>
      </c>
      <c r="O506" s="1121">
        <f t="shared" si="36"/>
        <v>9.9383348673299718E-3</v>
      </c>
      <c r="P506" s="1122"/>
    </row>
    <row r="507" spans="6:16">
      <c r="F507" s="1121">
        <f t="shared" si="35"/>
        <v>2.6396301843548613E-3</v>
      </c>
      <c r="G507" s="1122"/>
      <c r="H507" s="436">
        <v>41183</v>
      </c>
      <c r="I507" s="738">
        <v>1444.49</v>
      </c>
      <c r="J507" s="440">
        <f t="shared" si="34"/>
        <v>2.6515440732437501E-3</v>
      </c>
      <c r="L507" s="436">
        <v>41183</v>
      </c>
      <c r="M507" s="738">
        <v>93.44</v>
      </c>
      <c r="N507" s="115">
        <f t="shared" si="37"/>
        <v>6.4253587491980291E-4</v>
      </c>
      <c r="O507" s="1121">
        <f t="shared" si="36"/>
        <v>6.3062198603091397E-4</v>
      </c>
      <c r="P507" s="1122"/>
    </row>
    <row r="508" spans="6:16">
      <c r="F508" s="1121">
        <f t="shared" si="35"/>
        <v>8.6036629304386077E-4</v>
      </c>
      <c r="G508" s="1122"/>
      <c r="H508" s="436">
        <v>41184</v>
      </c>
      <c r="I508" s="738">
        <v>1445.75</v>
      </c>
      <c r="J508" s="440">
        <f t="shared" si="34"/>
        <v>8.722801819327497E-4</v>
      </c>
      <c r="L508" s="436">
        <v>41184</v>
      </c>
      <c r="M508" s="738">
        <v>93.16</v>
      </c>
      <c r="N508" s="115">
        <f t="shared" si="37"/>
        <v>-2.9965753424657793E-3</v>
      </c>
      <c r="O508" s="1121">
        <f t="shared" si="36"/>
        <v>-3.0084892313546681E-3</v>
      </c>
      <c r="P508" s="1122"/>
    </row>
    <row r="509" spans="6:16">
      <c r="F509" s="1121">
        <f t="shared" si="35"/>
        <v>3.6125025039866958E-3</v>
      </c>
      <c r="G509" s="1122"/>
      <c r="H509" s="436">
        <v>41185</v>
      </c>
      <c r="I509" s="738">
        <v>1450.99</v>
      </c>
      <c r="J509" s="440">
        <f t="shared" si="34"/>
        <v>3.6244163928755846E-3</v>
      </c>
      <c r="L509" s="436">
        <v>41185</v>
      </c>
      <c r="M509" s="738">
        <v>93.09</v>
      </c>
      <c r="N509" s="115">
        <f t="shared" si="37"/>
        <v>-7.513954486904062E-4</v>
      </c>
      <c r="O509" s="1121">
        <f t="shared" si="36"/>
        <v>-7.6330933757929513E-4</v>
      </c>
      <c r="P509" s="1122"/>
    </row>
    <row r="510" spans="6:16">
      <c r="F510" s="1121">
        <f t="shared" si="35"/>
        <v>7.162498064329329E-3</v>
      </c>
      <c r="G510" s="1122"/>
      <c r="H510" s="436">
        <v>41186</v>
      </c>
      <c r="I510" s="738">
        <v>1461.4</v>
      </c>
      <c r="J510" s="440">
        <f t="shared" si="34"/>
        <v>7.1744119532182182E-3</v>
      </c>
      <c r="L510" s="436">
        <v>41186</v>
      </c>
      <c r="M510" s="738">
        <v>94.52</v>
      </c>
      <c r="N510" s="115">
        <f t="shared" si="37"/>
        <v>1.5361478139434892E-2</v>
      </c>
      <c r="O510" s="1121">
        <f t="shared" si="36"/>
        <v>1.5349564250546004E-2</v>
      </c>
      <c r="P510" s="1122"/>
    </row>
    <row r="511" spans="6:16">
      <c r="F511" s="1121">
        <f t="shared" si="35"/>
        <v>-3.3352330451775402E-4</v>
      </c>
      <c r="G511" s="1122"/>
      <c r="H511" s="436">
        <v>41187</v>
      </c>
      <c r="I511" s="738">
        <v>1460.93</v>
      </c>
      <c r="J511" s="440">
        <f t="shared" si="34"/>
        <v>-3.2160941562886514E-4</v>
      </c>
      <c r="L511" s="436">
        <v>41187</v>
      </c>
      <c r="M511" s="738">
        <v>94.37</v>
      </c>
      <c r="N511" s="115">
        <f t="shared" si="37"/>
        <v>-1.5869657215403787E-3</v>
      </c>
      <c r="O511" s="1121">
        <f t="shared" si="36"/>
        <v>-1.5988796104292676E-3</v>
      </c>
      <c r="P511" s="1122"/>
    </row>
    <row r="512" spans="6:16">
      <c r="F512" s="1121">
        <f t="shared" si="35"/>
        <v>-3.4686161265046274E-3</v>
      </c>
      <c r="G512" s="1122"/>
      <c r="H512" s="436">
        <v>41190</v>
      </c>
      <c r="I512" s="738">
        <v>1455.88</v>
      </c>
      <c r="J512" s="440">
        <f t="shared" si="34"/>
        <v>-3.4567022376157386E-3</v>
      </c>
      <c r="L512" s="436">
        <v>41190</v>
      </c>
      <c r="M512" s="738">
        <v>94.01</v>
      </c>
      <c r="N512" s="115">
        <f t="shared" si="37"/>
        <v>-3.8147716435307233E-3</v>
      </c>
      <c r="O512" s="1121">
        <f t="shared" si="36"/>
        <v>-3.8266855324196121E-3</v>
      </c>
      <c r="P512" s="1122"/>
    </row>
    <row r="513" spans="6:16">
      <c r="F513" s="1121">
        <f t="shared" si="35"/>
        <v>-9.9028389651314511E-3</v>
      </c>
      <c r="G513" s="1122"/>
      <c r="H513" s="436">
        <v>41191</v>
      </c>
      <c r="I513" s="738">
        <v>1441.48</v>
      </c>
      <c r="J513" s="440">
        <f t="shared" si="34"/>
        <v>-9.8909250762425627E-3</v>
      </c>
      <c r="L513" s="436">
        <v>41191</v>
      </c>
      <c r="M513" s="738">
        <v>93.72</v>
      </c>
      <c r="N513" s="115">
        <f t="shared" si="37"/>
        <v>-3.0847782150835723E-3</v>
      </c>
      <c r="O513" s="1121">
        <f t="shared" si="36"/>
        <v>-3.0966921039724611E-3</v>
      </c>
      <c r="P513" s="1122"/>
    </row>
    <row r="514" spans="6:16">
      <c r="F514" s="1121">
        <f t="shared" si="35"/>
        <v>-6.1999983576294182E-3</v>
      </c>
      <c r="G514" s="1122"/>
      <c r="H514" s="436">
        <v>41192</v>
      </c>
      <c r="I514" s="738">
        <v>1432.56</v>
      </c>
      <c r="J514" s="440">
        <f t="shared" si="34"/>
        <v>-6.188084468740529E-3</v>
      </c>
      <c r="L514" s="436">
        <v>41192</v>
      </c>
      <c r="M514" s="738">
        <v>92.71</v>
      </c>
      <c r="N514" s="115">
        <f t="shared" si="37"/>
        <v>-1.0776781903542476E-2</v>
      </c>
      <c r="O514" s="1121">
        <f t="shared" si="36"/>
        <v>-1.0788695792431365E-2</v>
      </c>
      <c r="P514" s="1122"/>
    </row>
    <row r="515" spans="6:16">
      <c r="F515" s="1121">
        <f t="shared" si="35"/>
        <v>1.8354040272893591E-4</v>
      </c>
      <c r="G515" s="1122"/>
      <c r="H515" s="436">
        <v>41193</v>
      </c>
      <c r="I515" s="738">
        <v>1432.84</v>
      </c>
      <c r="J515" s="440">
        <f t="shared" si="34"/>
        <v>1.9545429161782479E-4</v>
      </c>
      <c r="L515" s="436">
        <v>41193</v>
      </c>
      <c r="M515" s="738">
        <v>92.72</v>
      </c>
      <c r="N515" s="115">
        <f t="shared" si="37"/>
        <v>1.0786322942513138E-4</v>
      </c>
      <c r="O515" s="1121">
        <f t="shared" si="36"/>
        <v>9.5949340536242487E-5</v>
      </c>
      <c r="P515" s="1122"/>
    </row>
    <row r="516" spans="6:16">
      <c r="F516" s="1121">
        <f t="shared" si="35"/>
        <v>-2.9780510709888149E-3</v>
      </c>
      <c r="G516" s="1122"/>
      <c r="H516" s="436">
        <v>41194</v>
      </c>
      <c r="I516" s="738">
        <v>1428.59</v>
      </c>
      <c r="J516" s="440">
        <f t="shared" si="34"/>
        <v>-2.9661371820999261E-3</v>
      </c>
      <c r="L516" s="436">
        <v>41194</v>
      </c>
      <c r="M516" s="738">
        <v>92.96</v>
      </c>
      <c r="N516" s="115">
        <f t="shared" si="37"/>
        <v>2.5884383088869978E-3</v>
      </c>
      <c r="O516" s="1121">
        <f t="shared" si="36"/>
        <v>2.5765244199981089E-3</v>
      </c>
      <c r="P516" s="1122"/>
    </row>
    <row r="517" spans="6:16">
      <c r="F517" s="1121">
        <f t="shared" si="35"/>
        <v>8.0659810984763311E-3</v>
      </c>
      <c r="G517" s="1122"/>
      <c r="H517" s="436">
        <v>41197</v>
      </c>
      <c r="I517" s="738">
        <v>1440.13</v>
      </c>
      <c r="J517" s="440">
        <f t="shared" si="34"/>
        <v>8.0778949873652195E-3</v>
      </c>
      <c r="L517" s="436">
        <v>41197</v>
      </c>
      <c r="M517" s="738">
        <v>92.5</v>
      </c>
      <c r="N517" s="115">
        <f t="shared" si="37"/>
        <v>-4.9483648881238906E-3</v>
      </c>
      <c r="O517" s="1121">
        <f t="shared" si="36"/>
        <v>-4.9602787770127799E-3</v>
      </c>
      <c r="P517" s="1122"/>
    </row>
    <row r="518" spans="6:16">
      <c r="F518" s="1121">
        <f t="shared" si="35"/>
        <v>1.0257992300135681E-2</v>
      </c>
      <c r="G518" s="1122"/>
      <c r="H518" s="436">
        <v>41198</v>
      </c>
      <c r="I518" s="738">
        <v>1454.92</v>
      </c>
      <c r="J518" s="440">
        <f t="shared" si="34"/>
        <v>1.0269906189024569E-2</v>
      </c>
      <c r="L518" s="436">
        <v>41198</v>
      </c>
      <c r="M518" s="738">
        <v>93.37</v>
      </c>
      <c r="N518" s="115">
        <f t="shared" si="37"/>
        <v>9.4054054054053537E-3</v>
      </c>
      <c r="O518" s="1121">
        <f t="shared" si="36"/>
        <v>9.3934915165164654E-3</v>
      </c>
      <c r="P518" s="1122"/>
    </row>
    <row r="519" spans="6:16">
      <c r="F519" s="1121">
        <f t="shared" si="35"/>
        <v>4.1051509669106567E-3</v>
      </c>
      <c r="G519" s="1122"/>
      <c r="H519" s="436">
        <v>41199</v>
      </c>
      <c r="I519" s="738">
        <v>1460.91</v>
      </c>
      <c r="J519" s="440">
        <f t="shared" si="34"/>
        <v>4.117064855799546E-3</v>
      </c>
      <c r="L519" s="436">
        <v>41199</v>
      </c>
      <c r="M519" s="738">
        <v>93.58</v>
      </c>
      <c r="N519" s="115">
        <f t="shared" si="37"/>
        <v>2.2491164185498569E-3</v>
      </c>
      <c r="O519" s="1121">
        <f t="shared" si="36"/>
        <v>2.2372025296609681E-3</v>
      </c>
      <c r="P519" s="1122"/>
    </row>
    <row r="520" spans="6:16">
      <c r="F520" s="1121">
        <f t="shared" si="35"/>
        <v>-2.4555962512521419E-3</v>
      </c>
      <c r="G520" s="1122"/>
      <c r="H520" s="436">
        <v>41200</v>
      </c>
      <c r="I520" s="738">
        <v>1457.34</v>
      </c>
      <c r="J520" s="440">
        <f t="shared" si="34"/>
        <v>-2.4436823623632531E-3</v>
      </c>
      <c r="L520" s="436">
        <v>41200</v>
      </c>
      <c r="M520" s="738">
        <v>94.32</v>
      </c>
      <c r="N520" s="115">
        <f t="shared" si="37"/>
        <v>7.9076725796110026E-3</v>
      </c>
      <c r="O520" s="1121">
        <f t="shared" si="36"/>
        <v>7.8957586907221142E-3</v>
      </c>
      <c r="P520" s="1122"/>
    </row>
    <row r="521" spans="6:16">
      <c r="F521" s="1121">
        <f t="shared" si="35"/>
        <v>-1.6583201302944557E-2</v>
      </c>
      <c r="G521" s="1122"/>
      <c r="H521" s="436">
        <v>41201</v>
      </c>
      <c r="I521" s="738">
        <v>1433.19</v>
      </c>
      <c r="J521" s="440">
        <f t="shared" si="34"/>
        <v>-1.6571287414055669E-2</v>
      </c>
      <c r="L521" s="436">
        <v>41201</v>
      </c>
      <c r="M521" s="738">
        <v>92.89</v>
      </c>
      <c r="N521" s="115">
        <f t="shared" si="37"/>
        <v>-1.516115351993208E-2</v>
      </c>
      <c r="O521" s="1121">
        <f t="shared" si="36"/>
        <v>-1.5173067408820969E-2</v>
      </c>
      <c r="P521" s="1122"/>
    </row>
    <row r="522" spans="6:16">
      <c r="F522" s="1121">
        <f t="shared" si="35"/>
        <v>4.2766495271605954E-4</v>
      </c>
      <c r="G522" s="1122"/>
      <c r="H522" s="436">
        <v>41204</v>
      </c>
      <c r="I522" s="738">
        <v>1433.82</v>
      </c>
      <c r="J522" s="440">
        <f t="shared" si="34"/>
        <v>4.3957884160494842E-4</v>
      </c>
      <c r="L522" s="436">
        <v>41204</v>
      </c>
      <c r="M522" s="738">
        <v>92.77</v>
      </c>
      <c r="N522" s="115">
        <f t="shared" si="37"/>
        <v>-1.2918505759500487E-3</v>
      </c>
      <c r="O522" s="1121">
        <f t="shared" si="36"/>
        <v>-1.3037644648389375E-3</v>
      </c>
      <c r="P522" s="1122"/>
    </row>
    <row r="523" spans="6:16">
      <c r="F523" s="1121">
        <f t="shared" si="35"/>
        <v>-1.4455846879082974E-2</v>
      </c>
      <c r="G523" s="1122"/>
      <c r="H523" s="436">
        <v>41205</v>
      </c>
      <c r="I523" s="738">
        <v>1413.11</v>
      </c>
      <c r="J523" s="440">
        <f t="shared" si="34"/>
        <v>-1.4443932990194086E-2</v>
      </c>
      <c r="L523" s="436">
        <v>41205</v>
      </c>
      <c r="M523" s="738">
        <v>91.95</v>
      </c>
      <c r="N523" s="115">
        <f t="shared" si="37"/>
        <v>-8.8390643527000989E-3</v>
      </c>
      <c r="O523" s="1121">
        <f t="shared" si="36"/>
        <v>-8.8509782415889873E-3</v>
      </c>
      <c r="P523" s="1122"/>
    </row>
    <row r="524" spans="6:16">
      <c r="F524" s="1121">
        <f t="shared" si="35"/>
        <v>-3.0973070996084336E-3</v>
      </c>
      <c r="G524" s="1122"/>
      <c r="H524" s="436">
        <v>41206</v>
      </c>
      <c r="I524" s="738">
        <v>1408.75</v>
      </c>
      <c r="J524" s="440">
        <f t="shared" si="34"/>
        <v>-3.0853932107195448E-3</v>
      </c>
      <c r="L524" s="436">
        <v>41206</v>
      </c>
      <c r="M524" s="738">
        <v>93.92</v>
      </c>
      <c r="N524" s="115">
        <f t="shared" si="37"/>
        <v>2.1424687330070746E-2</v>
      </c>
      <c r="O524" s="1121">
        <f t="shared" si="36"/>
        <v>2.1412773441181858E-2</v>
      </c>
      <c r="P524" s="1122"/>
    </row>
    <row r="525" spans="6:16">
      <c r="F525" s="1121">
        <f t="shared" si="35"/>
        <v>2.9836495538796341E-3</v>
      </c>
      <c r="G525" s="1122"/>
      <c r="H525" s="436">
        <v>41207</v>
      </c>
      <c r="I525" s="738">
        <v>1412.97</v>
      </c>
      <c r="J525" s="440">
        <f t="shared" si="34"/>
        <v>2.9955634427685229E-3</v>
      </c>
      <c r="L525" s="436">
        <v>41207</v>
      </c>
      <c r="M525" s="738">
        <v>93.55</v>
      </c>
      <c r="N525" s="115">
        <f t="shared" si="37"/>
        <v>-3.9395229982964741E-3</v>
      </c>
      <c r="O525" s="1121">
        <f t="shared" si="36"/>
        <v>-3.9514368871853634E-3</v>
      </c>
      <c r="P525" s="1122"/>
    </row>
    <row r="526" spans="6:16">
      <c r="F526" s="1121">
        <f t="shared" si="35"/>
        <v>-7.4087487178310012E-4</v>
      </c>
      <c r="G526" s="1122"/>
      <c r="H526" s="436">
        <v>41208</v>
      </c>
      <c r="I526" s="738">
        <v>1411.94</v>
      </c>
      <c r="J526" s="440">
        <f t="shared" si="34"/>
        <v>-7.2896098289421118E-4</v>
      </c>
      <c r="L526" s="436">
        <v>41208</v>
      </c>
      <c r="M526" s="738">
        <v>92.84</v>
      </c>
      <c r="N526" s="115">
        <f t="shared" si="37"/>
        <v>-7.5895243185462036E-3</v>
      </c>
      <c r="O526" s="1121">
        <f t="shared" si="36"/>
        <v>-7.6014382074350928E-3</v>
      </c>
      <c r="P526" s="1122"/>
    </row>
    <row r="527" spans="6:16">
      <c r="F527" s="1121">
        <f t="shared" si="35"/>
        <v>-1.1913888888888887E-5</v>
      </c>
      <c r="G527" s="1122"/>
      <c r="H527" s="436">
        <v>41211</v>
      </c>
      <c r="I527" s="738">
        <v>1411.94</v>
      </c>
      <c r="J527" s="440">
        <f t="shared" si="34"/>
        <v>0</v>
      </c>
      <c r="L527" s="436">
        <v>41211</v>
      </c>
      <c r="M527" s="738">
        <v>92.84</v>
      </c>
      <c r="N527" s="115">
        <f t="shared" si="37"/>
        <v>0</v>
      </c>
      <c r="O527" s="1121">
        <f t="shared" si="36"/>
        <v>-1.1913888888888887E-5</v>
      </c>
      <c r="P527" s="1122"/>
    </row>
    <row r="528" spans="6:16">
      <c r="F528" s="1121">
        <f t="shared" si="35"/>
        <v>-1.1913888888888887E-5</v>
      </c>
      <c r="G528" s="1122"/>
      <c r="H528" s="436">
        <v>41212</v>
      </c>
      <c r="I528" s="738">
        <v>1411.94</v>
      </c>
      <c r="J528" s="440">
        <f t="shared" si="34"/>
        <v>0</v>
      </c>
      <c r="L528" s="436">
        <v>41212</v>
      </c>
      <c r="M528" s="738">
        <v>92.84</v>
      </c>
      <c r="N528" s="115">
        <f t="shared" si="37"/>
        <v>0</v>
      </c>
      <c r="O528" s="1121">
        <f t="shared" si="36"/>
        <v>-1.1913888888888887E-5</v>
      </c>
      <c r="P528" s="1122"/>
    </row>
    <row r="529" spans="6:16">
      <c r="F529" s="1121">
        <f t="shared" si="35"/>
        <v>1.439000975410535E-4</v>
      </c>
      <c r="G529" s="1122"/>
      <c r="H529" s="436">
        <v>41213</v>
      </c>
      <c r="I529" s="738">
        <v>1412.16</v>
      </c>
      <c r="J529" s="440">
        <f t="shared" si="34"/>
        <v>1.5581398642994237E-4</v>
      </c>
      <c r="L529" s="436">
        <v>41213</v>
      </c>
      <c r="M529" s="738">
        <v>93.67</v>
      </c>
      <c r="N529" s="115">
        <f t="shared" si="37"/>
        <v>8.9401120206806794E-3</v>
      </c>
      <c r="O529" s="1121">
        <f t="shared" si="36"/>
        <v>8.9281981317917911E-3</v>
      </c>
      <c r="P529" s="1122"/>
    </row>
    <row r="530" spans="6:16">
      <c r="F530" s="1121">
        <f t="shared" si="35"/>
        <v>1.0914610017750508E-2</v>
      </c>
      <c r="G530" s="1122"/>
      <c r="H530" s="436">
        <v>41214</v>
      </c>
      <c r="I530" s="738">
        <v>1427.59</v>
      </c>
      <c r="J530" s="440">
        <f t="shared" si="34"/>
        <v>1.0926523906639396E-2</v>
      </c>
      <c r="L530" s="436">
        <v>41214</v>
      </c>
      <c r="M530" s="738">
        <v>94.19</v>
      </c>
      <c r="N530" s="115">
        <f t="shared" si="37"/>
        <v>5.5514038646311548E-3</v>
      </c>
      <c r="O530" s="1121">
        <f t="shared" si="36"/>
        <v>5.5394899757422655E-3</v>
      </c>
      <c r="P530" s="1122"/>
    </row>
    <row r="531" spans="6:16">
      <c r="F531" s="1121">
        <f t="shared" si="35"/>
        <v>-9.3913575666954088E-3</v>
      </c>
      <c r="G531" s="1122"/>
      <c r="H531" s="436">
        <v>41215</v>
      </c>
      <c r="I531" s="738">
        <v>1414.2</v>
      </c>
      <c r="J531" s="440">
        <f t="shared" si="34"/>
        <v>-9.3794436778065204E-3</v>
      </c>
      <c r="L531" s="436">
        <v>41215</v>
      </c>
      <c r="M531" s="738">
        <v>93.72</v>
      </c>
      <c r="N531" s="115">
        <f t="shared" si="37"/>
        <v>-4.9899140036097078E-3</v>
      </c>
      <c r="O531" s="1121">
        <f t="shared" si="36"/>
        <v>-5.0018278924985971E-3</v>
      </c>
      <c r="P531" s="1122"/>
    </row>
    <row r="532" spans="6:16">
      <c r="F532" s="1121">
        <f t="shared" si="35"/>
        <v>2.1518536121717317E-3</v>
      </c>
      <c r="G532" s="1122"/>
      <c r="H532" s="436">
        <v>41218</v>
      </c>
      <c r="I532" s="738">
        <v>1417.26</v>
      </c>
      <c r="J532" s="440">
        <f t="shared" si="34"/>
        <v>2.1637675010606205E-3</v>
      </c>
      <c r="L532" s="436">
        <v>41218</v>
      </c>
      <c r="M532" s="738">
        <v>94.1</v>
      </c>
      <c r="N532" s="115">
        <f t="shared" si="37"/>
        <v>4.0546308151940824E-3</v>
      </c>
      <c r="O532" s="1121">
        <f t="shared" si="36"/>
        <v>4.0427169263051932E-3</v>
      </c>
      <c r="P532" s="1122"/>
    </row>
    <row r="533" spans="6:16">
      <c r="F533" s="1121">
        <f t="shared" si="35"/>
        <v>7.8412676021571912E-3</v>
      </c>
      <c r="G533" s="1122"/>
      <c r="H533" s="436">
        <v>41219</v>
      </c>
      <c r="I533" s="738">
        <v>1428.39</v>
      </c>
      <c r="J533" s="440">
        <f t="shared" si="34"/>
        <v>7.8531814910460795E-3</v>
      </c>
      <c r="L533" s="436">
        <v>41219</v>
      </c>
      <c r="M533" s="738">
        <v>94.87</v>
      </c>
      <c r="N533" s="115">
        <f t="shared" si="37"/>
        <v>8.1827842720512134E-3</v>
      </c>
      <c r="O533" s="1121">
        <f t="shared" si="36"/>
        <v>8.170870383162325E-3</v>
      </c>
      <c r="P533" s="1122"/>
    </row>
    <row r="534" spans="6:16">
      <c r="F534" s="1121">
        <f t="shared" si="35"/>
        <v>-2.3716924425227111E-2</v>
      </c>
      <c r="G534" s="1122"/>
      <c r="H534" s="436">
        <v>41220</v>
      </c>
      <c r="I534" s="738">
        <v>1394.53</v>
      </c>
      <c r="J534" s="440">
        <f t="shared" si="34"/>
        <v>-2.3705010536338222E-2</v>
      </c>
      <c r="L534" s="436">
        <v>41220</v>
      </c>
      <c r="M534" s="738">
        <v>91.15</v>
      </c>
      <c r="N534" s="115">
        <f t="shared" si="37"/>
        <v>-3.9211552650996073E-2</v>
      </c>
      <c r="O534" s="1121">
        <f t="shared" si="36"/>
        <v>-3.9223466539884962E-2</v>
      </c>
      <c r="P534" s="1122"/>
    </row>
    <row r="535" spans="6:16">
      <c r="F535" s="1121">
        <f t="shared" si="35"/>
        <v>-1.2216742755962413E-2</v>
      </c>
      <c r="G535" s="1122"/>
      <c r="H535" s="436">
        <v>41221</v>
      </c>
      <c r="I535" s="738">
        <v>1377.51</v>
      </c>
      <c r="J535" s="440">
        <f t="shared" si="34"/>
        <v>-1.2204828867073525E-2</v>
      </c>
      <c r="L535" s="436">
        <v>41221</v>
      </c>
      <c r="M535" s="738">
        <v>89.92</v>
      </c>
      <c r="N535" s="115">
        <f t="shared" si="37"/>
        <v>-1.349424026330226E-2</v>
      </c>
      <c r="O535" s="1121">
        <f t="shared" si="36"/>
        <v>-1.3506154152191148E-2</v>
      </c>
      <c r="P535" s="1122"/>
    </row>
    <row r="536" spans="6:16">
      <c r="F536" s="1121">
        <f t="shared" si="35"/>
        <v>1.686803361802595E-3</v>
      </c>
      <c r="G536" s="1122"/>
      <c r="H536" s="436">
        <v>41222</v>
      </c>
      <c r="I536" s="738">
        <v>1379.85</v>
      </c>
      <c r="J536" s="440">
        <f t="shared" si="34"/>
        <v>1.6987172506914838E-3</v>
      </c>
      <c r="L536" s="436">
        <v>41222</v>
      </c>
      <c r="M536" s="738">
        <v>89.98</v>
      </c>
      <c r="N536" s="115">
        <f t="shared" si="37"/>
        <v>6.6725978647697026E-4</v>
      </c>
      <c r="O536" s="1121">
        <f t="shared" si="36"/>
        <v>6.5534589758808133E-4</v>
      </c>
      <c r="P536" s="1122"/>
    </row>
    <row r="537" spans="6:16">
      <c r="F537" s="1121">
        <f t="shared" si="35"/>
        <v>1.1853507295477661E-4</v>
      </c>
      <c r="G537" s="1122"/>
      <c r="H537" s="436">
        <v>41225</v>
      </c>
      <c r="I537" s="738">
        <v>1380.03</v>
      </c>
      <c r="J537" s="440">
        <f t="shared" si="34"/>
        <v>1.304489618436655E-4</v>
      </c>
      <c r="L537" s="436">
        <v>41225</v>
      </c>
      <c r="M537" s="738">
        <v>89.81</v>
      </c>
      <c r="N537" s="115">
        <f t="shared" si="37"/>
        <v>-1.8893087352744864E-3</v>
      </c>
      <c r="O537" s="1121">
        <f t="shared" si="36"/>
        <v>-1.9012226241633752E-3</v>
      </c>
      <c r="P537" s="1122"/>
    </row>
    <row r="538" spans="6:16">
      <c r="F538" s="1121">
        <f t="shared" si="35"/>
        <v>-3.9973344956872959E-3</v>
      </c>
      <c r="G538" s="1122"/>
      <c r="H538" s="436">
        <v>41226</v>
      </c>
      <c r="I538" s="738">
        <v>1374.53</v>
      </c>
      <c r="J538" s="440">
        <f t="shared" si="34"/>
        <v>-3.9854206067984066E-3</v>
      </c>
      <c r="L538" s="436">
        <v>41226</v>
      </c>
      <c r="M538" s="738">
        <v>90.18</v>
      </c>
      <c r="N538" s="115">
        <f t="shared" si="37"/>
        <v>4.119808484578602E-3</v>
      </c>
      <c r="O538" s="1121">
        <f t="shared" si="36"/>
        <v>4.1078945956897128E-3</v>
      </c>
      <c r="P538" s="1122"/>
    </row>
    <row r="539" spans="6:16">
      <c r="F539" s="1121">
        <f t="shared" si="35"/>
        <v>-1.3863921484212345E-2</v>
      </c>
      <c r="G539" s="1122"/>
      <c r="H539" s="436">
        <v>41227</v>
      </c>
      <c r="I539" s="738">
        <v>1355.49</v>
      </c>
      <c r="J539" s="440">
        <f t="shared" si="34"/>
        <v>-1.3852007595323457E-2</v>
      </c>
      <c r="L539" s="436">
        <v>41227</v>
      </c>
      <c r="M539" s="738">
        <v>88.11</v>
      </c>
      <c r="N539" s="115">
        <f t="shared" si="37"/>
        <v>-2.2954091816367317E-2</v>
      </c>
      <c r="O539" s="1121">
        <f t="shared" si="36"/>
        <v>-2.2966005705256205E-2</v>
      </c>
      <c r="P539" s="1122"/>
    </row>
    <row r="540" spans="6:16">
      <c r="F540" s="1121">
        <f t="shared" si="35"/>
        <v>-1.6054335754967027E-3</v>
      </c>
      <c r="G540" s="1122"/>
      <c r="H540" s="436">
        <v>41228</v>
      </c>
      <c r="I540" s="738">
        <v>1353.33</v>
      </c>
      <c r="J540" s="440">
        <f t="shared" si="34"/>
        <v>-1.5935196866078138E-3</v>
      </c>
      <c r="L540" s="436">
        <v>41228</v>
      </c>
      <c r="M540" s="738">
        <v>87.58</v>
      </c>
      <c r="N540" s="115">
        <f t="shared" si="37"/>
        <v>-6.0152082623993186E-3</v>
      </c>
      <c r="O540" s="1121">
        <f t="shared" si="36"/>
        <v>-6.0271221512882079E-3</v>
      </c>
      <c r="P540" s="1122"/>
    </row>
    <row r="541" spans="6:16">
      <c r="F541" s="1121">
        <f t="shared" si="35"/>
        <v>4.8279995099126316E-3</v>
      </c>
      <c r="G541" s="1122"/>
      <c r="H541" s="436">
        <v>41229</v>
      </c>
      <c r="I541" s="738">
        <v>1359.88</v>
      </c>
      <c r="J541" s="440">
        <f t="shared" ref="J541:J604" si="38">I541/I540-1</f>
        <v>4.8399133988015208E-3</v>
      </c>
      <c r="L541" s="436">
        <v>41229</v>
      </c>
      <c r="M541" s="738">
        <v>88.46</v>
      </c>
      <c r="N541" s="115">
        <f t="shared" si="37"/>
        <v>1.004795615437315E-2</v>
      </c>
      <c r="O541" s="1121">
        <f t="shared" si="36"/>
        <v>1.0036042265484262E-2</v>
      </c>
      <c r="P541" s="1122"/>
    </row>
    <row r="542" spans="6:16">
      <c r="F542" s="1121">
        <f t="shared" ref="F542:F605" si="39">J542-$I$19</f>
        <v>1.9850132762286303E-2</v>
      </c>
      <c r="G542" s="1122"/>
      <c r="H542" s="436">
        <v>41232</v>
      </c>
      <c r="I542" s="738">
        <v>1386.89</v>
      </c>
      <c r="J542" s="440">
        <f t="shared" si="38"/>
        <v>1.9862046651175191E-2</v>
      </c>
      <c r="L542" s="436">
        <v>41232</v>
      </c>
      <c r="M542" s="738">
        <v>90.48</v>
      </c>
      <c r="N542" s="115">
        <f t="shared" si="37"/>
        <v>2.2835179742256573E-2</v>
      </c>
      <c r="O542" s="1121">
        <f t="shared" ref="O542:O605" si="40">N542-$I$19</f>
        <v>2.2823265853367684E-2</v>
      </c>
      <c r="P542" s="1122"/>
    </row>
    <row r="543" spans="6:16">
      <c r="F543" s="1121">
        <f t="shared" si="39"/>
        <v>6.5144081119538429E-4</v>
      </c>
      <c r="G543" s="1122"/>
      <c r="H543" s="436">
        <v>41233</v>
      </c>
      <c r="I543" s="738">
        <v>1387.81</v>
      </c>
      <c r="J543" s="440">
        <f t="shared" si="38"/>
        <v>6.6335470008427322E-4</v>
      </c>
      <c r="L543" s="436">
        <v>41233</v>
      </c>
      <c r="M543" s="738">
        <v>90.18</v>
      </c>
      <c r="N543" s="115">
        <f t="shared" si="37"/>
        <v>-3.315649867373982E-3</v>
      </c>
      <c r="O543" s="1121">
        <f t="shared" si="40"/>
        <v>-3.3275637562628709E-3</v>
      </c>
      <c r="P543" s="1122"/>
    </row>
    <row r="544" spans="6:16">
      <c r="F544" s="1121">
        <f t="shared" si="39"/>
        <v>2.3082884442836497E-3</v>
      </c>
      <c r="G544" s="1122"/>
      <c r="H544" s="436">
        <v>41234</v>
      </c>
      <c r="I544" s="738">
        <v>1391.03</v>
      </c>
      <c r="J544" s="440">
        <f t="shared" si="38"/>
        <v>2.3202023331725385E-3</v>
      </c>
      <c r="L544" s="436">
        <v>41234</v>
      </c>
      <c r="M544" s="738">
        <v>90.51</v>
      </c>
      <c r="N544" s="115">
        <f t="shared" si="37"/>
        <v>3.6593479707252019E-3</v>
      </c>
      <c r="O544" s="1121">
        <f t="shared" si="40"/>
        <v>3.6474340818363131E-3</v>
      </c>
      <c r="P544" s="1122"/>
    </row>
    <row r="545" spans="6:16">
      <c r="F545" s="1121">
        <f t="shared" si="39"/>
        <v>-1.1913888888888887E-5</v>
      </c>
      <c r="G545" s="1122"/>
      <c r="H545" s="436">
        <v>41235</v>
      </c>
      <c r="I545" s="738">
        <v>1391.03</v>
      </c>
      <c r="J545" s="440">
        <f t="shared" si="38"/>
        <v>0</v>
      </c>
      <c r="L545" s="436">
        <v>41235</v>
      </c>
      <c r="M545" s="738">
        <v>90.51</v>
      </c>
      <c r="N545" s="115">
        <f t="shared" si="37"/>
        <v>0</v>
      </c>
      <c r="O545" s="1121">
        <f t="shared" si="40"/>
        <v>-1.1913888888888887E-5</v>
      </c>
      <c r="P545" s="1122"/>
    </row>
    <row r="546" spans="6:16">
      <c r="F546" s="1121">
        <f t="shared" si="39"/>
        <v>1.3014404738315492E-2</v>
      </c>
      <c r="G546" s="1122"/>
      <c r="H546" s="436">
        <v>41236</v>
      </c>
      <c r="I546" s="738">
        <v>1409.15</v>
      </c>
      <c r="J546" s="440">
        <f t="shared" si="38"/>
        <v>1.3026318627204381E-2</v>
      </c>
      <c r="L546" s="436">
        <v>41236</v>
      </c>
      <c r="M546" s="738">
        <v>91.83</v>
      </c>
      <c r="N546" s="115">
        <f t="shared" si="37"/>
        <v>1.4584023864766316E-2</v>
      </c>
      <c r="O546" s="1121">
        <f t="shared" si="40"/>
        <v>1.4572109975877427E-2</v>
      </c>
      <c r="P546" s="1122"/>
    </row>
    <row r="547" spans="6:16">
      <c r="F547" s="1121">
        <f t="shared" si="39"/>
        <v>-2.0415061963083921E-3</v>
      </c>
      <c r="G547" s="1122"/>
      <c r="H547" s="436">
        <v>41239</v>
      </c>
      <c r="I547" s="738">
        <v>1406.29</v>
      </c>
      <c r="J547" s="440">
        <f t="shared" si="38"/>
        <v>-2.0295923074195032E-3</v>
      </c>
      <c r="L547" s="436">
        <v>41239</v>
      </c>
      <c r="M547" s="738">
        <v>93.29</v>
      </c>
      <c r="N547" s="115">
        <f t="shared" si="37"/>
        <v>1.589894370031586E-2</v>
      </c>
      <c r="O547" s="1121">
        <f t="shared" si="40"/>
        <v>1.5887029811426971E-2</v>
      </c>
      <c r="P547" s="1122"/>
    </row>
    <row r="548" spans="6:16">
      <c r="F548" s="1121">
        <f t="shared" si="39"/>
        <v>-5.2384318901546123E-3</v>
      </c>
      <c r="G548" s="1122"/>
      <c r="H548" s="436">
        <v>41240</v>
      </c>
      <c r="I548" s="738">
        <v>1398.94</v>
      </c>
      <c r="J548" s="440">
        <f t="shared" si="38"/>
        <v>-5.2265180012657231E-3</v>
      </c>
      <c r="L548" s="436">
        <v>41240</v>
      </c>
      <c r="M548" s="738">
        <v>93.1</v>
      </c>
      <c r="N548" s="115">
        <f t="shared" si="37"/>
        <v>-2.0366598778005507E-3</v>
      </c>
      <c r="O548" s="1121">
        <f t="shared" si="40"/>
        <v>-2.0485737666894395E-3</v>
      </c>
      <c r="P548" s="1122"/>
    </row>
    <row r="549" spans="6:16">
      <c r="F549" s="1121">
        <f t="shared" si="39"/>
        <v>7.8440341860822535E-3</v>
      </c>
      <c r="G549" s="1122"/>
      <c r="H549" s="436">
        <v>41241</v>
      </c>
      <c r="I549" s="738">
        <v>1409.93</v>
      </c>
      <c r="J549" s="440">
        <f t="shared" si="38"/>
        <v>7.8559480749711419E-3</v>
      </c>
      <c r="L549" s="436">
        <v>41241</v>
      </c>
      <c r="M549" s="738">
        <v>93.7</v>
      </c>
      <c r="N549" s="115">
        <f t="shared" si="37"/>
        <v>6.4446831364124435E-3</v>
      </c>
      <c r="O549" s="1121">
        <f t="shared" si="40"/>
        <v>6.4327692475235542E-3</v>
      </c>
      <c r="P549" s="1122"/>
    </row>
    <row r="550" spans="6:16">
      <c r="F550" s="1121">
        <f t="shared" si="39"/>
        <v>4.2578016289028719E-3</v>
      </c>
      <c r="G550" s="1122"/>
      <c r="H550" s="436">
        <v>41242</v>
      </c>
      <c r="I550" s="738">
        <v>1415.95</v>
      </c>
      <c r="J550" s="440">
        <f t="shared" si="38"/>
        <v>4.2697155177917612E-3</v>
      </c>
      <c r="L550" s="436">
        <v>41242</v>
      </c>
      <c r="M550" s="738">
        <v>93.04</v>
      </c>
      <c r="N550" s="115">
        <f t="shared" si="37"/>
        <v>-7.043756670224055E-3</v>
      </c>
      <c r="O550" s="1121">
        <f t="shared" si="40"/>
        <v>-7.0556705591129443E-3</v>
      </c>
      <c r="P550" s="1122"/>
    </row>
    <row r="551" spans="6:16">
      <c r="F551" s="1121">
        <f t="shared" si="39"/>
        <v>1.5052122534530511E-4</v>
      </c>
      <c r="G551" s="1122"/>
      <c r="H551" s="436">
        <v>41243</v>
      </c>
      <c r="I551" s="738">
        <v>1416.18</v>
      </c>
      <c r="J551" s="440">
        <f t="shared" si="38"/>
        <v>1.6243511423419399E-4</v>
      </c>
      <c r="L551" s="436">
        <v>41243</v>
      </c>
      <c r="M551" s="738">
        <v>93.3</v>
      </c>
      <c r="N551" s="115">
        <f t="shared" si="37"/>
        <v>2.7944969905415729E-3</v>
      </c>
      <c r="O551" s="1121">
        <f t="shared" si="40"/>
        <v>2.782583101652684E-3</v>
      </c>
      <c r="P551" s="1122"/>
    </row>
    <row r="552" spans="6:16">
      <c r="F552" s="1121">
        <f t="shared" si="39"/>
        <v>-4.7570734025100892E-3</v>
      </c>
      <c r="G552" s="1122"/>
      <c r="H552" s="436">
        <v>41246</v>
      </c>
      <c r="I552" s="738">
        <v>1409.46</v>
      </c>
      <c r="J552" s="440">
        <f t="shared" si="38"/>
        <v>-4.7451595136211999E-3</v>
      </c>
      <c r="L552" s="436">
        <v>41246</v>
      </c>
      <c r="M552" s="738">
        <v>91.55</v>
      </c>
      <c r="N552" s="115">
        <f t="shared" si="37"/>
        <v>-1.87566988210075E-2</v>
      </c>
      <c r="O552" s="1121">
        <f t="shared" si="40"/>
        <v>-1.8768612709896389E-2</v>
      </c>
      <c r="P552" s="1122"/>
    </row>
    <row r="553" spans="6:16">
      <c r="F553" s="1121">
        <f t="shared" si="39"/>
        <v>-1.7217885926762507E-3</v>
      </c>
      <c r="G553" s="1122"/>
      <c r="H553" s="436">
        <v>41247</v>
      </c>
      <c r="I553" s="738">
        <v>1407.05</v>
      </c>
      <c r="J553" s="440">
        <f t="shared" si="38"/>
        <v>-1.7098747037873618E-3</v>
      </c>
      <c r="L553" s="436">
        <v>41247</v>
      </c>
      <c r="M553" s="738">
        <v>91.48</v>
      </c>
      <c r="N553" s="115">
        <f t="shared" si="37"/>
        <v>-7.6460950300372144E-4</v>
      </c>
      <c r="O553" s="1121">
        <f t="shared" si="40"/>
        <v>-7.7652339189261037E-4</v>
      </c>
      <c r="P553" s="1122"/>
    </row>
    <row r="554" spans="6:16">
      <c r="F554" s="1121">
        <f t="shared" si="39"/>
        <v>1.5729622704515537E-3</v>
      </c>
      <c r="G554" s="1122"/>
      <c r="H554" s="436">
        <v>41248</v>
      </c>
      <c r="I554" s="738">
        <v>1409.28</v>
      </c>
      <c r="J554" s="440">
        <f t="shared" si="38"/>
        <v>1.5848761593404426E-3</v>
      </c>
      <c r="L554" s="436">
        <v>41248</v>
      </c>
      <c r="M554" s="738">
        <v>91.53</v>
      </c>
      <c r="N554" s="115">
        <f t="shared" si="37"/>
        <v>5.4656755574988836E-4</v>
      </c>
      <c r="O554" s="1121">
        <f t="shared" si="40"/>
        <v>5.3465366686099942E-4</v>
      </c>
      <c r="P554" s="1122"/>
    </row>
    <row r="555" spans="6:16">
      <c r="F555" s="1121">
        <f t="shared" si="39"/>
        <v>3.2947391537997343E-3</v>
      </c>
      <c r="G555" s="1122"/>
      <c r="H555" s="436">
        <v>41249</v>
      </c>
      <c r="I555" s="738">
        <v>1413.94</v>
      </c>
      <c r="J555" s="440">
        <f t="shared" si="38"/>
        <v>3.3066530426886231E-3</v>
      </c>
      <c r="L555" s="436">
        <v>41249</v>
      </c>
      <c r="M555" s="738">
        <v>91.48</v>
      </c>
      <c r="N555" s="115">
        <f t="shared" si="37"/>
        <v>-5.4626898284715342E-4</v>
      </c>
      <c r="O555" s="1121">
        <f t="shared" si="40"/>
        <v>-5.5818287173604235E-4</v>
      </c>
      <c r="P555" s="1122"/>
    </row>
    <row r="556" spans="6:16">
      <c r="F556" s="1121">
        <f t="shared" si="39"/>
        <v>2.9090021330072584E-3</v>
      </c>
      <c r="G556" s="1122"/>
      <c r="H556" s="436">
        <v>41250</v>
      </c>
      <c r="I556" s="738">
        <v>1418.07</v>
      </c>
      <c r="J556" s="440">
        <f t="shared" si="38"/>
        <v>2.9209160218961472E-3</v>
      </c>
      <c r="L556" s="436">
        <v>41250</v>
      </c>
      <c r="M556" s="738">
        <v>91.9</v>
      </c>
      <c r="N556" s="115">
        <f t="shared" si="37"/>
        <v>4.5911674682990178E-3</v>
      </c>
      <c r="O556" s="1121">
        <f t="shared" si="40"/>
        <v>4.5792535794101285E-3</v>
      </c>
      <c r="P556" s="1122"/>
    </row>
    <row r="557" spans="6:16">
      <c r="F557" s="1121">
        <f t="shared" si="39"/>
        <v>3.2657433806747939E-4</v>
      </c>
      <c r="G557" s="1122"/>
      <c r="H557" s="436">
        <v>41253</v>
      </c>
      <c r="I557" s="738">
        <v>1418.55</v>
      </c>
      <c r="J557" s="440">
        <f t="shared" si="38"/>
        <v>3.3848822695636827E-4</v>
      </c>
      <c r="L557" s="436">
        <v>41253</v>
      </c>
      <c r="M557" s="738">
        <v>92.41</v>
      </c>
      <c r="N557" s="115">
        <f t="shared" si="37"/>
        <v>5.5495103373230936E-3</v>
      </c>
      <c r="O557" s="1121">
        <f t="shared" si="40"/>
        <v>5.5375964484342044E-3</v>
      </c>
      <c r="P557" s="1122"/>
    </row>
    <row r="558" spans="6:16">
      <c r="F558" s="1121">
        <f t="shared" si="39"/>
        <v>6.5370269309622453E-3</v>
      </c>
      <c r="G558" s="1122"/>
      <c r="H558" s="436">
        <v>41254</v>
      </c>
      <c r="I558" s="738">
        <v>1427.84</v>
      </c>
      <c r="J558" s="440">
        <f t="shared" si="38"/>
        <v>6.5489408198511345E-3</v>
      </c>
      <c r="L558" s="436">
        <v>41254</v>
      </c>
      <c r="M558" s="738">
        <v>92</v>
      </c>
      <c r="N558" s="115">
        <f t="shared" si="37"/>
        <v>-4.4367492695595034E-3</v>
      </c>
      <c r="O558" s="1121">
        <f t="shared" si="40"/>
        <v>-4.4486631584483927E-3</v>
      </c>
      <c r="P558" s="1122"/>
    </row>
    <row r="559" spans="6:16">
      <c r="F559" s="1121">
        <f t="shared" si="39"/>
        <v>4.3631560461176256E-4</v>
      </c>
      <c r="G559" s="1122"/>
      <c r="H559" s="436">
        <v>41255</v>
      </c>
      <c r="I559" s="738">
        <v>1428.48</v>
      </c>
      <c r="J559" s="440">
        <f t="shared" si="38"/>
        <v>4.4822949350065144E-4</v>
      </c>
      <c r="L559" s="436">
        <v>41255</v>
      </c>
      <c r="M559" s="738">
        <v>91.81</v>
      </c>
      <c r="N559" s="115">
        <f t="shared" si="37"/>
        <v>-2.0652173913042748E-3</v>
      </c>
      <c r="O559" s="1121">
        <f t="shared" si="40"/>
        <v>-2.0771312801931637E-3</v>
      </c>
      <c r="P559" s="1122"/>
    </row>
    <row r="560" spans="6:16">
      <c r="F560" s="1121">
        <f t="shared" si="39"/>
        <v>-6.3333184587813863E-3</v>
      </c>
      <c r="G560" s="1122"/>
      <c r="H560" s="436">
        <v>41256</v>
      </c>
      <c r="I560" s="738">
        <v>1419.45</v>
      </c>
      <c r="J560" s="440">
        <f t="shared" si="38"/>
        <v>-6.321404569892497E-3</v>
      </c>
      <c r="L560" s="436">
        <v>41256</v>
      </c>
      <c r="M560" s="738">
        <v>89.99</v>
      </c>
      <c r="N560" s="115">
        <f t="shared" si="37"/>
        <v>-1.9823548633046584E-2</v>
      </c>
      <c r="O560" s="1121">
        <f t="shared" si="40"/>
        <v>-1.9835462521935472E-2</v>
      </c>
      <c r="P560" s="1122"/>
    </row>
    <row r="561" spans="6:16">
      <c r="F561" s="1121">
        <f t="shared" si="39"/>
        <v>-4.1473184469924618E-3</v>
      </c>
      <c r="G561" s="1122"/>
      <c r="H561" s="436">
        <v>41257</v>
      </c>
      <c r="I561" s="738">
        <v>1413.58</v>
      </c>
      <c r="J561" s="440">
        <f t="shared" si="38"/>
        <v>-4.1354045581035725E-3</v>
      </c>
      <c r="L561" s="436">
        <v>41257</v>
      </c>
      <c r="M561" s="738">
        <v>88.96</v>
      </c>
      <c r="N561" s="115">
        <f t="shared" ref="N561:N624" si="41">M561/M560-1</f>
        <v>-1.1445716190687905E-2</v>
      </c>
      <c r="O561" s="1121">
        <f t="shared" si="40"/>
        <v>-1.1457630079576793E-2</v>
      </c>
      <c r="P561" s="1122"/>
    </row>
    <row r="562" spans="6:16">
      <c r="F562" s="1121">
        <f t="shared" si="39"/>
        <v>1.1858655870162653E-2</v>
      </c>
      <c r="G562" s="1122"/>
      <c r="H562" s="436">
        <v>41260</v>
      </c>
      <c r="I562" s="738">
        <v>1430.36</v>
      </c>
      <c r="J562" s="440">
        <f t="shared" si="38"/>
        <v>1.1870569759051541E-2</v>
      </c>
      <c r="L562" s="436">
        <v>41260</v>
      </c>
      <c r="M562" s="738">
        <v>90.42</v>
      </c>
      <c r="N562" s="115">
        <f t="shared" si="41"/>
        <v>1.6411870503597159E-2</v>
      </c>
      <c r="O562" s="1121">
        <f t="shared" si="40"/>
        <v>1.6399956614708271E-2</v>
      </c>
      <c r="P562" s="1122"/>
    </row>
    <row r="563" spans="6:16">
      <c r="F563" s="1121">
        <f t="shared" si="39"/>
        <v>1.1474704864432021E-2</v>
      </c>
      <c r="G563" s="1122"/>
      <c r="H563" s="436">
        <v>41261</v>
      </c>
      <c r="I563" s="738">
        <v>1446.79</v>
      </c>
      <c r="J563" s="440">
        <f t="shared" si="38"/>
        <v>1.148661875332091E-2</v>
      </c>
      <c r="L563" s="436">
        <v>41261</v>
      </c>
      <c r="M563" s="738">
        <v>92.93</v>
      </c>
      <c r="N563" s="115">
        <f t="shared" si="41"/>
        <v>2.7759345277593495E-2</v>
      </c>
      <c r="O563" s="1121">
        <f t="shared" si="40"/>
        <v>2.7747431388704606E-2</v>
      </c>
      <c r="P563" s="1122"/>
    </row>
    <row r="564" spans="6:16">
      <c r="F564" s="1121">
        <f t="shared" si="39"/>
        <v>-7.6011286332540251E-3</v>
      </c>
      <c r="G564" s="1122"/>
      <c r="H564" s="436">
        <v>41262</v>
      </c>
      <c r="I564" s="738">
        <v>1435.81</v>
      </c>
      <c r="J564" s="440">
        <f t="shared" si="38"/>
        <v>-7.5892147443651359E-3</v>
      </c>
      <c r="L564" s="436">
        <v>41262</v>
      </c>
      <c r="M564" s="738">
        <v>92.91</v>
      </c>
      <c r="N564" s="115">
        <f t="shared" si="41"/>
        <v>-2.1521575379324087E-4</v>
      </c>
      <c r="O564" s="1121">
        <f t="shared" si="40"/>
        <v>-2.2712964268212975E-4</v>
      </c>
      <c r="P564" s="1122"/>
    </row>
    <row r="565" spans="6:16">
      <c r="F565" s="1121">
        <f t="shared" si="39"/>
        <v>5.4762774456192853E-3</v>
      </c>
      <c r="G565" s="1122"/>
      <c r="H565" s="436">
        <v>41263</v>
      </c>
      <c r="I565" s="738">
        <v>1443.69</v>
      </c>
      <c r="J565" s="440">
        <f t="shared" si="38"/>
        <v>5.4881913345081745E-3</v>
      </c>
      <c r="L565" s="436">
        <v>41263</v>
      </c>
      <c r="M565" s="738">
        <v>92.5</v>
      </c>
      <c r="N565" s="115">
        <f t="shared" si="41"/>
        <v>-4.412872672478696E-3</v>
      </c>
      <c r="O565" s="1121">
        <f t="shared" si="40"/>
        <v>-4.4247865613675852E-3</v>
      </c>
      <c r="P565" s="1122"/>
    </row>
    <row r="566" spans="6:16">
      <c r="F566" s="1121">
        <f t="shared" si="39"/>
        <v>-9.3906586332591704E-3</v>
      </c>
      <c r="G566" s="1122"/>
      <c r="H566" s="436">
        <v>41264</v>
      </c>
      <c r="I566" s="738">
        <v>1430.15</v>
      </c>
      <c r="J566" s="440">
        <f t="shared" si="38"/>
        <v>-9.378744744370282E-3</v>
      </c>
      <c r="L566" s="436">
        <v>41264</v>
      </c>
      <c r="M566" s="738">
        <v>93.13</v>
      </c>
      <c r="N566" s="115">
        <f t="shared" si="41"/>
        <v>6.8108108108106968E-3</v>
      </c>
      <c r="O566" s="1121">
        <f t="shared" si="40"/>
        <v>6.7988969219218076E-3</v>
      </c>
      <c r="P566" s="1122"/>
    </row>
    <row r="567" spans="6:16">
      <c r="F567" s="1121">
        <f t="shared" si="39"/>
        <v>-2.4522173535603893E-3</v>
      </c>
      <c r="G567" s="1122"/>
      <c r="H567" s="436">
        <v>41267</v>
      </c>
      <c r="I567" s="738">
        <v>1426.66</v>
      </c>
      <c r="J567" s="440">
        <f t="shared" si="38"/>
        <v>-2.4403034646715005E-3</v>
      </c>
      <c r="L567" s="436">
        <v>41267</v>
      </c>
      <c r="M567" s="738">
        <v>92.77</v>
      </c>
      <c r="N567" s="115">
        <f t="shared" si="41"/>
        <v>-3.8655642650059496E-3</v>
      </c>
      <c r="O567" s="1121">
        <f t="shared" si="40"/>
        <v>-3.8774781538948385E-3</v>
      </c>
      <c r="P567" s="1122"/>
    </row>
    <row r="568" spans="6:16">
      <c r="F568" s="1121">
        <f t="shared" si="39"/>
        <v>-1.1913888888888887E-5</v>
      </c>
      <c r="G568" s="1122"/>
      <c r="H568" s="436">
        <v>41268</v>
      </c>
      <c r="I568" s="738">
        <v>1426.66</v>
      </c>
      <c r="J568" s="440">
        <f t="shared" si="38"/>
        <v>0</v>
      </c>
      <c r="L568" s="436">
        <v>41268</v>
      </c>
      <c r="M568" s="738">
        <v>92.77</v>
      </c>
      <c r="N568" s="115">
        <f t="shared" si="41"/>
        <v>0</v>
      </c>
      <c r="O568" s="1121">
        <f t="shared" si="40"/>
        <v>-1.1913888888888887E-5</v>
      </c>
      <c r="P568" s="1122"/>
    </row>
    <row r="569" spans="6:16">
      <c r="F569" s="1121">
        <f t="shared" si="39"/>
        <v>-4.7993194375130022E-3</v>
      </c>
      <c r="G569" s="1122"/>
      <c r="H569" s="436">
        <v>41269</v>
      </c>
      <c r="I569" s="738">
        <v>1419.83</v>
      </c>
      <c r="J569" s="440">
        <f t="shared" si="38"/>
        <v>-4.7874055486241129E-3</v>
      </c>
      <c r="L569" s="436">
        <v>41269</v>
      </c>
      <c r="M569" s="738">
        <v>92.03</v>
      </c>
      <c r="N569" s="115">
        <f t="shared" si="41"/>
        <v>-7.9767166109733223E-3</v>
      </c>
      <c r="O569" s="1121">
        <f t="shared" si="40"/>
        <v>-7.9886304998622107E-3</v>
      </c>
      <c r="P569" s="1122"/>
    </row>
    <row r="570" spans="6:16">
      <c r="F570" s="1121">
        <f t="shared" si="39"/>
        <v>-1.2303696195045196E-3</v>
      </c>
      <c r="G570" s="1122"/>
      <c r="H570" s="436">
        <v>41270</v>
      </c>
      <c r="I570" s="738">
        <v>1418.1</v>
      </c>
      <c r="J570" s="440">
        <f t="shared" si="38"/>
        <v>-1.2184557306156307E-3</v>
      </c>
      <c r="L570" s="436">
        <v>41270</v>
      </c>
      <c r="M570" s="738">
        <v>92.83</v>
      </c>
      <c r="N570" s="115">
        <f t="shared" si="41"/>
        <v>8.6928175594913615E-3</v>
      </c>
      <c r="O570" s="1121">
        <f t="shared" si="40"/>
        <v>8.6809036706024731E-3</v>
      </c>
      <c r="P570" s="1122"/>
    </row>
    <row r="571" spans="6:16">
      <c r="F571" s="1121">
        <f t="shared" si="39"/>
        <v>-1.1061910363044387E-2</v>
      </c>
      <c r="G571" s="1122"/>
      <c r="H571" s="436">
        <v>41271</v>
      </c>
      <c r="I571" s="738">
        <v>1402.43</v>
      </c>
      <c r="J571" s="440">
        <f t="shared" si="38"/>
        <v>-1.1049996474155499E-2</v>
      </c>
      <c r="L571" s="436">
        <v>41271</v>
      </c>
      <c r="M571" s="738">
        <v>91.34</v>
      </c>
      <c r="N571" s="115">
        <f t="shared" si="41"/>
        <v>-1.6050845631800037E-2</v>
      </c>
      <c r="O571" s="1121">
        <f t="shared" si="40"/>
        <v>-1.6062759520688925E-2</v>
      </c>
      <c r="P571" s="1122"/>
    </row>
    <row r="572" spans="6:16">
      <c r="F572" s="1121">
        <f t="shared" si="39"/>
        <v>1.6930108172818252E-2</v>
      </c>
      <c r="G572" s="1122"/>
      <c r="H572" s="436">
        <v>41274</v>
      </c>
      <c r="I572" s="738">
        <v>1426.19</v>
      </c>
      <c r="J572" s="440">
        <f t="shared" si="38"/>
        <v>1.694202206170714E-2</v>
      </c>
      <c r="L572" s="436">
        <v>41274</v>
      </c>
      <c r="M572" s="738">
        <v>92.29</v>
      </c>
      <c r="N572" s="115">
        <f t="shared" si="41"/>
        <v>1.0400700678782515E-2</v>
      </c>
      <c r="O572" s="1121">
        <f t="shared" si="40"/>
        <v>1.0388786789893627E-2</v>
      </c>
      <c r="P572" s="1122"/>
    </row>
    <row r="573" spans="6:16">
      <c r="F573" s="1121">
        <f t="shared" si="39"/>
        <v>-1.1913888888888887E-5</v>
      </c>
      <c r="G573" s="1122"/>
      <c r="H573" s="436">
        <v>41275</v>
      </c>
      <c r="I573" s="738">
        <v>1426.19</v>
      </c>
      <c r="J573" s="440">
        <f t="shared" si="38"/>
        <v>0</v>
      </c>
      <c r="L573" s="436">
        <v>41275</v>
      </c>
      <c r="M573" s="738">
        <v>92.29</v>
      </c>
      <c r="N573" s="115">
        <f t="shared" si="41"/>
        <v>0</v>
      </c>
      <c r="O573" s="1121">
        <f t="shared" si="40"/>
        <v>-1.1913888888888887E-5</v>
      </c>
      <c r="P573" s="1122"/>
    </row>
    <row r="574" spans="6:16">
      <c r="F574" s="1121">
        <f t="shared" si="39"/>
        <v>2.5391433491193653E-2</v>
      </c>
      <c r="G574" s="1122"/>
      <c r="H574" s="436">
        <v>41276</v>
      </c>
      <c r="I574" s="738">
        <v>1462.42</v>
      </c>
      <c r="J574" s="440">
        <f t="shared" si="38"/>
        <v>2.5403347380082542E-2</v>
      </c>
      <c r="L574" s="436">
        <v>41276</v>
      </c>
      <c r="M574" s="738">
        <v>93.27</v>
      </c>
      <c r="N574" s="115">
        <f t="shared" si="41"/>
        <v>1.0618701917867401E-2</v>
      </c>
      <c r="O574" s="1121">
        <f t="shared" si="40"/>
        <v>1.0606788028978513E-2</v>
      </c>
      <c r="P574" s="1122"/>
    </row>
    <row r="575" spans="6:16">
      <c r="F575" s="1121">
        <f t="shared" si="39"/>
        <v>-2.0974980575956333E-3</v>
      </c>
      <c r="G575" s="1122"/>
      <c r="H575" s="436">
        <v>41277</v>
      </c>
      <c r="I575" s="738">
        <v>1459.37</v>
      </c>
      <c r="J575" s="440">
        <f t="shared" si="38"/>
        <v>-2.0855841687067445E-3</v>
      </c>
      <c r="L575" s="436">
        <v>41277</v>
      </c>
      <c r="M575" s="738">
        <v>93.55</v>
      </c>
      <c r="N575" s="115">
        <f t="shared" si="41"/>
        <v>3.0020370966012955E-3</v>
      </c>
      <c r="O575" s="1121">
        <f t="shared" si="40"/>
        <v>2.9901232077124066E-3</v>
      </c>
      <c r="P575" s="1122"/>
    </row>
    <row r="576" spans="6:16">
      <c r="F576" s="1121">
        <f t="shared" si="39"/>
        <v>4.8531991393357876E-3</v>
      </c>
      <c r="G576" s="1122"/>
      <c r="H576" s="436">
        <v>41278</v>
      </c>
      <c r="I576" s="738">
        <v>1466.47</v>
      </c>
      <c r="J576" s="440">
        <f t="shared" si="38"/>
        <v>4.8651130282246768E-3</v>
      </c>
      <c r="L576" s="436">
        <v>41278</v>
      </c>
      <c r="M576" s="738">
        <v>93.9</v>
      </c>
      <c r="N576" s="115">
        <f t="shared" si="41"/>
        <v>3.7413148049172396E-3</v>
      </c>
      <c r="O576" s="1121">
        <f t="shared" si="40"/>
        <v>3.7294009160283507E-3</v>
      </c>
      <c r="P576" s="1122"/>
    </row>
    <row r="577" spans="6:16">
      <c r="F577" s="1121">
        <f t="shared" si="39"/>
        <v>-3.1350599471102821E-3</v>
      </c>
      <c r="G577" s="1122"/>
      <c r="H577" s="436">
        <v>41281</v>
      </c>
      <c r="I577" s="738">
        <v>1461.89</v>
      </c>
      <c r="J577" s="440">
        <f t="shared" si="38"/>
        <v>-3.1231460582213932E-3</v>
      </c>
      <c r="L577" s="436">
        <v>41281</v>
      </c>
      <c r="M577" s="738">
        <v>94.22</v>
      </c>
      <c r="N577" s="115">
        <f t="shared" si="41"/>
        <v>3.4078807241746389E-3</v>
      </c>
      <c r="O577" s="1121">
        <f t="shared" si="40"/>
        <v>3.3959668352857501E-3</v>
      </c>
      <c r="P577" s="1122"/>
    </row>
    <row r="578" spans="6:16">
      <c r="F578" s="1121">
        <f t="shared" si="39"/>
        <v>-3.2542919063868266E-3</v>
      </c>
      <c r="G578" s="1122"/>
      <c r="H578" s="436">
        <v>41282</v>
      </c>
      <c r="I578" s="738">
        <v>1457.15</v>
      </c>
      <c r="J578" s="440">
        <f t="shared" si="38"/>
        <v>-3.2423780174979377E-3</v>
      </c>
      <c r="L578" s="436">
        <v>41282</v>
      </c>
      <c r="M578" s="738">
        <v>92.96</v>
      </c>
      <c r="N578" s="115">
        <f t="shared" si="41"/>
        <v>-1.3372956909361133E-2</v>
      </c>
      <c r="O578" s="1121">
        <f t="shared" si="40"/>
        <v>-1.3384870798250022E-2</v>
      </c>
      <c r="P578" s="1122"/>
    </row>
    <row r="579" spans="6:16">
      <c r="F579" s="1121">
        <f t="shared" si="39"/>
        <v>2.6439554450848816E-3</v>
      </c>
      <c r="G579" s="1122"/>
      <c r="H579" s="436">
        <v>41283</v>
      </c>
      <c r="I579" s="738">
        <v>1461.02</v>
      </c>
      <c r="J579" s="440">
        <f t="shared" si="38"/>
        <v>2.6558693339737705E-3</v>
      </c>
      <c r="L579" s="436">
        <v>41283</v>
      </c>
      <c r="M579" s="738">
        <v>93.99</v>
      </c>
      <c r="N579" s="115">
        <f t="shared" si="41"/>
        <v>1.1080034423407881E-2</v>
      </c>
      <c r="O579" s="1121">
        <f t="shared" si="40"/>
        <v>1.1068120534518992E-2</v>
      </c>
      <c r="P579" s="1122"/>
    </row>
    <row r="580" spans="6:16">
      <c r="F580" s="1121">
        <f t="shared" si="39"/>
        <v>7.5855180422276158E-3</v>
      </c>
      <c r="G580" s="1122"/>
      <c r="H580" s="436">
        <v>41284</v>
      </c>
      <c r="I580" s="738">
        <v>1472.12</v>
      </c>
      <c r="J580" s="440">
        <f t="shared" si="38"/>
        <v>7.5974319311165051E-3</v>
      </c>
      <c r="L580" s="436">
        <v>41284</v>
      </c>
      <c r="M580" s="738">
        <v>94.11</v>
      </c>
      <c r="N580" s="115">
        <f t="shared" si="41"/>
        <v>1.2767315671879942E-3</v>
      </c>
      <c r="O580" s="1121">
        <f t="shared" si="40"/>
        <v>1.2648176782991054E-3</v>
      </c>
      <c r="P580" s="1122"/>
    </row>
    <row r="581" spans="6:16">
      <c r="F581" s="1121">
        <f t="shared" si="39"/>
        <v>-5.9464360317792115E-5</v>
      </c>
      <c r="G581" s="1122"/>
      <c r="H581" s="436">
        <v>41285</v>
      </c>
      <c r="I581" s="738">
        <v>1472.05</v>
      </c>
      <c r="J581" s="440">
        <f t="shared" si="38"/>
        <v>-4.7550471428903229E-5</v>
      </c>
      <c r="L581" s="436">
        <v>41285</v>
      </c>
      <c r="M581" s="738">
        <v>93.71</v>
      </c>
      <c r="N581" s="115">
        <f t="shared" si="41"/>
        <v>-4.2503453405590141E-3</v>
      </c>
      <c r="O581" s="1121">
        <f t="shared" si="40"/>
        <v>-4.2622592294479034E-3</v>
      </c>
      <c r="P581" s="1122"/>
    </row>
    <row r="582" spans="6:16">
      <c r="F582" s="1121">
        <f t="shared" si="39"/>
        <v>-9.425887980291167E-4</v>
      </c>
      <c r="G582" s="1122"/>
      <c r="H582" s="436">
        <v>41288</v>
      </c>
      <c r="I582" s="738">
        <v>1470.68</v>
      </c>
      <c r="J582" s="440">
        <f t="shared" si="38"/>
        <v>-9.3067490914022777E-4</v>
      </c>
      <c r="L582" s="436">
        <v>41288</v>
      </c>
      <c r="M582" s="738">
        <v>93.91</v>
      </c>
      <c r="N582" s="115">
        <f t="shared" si="41"/>
        <v>2.1342439440827921E-3</v>
      </c>
      <c r="O582" s="1121">
        <f t="shared" si="40"/>
        <v>2.1223300551939032E-3</v>
      </c>
      <c r="P582" s="1122"/>
    </row>
    <row r="583" spans="6:16">
      <c r="F583" s="1121">
        <f t="shared" si="39"/>
        <v>1.1168156783859444E-3</v>
      </c>
      <c r="G583" s="1122"/>
      <c r="H583" s="436">
        <v>41289</v>
      </c>
      <c r="I583" s="738">
        <v>1472.34</v>
      </c>
      <c r="J583" s="440">
        <f t="shared" si="38"/>
        <v>1.1287295672748332E-3</v>
      </c>
      <c r="L583" s="436">
        <v>41289</v>
      </c>
      <c r="M583" s="738">
        <v>94.02</v>
      </c>
      <c r="N583" s="115">
        <f t="shared" si="41"/>
        <v>1.1713342562027496E-3</v>
      </c>
      <c r="O583" s="1121">
        <f t="shared" si="40"/>
        <v>1.1594203673138607E-3</v>
      </c>
      <c r="P583" s="1122"/>
    </row>
    <row r="584" spans="6:16">
      <c r="F584" s="1121">
        <f t="shared" si="39"/>
        <v>1.8505148595681454E-4</v>
      </c>
      <c r="G584" s="1122"/>
      <c r="H584" s="436">
        <v>41290</v>
      </c>
      <c r="I584" s="738">
        <v>1472.63</v>
      </c>
      <c r="J584" s="440">
        <f t="shared" si="38"/>
        <v>1.9696537484570342E-4</v>
      </c>
      <c r="L584" s="436">
        <v>41290</v>
      </c>
      <c r="M584" s="738">
        <v>93.55</v>
      </c>
      <c r="N584" s="115">
        <f t="shared" si="41"/>
        <v>-4.9989363965113887E-3</v>
      </c>
      <c r="O584" s="1121">
        <f t="shared" si="40"/>
        <v>-5.0108502854002779E-3</v>
      </c>
      <c r="P584" s="1122"/>
    </row>
    <row r="585" spans="6:16">
      <c r="F585" s="1121">
        <f t="shared" si="39"/>
        <v>5.6310514180789506E-3</v>
      </c>
      <c r="G585" s="1122"/>
      <c r="H585" s="436">
        <v>41291</v>
      </c>
      <c r="I585" s="738">
        <v>1480.94</v>
      </c>
      <c r="J585" s="440">
        <f t="shared" si="38"/>
        <v>5.6429653069678398E-3</v>
      </c>
      <c r="L585" s="436">
        <v>41291</v>
      </c>
      <c r="M585" s="738">
        <v>94.75</v>
      </c>
      <c r="N585" s="115">
        <f t="shared" si="41"/>
        <v>1.282736504543025E-2</v>
      </c>
      <c r="O585" s="1121">
        <f t="shared" si="40"/>
        <v>1.2815451156541362E-2</v>
      </c>
      <c r="P585" s="1122"/>
    </row>
    <row r="586" spans="6:16">
      <c r="F586" s="1121">
        <f t="shared" si="39"/>
        <v>3.3913299967512837E-3</v>
      </c>
      <c r="G586" s="1122"/>
      <c r="H586" s="436">
        <v>41292</v>
      </c>
      <c r="I586" s="738">
        <v>1485.98</v>
      </c>
      <c r="J586" s="440">
        <f t="shared" si="38"/>
        <v>3.4032438856401726E-3</v>
      </c>
      <c r="L586" s="436">
        <v>41292</v>
      </c>
      <c r="M586" s="738">
        <v>93.97</v>
      </c>
      <c r="N586" s="115">
        <f t="shared" si="41"/>
        <v>-8.2321899736147452E-3</v>
      </c>
      <c r="O586" s="1121">
        <f t="shared" si="40"/>
        <v>-8.2441038625036336E-3</v>
      </c>
      <c r="P586" s="1122"/>
    </row>
    <row r="587" spans="6:16">
      <c r="F587" s="1121">
        <f t="shared" si="39"/>
        <v>-1.1913888888888887E-5</v>
      </c>
      <c r="G587" s="1122"/>
      <c r="H587" s="436">
        <v>41295</v>
      </c>
      <c r="I587" s="738">
        <v>1485.98</v>
      </c>
      <c r="J587" s="440">
        <f t="shared" si="38"/>
        <v>0</v>
      </c>
      <c r="L587" s="436">
        <v>41295</v>
      </c>
      <c r="M587" s="738">
        <v>93.97</v>
      </c>
      <c r="N587" s="115">
        <f t="shared" si="41"/>
        <v>0</v>
      </c>
      <c r="O587" s="1121">
        <f t="shared" si="40"/>
        <v>-1.1913888888888887E-5</v>
      </c>
      <c r="P587" s="1122"/>
    </row>
    <row r="588" spans="6:16">
      <c r="F588" s="1121">
        <f t="shared" si="39"/>
        <v>4.4161403244921049E-3</v>
      </c>
      <c r="G588" s="1122"/>
      <c r="H588" s="436">
        <v>41296</v>
      </c>
      <c r="I588" s="738">
        <v>1492.56</v>
      </c>
      <c r="J588" s="440">
        <f t="shared" si="38"/>
        <v>4.4280542133809941E-3</v>
      </c>
      <c r="L588" s="436">
        <v>41296</v>
      </c>
      <c r="M588" s="738">
        <v>95.33</v>
      </c>
      <c r="N588" s="115">
        <f t="shared" si="41"/>
        <v>1.4472704054485419E-2</v>
      </c>
      <c r="O588" s="1121">
        <f t="shared" si="40"/>
        <v>1.4460790165596531E-2</v>
      </c>
      <c r="P588" s="1122"/>
    </row>
    <row r="589" spans="6:16">
      <c r="F589" s="1121">
        <f t="shared" si="39"/>
        <v>1.4955631974594634E-3</v>
      </c>
      <c r="G589" s="1122"/>
      <c r="H589" s="436">
        <v>41297</v>
      </c>
      <c r="I589" s="738">
        <v>1494.81</v>
      </c>
      <c r="J589" s="440">
        <f t="shared" si="38"/>
        <v>1.5074770863483522E-3</v>
      </c>
      <c r="L589" s="436">
        <v>41297</v>
      </c>
      <c r="M589" s="738">
        <v>96.07</v>
      </c>
      <c r="N589" s="115">
        <f t="shared" si="41"/>
        <v>7.7625091786426292E-3</v>
      </c>
      <c r="O589" s="1121">
        <f t="shared" si="40"/>
        <v>7.75059528975374E-3</v>
      </c>
      <c r="P589" s="1122"/>
    </row>
    <row r="590" spans="6:16">
      <c r="F590" s="1121">
        <f t="shared" si="39"/>
        <v>-5.224075467887498E-6</v>
      </c>
      <c r="G590" s="1122"/>
      <c r="H590" s="436">
        <v>41298</v>
      </c>
      <c r="I590" s="738">
        <v>1494.82</v>
      </c>
      <c r="J590" s="440">
        <f t="shared" si="38"/>
        <v>6.6898134210013893E-6</v>
      </c>
      <c r="L590" s="436">
        <v>41298</v>
      </c>
      <c r="M590" s="738">
        <v>93.25</v>
      </c>
      <c r="N590" s="115">
        <f t="shared" si="41"/>
        <v>-2.9353596336004872E-2</v>
      </c>
      <c r="O590" s="1121">
        <f t="shared" si="40"/>
        <v>-2.9365510224893761E-2</v>
      </c>
      <c r="P590" s="1122"/>
    </row>
    <row r="591" spans="6:16">
      <c r="F591" s="1121">
        <f t="shared" si="39"/>
        <v>5.4335578066998435E-3</v>
      </c>
      <c r="G591" s="1122"/>
      <c r="H591" s="436">
        <v>41299</v>
      </c>
      <c r="I591" s="738">
        <v>1502.96</v>
      </c>
      <c r="J591" s="440">
        <f t="shared" si="38"/>
        <v>5.4454716955887328E-3</v>
      </c>
      <c r="L591" s="436">
        <v>41299</v>
      </c>
      <c r="M591" s="738">
        <v>92.39</v>
      </c>
      <c r="N591" s="115">
        <f t="shared" si="41"/>
        <v>-9.2225201072385632E-3</v>
      </c>
      <c r="O591" s="1121">
        <f t="shared" si="40"/>
        <v>-9.2344339961274516E-3</v>
      </c>
      <c r="P591" s="1122"/>
    </row>
    <row r="592" spans="6:16">
      <c r="F592" s="1121">
        <f t="shared" si="39"/>
        <v>-1.8615971805267047E-3</v>
      </c>
      <c r="G592" s="1122"/>
      <c r="H592" s="436">
        <v>41302</v>
      </c>
      <c r="I592" s="738">
        <v>1500.18</v>
      </c>
      <c r="J592" s="440">
        <f t="shared" si="38"/>
        <v>-1.8496832916378159E-3</v>
      </c>
      <c r="L592" s="436">
        <v>41302</v>
      </c>
      <c r="M592" s="738">
        <v>89.32</v>
      </c>
      <c r="N592" s="115">
        <f t="shared" si="41"/>
        <v>-3.3228704405238729E-2</v>
      </c>
      <c r="O592" s="1121">
        <f t="shared" si="40"/>
        <v>-3.3240618294127618E-2</v>
      </c>
      <c r="P592" s="1122"/>
    </row>
    <row r="593" spans="6:16">
      <c r="F593" s="1121">
        <f t="shared" si="39"/>
        <v>5.0941400513048107E-3</v>
      </c>
      <c r="G593" s="1122"/>
      <c r="H593" s="436">
        <v>41303</v>
      </c>
      <c r="I593" s="738">
        <v>1507.84</v>
      </c>
      <c r="J593" s="440">
        <f t="shared" si="38"/>
        <v>5.1060539401937E-3</v>
      </c>
      <c r="L593" s="436">
        <v>41303</v>
      </c>
      <c r="M593" s="738">
        <v>89.85</v>
      </c>
      <c r="N593" s="115">
        <f t="shared" si="41"/>
        <v>5.9337214509629366E-3</v>
      </c>
      <c r="O593" s="1121">
        <f t="shared" si="40"/>
        <v>5.9218075620740473E-3</v>
      </c>
      <c r="P593" s="1122"/>
    </row>
    <row r="594" spans="6:16">
      <c r="F594" s="1121">
        <f t="shared" si="39"/>
        <v>-3.9115318854932102E-3</v>
      </c>
      <c r="G594" s="1122"/>
      <c r="H594" s="436">
        <v>41304</v>
      </c>
      <c r="I594" s="738">
        <v>1501.96</v>
      </c>
      <c r="J594" s="440">
        <f t="shared" si="38"/>
        <v>-3.899617996604321E-3</v>
      </c>
      <c r="L594" s="436">
        <v>41304</v>
      </c>
      <c r="M594" s="738">
        <v>88.21</v>
      </c>
      <c r="N594" s="115">
        <f t="shared" si="41"/>
        <v>-1.8252643294379478E-2</v>
      </c>
      <c r="O594" s="1121">
        <f t="shared" si="40"/>
        <v>-1.8264557183268366E-2</v>
      </c>
      <c r="P594" s="1122"/>
    </row>
    <row r="595" spans="6:16">
      <c r="F595" s="1121">
        <f t="shared" si="39"/>
        <v>-2.5752311543287905E-3</v>
      </c>
      <c r="G595" s="1122"/>
      <c r="H595" s="436">
        <v>41305</v>
      </c>
      <c r="I595" s="738">
        <v>1498.11</v>
      </c>
      <c r="J595" s="440">
        <f t="shared" si="38"/>
        <v>-2.5633172654399017E-3</v>
      </c>
      <c r="L595" s="436">
        <v>41305</v>
      </c>
      <c r="M595" s="738">
        <v>86.87</v>
      </c>
      <c r="N595" s="115">
        <f t="shared" si="41"/>
        <v>-1.5191021426142037E-2</v>
      </c>
      <c r="O595" s="1121">
        <f t="shared" si="40"/>
        <v>-1.5202935315030926E-2</v>
      </c>
      <c r="P595" s="1122"/>
    </row>
    <row r="596" spans="6:16">
      <c r="F596" s="1121">
        <f t="shared" si="39"/>
        <v>1.0040752470724328E-2</v>
      </c>
      <c r="G596" s="1122"/>
      <c r="H596" s="436">
        <v>41306</v>
      </c>
      <c r="I596" s="738">
        <v>1513.17</v>
      </c>
      <c r="J596" s="440">
        <f t="shared" si="38"/>
        <v>1.0052666359613216E-2</v>
      </c>
      <c r="L596" s="436">
        <v>41306</v>
      </c>
      <c r="M596" s="738">
        <v>87.22</v>
      </c>
      <c r="N596" s="115">
        <f t="shared" si="41"/>
        <v>4.0290088638195165E-3</v>
      </c>
      <c r="O596" s="1121">
        <f t="shared" si="40"/>
        <v>4.0170949749306272E-3</v>
      </c>
      <c r="P596" s="1122"/>
    </row>
    <row r="597" spans="6:16">
      <c r="F597" s="1121">
        <f t="shared" si="39"/>
        <v>-1.1550604188062204E-2</v>
      </c>
      <c r="G597" s="1122"/>
      <c r="H597" s="436">
        <v>41309</v>
      </c>
      <c r="I597" s="738">
        <v>1495.71</v>
      </c>
      <c r="J597" s="440">
        <f t="shared" si="38"/>
        <v>-1.1538690299173315E-2</v>
      </c>
      <c r="L597" s="436">
        <v>41309</v>
      </c>
      <c r="M597" s="738">
        <v>86.7</v>
      </c>
      <c r="N597" s="115">
        <f t="shared" si="41"/>
        <v>-5.9619353359320337E-3</v>
      </c>
      <c r="O597" s="1121">
        <f t="shared" si="40"/>
        <v>-5.973849224820923E-3</v>
      </c>
      <c r="P597" s="1122"/>
    </row>
    <row r="598" spans="6:16">
      <c r="F598" s="1121">
        <f t="shared" si="39"/>
        <v>1.0404543846902141E-2</v>
      </c>
      <c r="G598" s="1122"/>
      <c r="H598" s="436">
        <v>41310</v>
      </c>
      <c r="I598" s="738">
        <v>1511.29</v>
      </c>
      <c r="J598" s="440">
        <f t="shared" si="38"/>
        <v>1.0416457735791029E-2</v>
      </c>
      <c r="L598" s="436">
        <v>41310</v>
      </c>
      <c r="M598" s="738">
        <v>87.01</v>
      </c>
      <c r="N598" s="115">
        <f t="shared" si="41"/>
        <v>3.5755478662053974E-3</v>
      </c>
      <c r="O598" s="1121">
        <f t="shared" si="40"/>
        <v>3.5636339773165086E-3</v>
      </c>
      <c r="P598" s="1122"/>
    </row>
    <row r="599" spans="6:16">
      <c r="F599" s="1121">
        <f t="shared" si="39"/>
        <v>5.3728580144173728E-4</v>
      </c>
      <c r="G599" s="1122"/>
      <c r="H599" s="436">
        <v>41311</v>
      </c>
      <c r="I599" s="738">
        <v>1512.12</v>
      </c>
      <c r="J599" s="440">
        <f t="shared" si="38"/>
        <v>5.4919969033062621E-4</v>
      </c>
      <c r="L599" s="436">
        <v>41311</v>
      </c>
      <c r="M599" s="738">
        <v>87.6</v>
      </c>
      <c r="N599" s="115">
        <f t="shared" si="41"/>
        <v>6.7808297896791991E-3</v>
      </c>
      <c r="O599" s="1121">
        <f t="shared" si="40"/>
        <v>6.7689159007903099E-3</v>
      </c>
      <c r="P599" s="1122"/>
    </row>
    <row r="600" spans="6:16">
      <c r="F600" s="1121">
        <f t="shared" si="39"/>
        <v>-1.8173261577563234E-3</v>
      </c>
      <c r="G600" s="1122"/>
      <c r="H600" s="436">
        <v>41312</v>
      </c>
      <c r="I600" s="738">
        <v>1509.39</v>
      </c>
      <c r="J600" s="440">
        <f t="shared" si="38"/>
        <v>-1.8054122688674346E-3</v>
      </c>
      <c r="L600" s="436">
        <v>41312</v>
      </c>
      <c r="M600" s="738">
        <v>87.44</v>
      </c>
      <c r="N600" s="115">
        <f t="shared" si="41"/>
        <v>-1.8264840182647957E-3</v>
      </c>
      <c r="O600" s="1121">
        <f t="shared" si="40"/>
        <v>-1.8383979071536845E-3</v>
      </c>
      <c r="P600" s="1122"/>
    </row>
    <row r="601" spans="6:16">
      <c r="F601" s="1121">
        <f t="shared" si="39"/>
        <v>5.6460008978792475E-3</v>
      </c>
      <c r="G601" s="1122"/>
      <c r="H601" s="436">
        <v>41313</v>
      </c>
      <c r="I601" s="738">
        <v>1517.93</v>
      </c>
      <c r="J601" s="440">
        <f t="shared" si="38"/>
        <v>5.6579147867681368E-3</v>
      </c>
      <c r="L601" s="436">
        <v>41313</v>
      </c>
      <c r="M601" s="738">
        <v>88.01</v>
      </c>
      <c r="N601" s="115">
        <f t="shared" si="41"/>
        <v>6.5187557182069256E-3</v>
      </c>
      <c r="O601" s="1121">
        <f t="shared" si="40"/>
        <v>6.5068418293180363E-3</v>
      </c>
      <c r="P601" s="1122"/>
    </row>
    <row r="602" spans="6:16">
      <c r="F602" s="1121">
        <f t="shared" si="39"/>
        <v>-6.1800244369714845E-4</v>
      </c>
      <c r="G602" s="1122"/>
      <c r="H602" s="436">
        <v>41316</v>
      </c>
      <c r="I602" s="738">
        <v>1517.01</v>
      </c>
      <c r="J602" s="440">
        <f t="shared" si="38"/>
        <v>-6.0608855480825952E-4</v>
      </c>
      <c r="L602" s="436">
        <v>41316</v>
      </c>
      <c r="M602" s="738">
        <v>87.53</v>
      </c>
      <c r="N602" s="115">
        <f t="shared" si="41"/>
        <v>-5.4539256902624844E-3</v>
      </c>
      <c r="O602" s="1121">
        <f t="shared" si="40"/>
        <v>-5.4658395791513737E-3</v>
      </c>
      <c r="P602" s="1122"/>
    </row>
    <row r="603" spans="6:16">
      <c r="F603" s="1121">
        <f t="shared" si="39"/>
        <v>1.5833293857104784E-3</v>
      </c>
      <c r="G603" s="1122"/>
      <c r="H603" s="436">
        <v>41317</v>
      </c>
      <c r="I603" s="738">
        <v>1519.43</v>
      </c>
      <c r="J603" s="440">
        <f t="shared" si="38"/>
        <v>1.5952432745993672E-3</v>
      </c>
      <c r="L603" s="436">
        <v>41317</v>
      </c>
      <c r="M603" s="738">
        <v>87.26</v>
      </c>
      <c r="N603" s="115">
        <f t="shared" si="41"/>
        <v>-3.0846566891351568E-3</v>
      </c>
      <c r="O603" s="1121">
        <f t="shared" si="40"/>
        <v>-3.0965705780240456E-3</v>
      </c>
      <c r="P603" s="1122"/>
    </row>
    <row r="604" spans="6:16">
      <c r="F604" s="1121">
        <f t="shared" si="39"/>
        <v>5.8041349703873786E-4</v>
      </c>
      <c r="G604" s="1122"/>
      <c r="H604" s="436">
        <v>41318</v>
      </c>
      <c r="I604" s="738">
        <v>1520.33</v>
      </c>
      <c r="J604" s="440">
        <f t="shared" si="38"/>
        <v>5.9232738592762679E-4</v>
      </c>
      <c r="L604" s="436">
        <v>41318</v>
      </c>
      <c r="M604" s="738">
        <v>87.06</v>
      </c>
      <c r="N604" s="115">
        <f t="shared" si="41"/>
        <v>-2.2920009168003741E-3</v>
      </c>
      <c r="O604" s="1121">
        <f t="shared" si="40"/>
        <v>-2.3039148056892629E-3</v>
      </c>
      <c r="P604" s="1122"/>
    </row>
    <row r="605" spans="6:16">
      <c r="F605" s="1121">
        <f t="shared" si="39"/>
        <v>6.7872564331816017E-4</v>
      </c>
      <c r="G605" s="1122"/>
      <c r="H605" s="436">
        <v>41319</v>
      </c>
      <c r="I605" s="738">
        <v>1521.38</v>
      </c>
      <c r="J605" s="440">
        <f t="shared" ref="J605:J668" si="42">I605/I604-1</f>
        <v>6.906395322070491E-4</v>
      </c>
      <c r="L605" s="436">
        <v>41319</v>
      </c>
      <c r="M605" s="738">
        <v>87.08</v>
      </c>
      <c r="N605" s="115">
        <f t="shared" si="41"/>
        <v>2.2972662531572929E-4</v>
      </c>
      <c r="O605" s="1121">
        <f t="shared" si="40"/>
        <v>2.1781273642684041E-4</v>
      </c>
      <c r="P605" s="1122"/>
    </row>
    <row r="606" spans="6:16">
      <c r="F606" s="1121">
        <f t="shared" ref="F606:F669" si="43">J606-$I$19</f>
        <v>-1.0570176762398982E-3</v>
      </c>
      <c r="G606" s="1122"/>
      <c r="H606" s="436">
        <v>41320</v>
      </c>
      <c r="I606" s="738">
        <v>1519.79</v>
      </c>
      <c r="J606" s="440">
        <f t="shared" si="42"/>
        <v>-1.0451037873510094E-3</v>
      </c>
      <c r="L606" s="436">
        <v>41320</v>
      </c>
      <c r="M606" s="738">
        <v>87.87</v>
      </c>
      <c r="N606" s="115">
        <f t="shared" si="41"/>
        <v>9.0721175930179587E-3</v>
      </c>
      <c r="O606" s="1121">
        <f t="shared" ref="O606:O669" si="44">N606-$I$19</f>
        <v>9.0602037041290703E-3</v>
      </c>
      <c r="P606" s="1122"/>
    </row>
    <row r="607" spans="6:16">
      <c r="F607" s="1121">
        <f t="shared" si="43"/>
        <v>-1.1913888888888887E-5</v>
      </c>
      <c r="G607" s="1122"/>
      <c r="H607" s="436">
        <v>41323</v>
      </c>
      <c r="I607" s="738">
        <v>1519.79</v>
      </c>
      <c r="J607" s="440">
        <f t="shared" si="42"/>
        <v>0</v>
      </c>
      <c r="L607" s="436">
        <v>41323</v>
      </c>
      <c r="M607" s="738">
        <v>87.87</v>
      </c>
      <c r="N607" s="115">
        <f t="shared" si="41"/>
        <v>0</v>
      </c>
      <c r="O607" s="1121">
        <f t="shared" si="44"/>
        <v>-1.1913888888888887E-5</v>
      </c>
      <c r="P607" s="1122"/>
    </row>
    <row r="608" spans="6:16">
      <c r="F608" s="1121">
        <f t="shared" si="43"/>
        <v>7.324626027810247E-3</v>
      </c>
      <c r="G608" s="1122"/>
      <c r="H608" s="436">
        <v>41324</v>
      </c>
      <c r="I608" s="738">
        <v>1530.94</v>
      </c>
      <c r="J608" s="440">
        <f t="shared" si="42"/>
        <v>7.3365399166991363E-3</v>
      </c>
      <c r="L608" s="436">
        <v>41324</v>
      </c>
      <c r="M608" s="738">
        <v>88.23</v>
      </c>
      <c r="N608" s="115">
        <f t="shared" si="41"/>
        <v>4.096961420279932E-3</v>
      </c>
      <c r="O608" s="1121">
        <f t="shared" si="44"/>
        <v>4.0850475313910428E-3</v>
      </c>
      <c r="P608" s="1122"/>
    </row>
    <row r="609" spans="6:16">
      <c r="F609" s="1121">
        <f t="shared" si="43"/>
        <v>-1.2416057748217198E-2</v>
      </c>
      <c r="G609" s="1122"/>
      <c r="H609" s="436">
        <v>41325</v>
      </c>
      <c r="I609" s="738">
        <v>1511.95</v>
      </c>
      <c r="J609" s="440">
        <f t="shared" si="42"/>
        <v>-1.2404143859328309E-2</v>
      </c>
      <c r="L609" s="436">
        <v>41325</v>
      </c>
      <c r="M609" s="738">
        <v>87.73</v>
      </c>
      <c r="N609" s="115">
        <f t="shared" si="41"/>
        <v>-5.667006687067877E-3</v>
      </c>
      <c r="O609" s="1121">
        <f t="shared" si="44"/>
        <v>-5.6789205759567663E-3</v>
      </c>
      <c r="P609" s="1122"/>
    </row>
    <row r="610" spans="6:16">
      <c r="F610" s="1121">
        <f t="shared" si="43"/>
        <v>-6.3150323782569318E-3</v>
      </c>
      <c r="G610" s="1122"/>
      <c r="H610" s="436">
        <v>41326</v>
      </c>
      <c r="I610" s="738">
        <v>1502.42</v>
      </c>
      <c r="J610" s="440">
        <f t="shared" si="42"/>
        <v>-6.3031184893680425E-3</v>
      </c>
      <c r="L610" s="436">
        <v>41326</v>
      </c>
      <c r="M610" s="738">
        <v>87.56</v>
      </c>
      <c r="N610" s="115">
        <f t="shared" si="41"/>
        <v>-1.9377635928417014E-3</v>
      </c>
      <c r="O610" s="1121">
        <f t="shared" si="44"/>
        <v>-1.9496774817305902E-3</v>
      </c>
      <c r="P610" s="1122"/>
    </row>
    <row r="611" spans="6:16">
      <c r="F611" s="1121">
        <f t="shared" si="43"/>
        <v>8.7605997890439699E-3</v>
      </c>
      <c r="G611" s="1122"/>
      <c r="H611" s="436">
        <v>41327</v>
      </c>
      <c r="I611" s="738">
        <v>1515.6</v>
      </c>
      <c r="J611" s="440">
        <f t="shared" si="42"/>
        <v>8.7725136779328583E-3</v>
      </c>
      <c r="L611" s="436">
        <v>41327</v>
      </c>
      <c r="M611" s="738">
        <v>88.12</v>
      </c>
      <c r="N611" s="115">
        <f t="shared" si="41"/>
        <v>6.3956144358154887E-3</v>
      </c>
      <c r="O611" s="1121">
        <f t="shared" si="44"/>
        <v>6.3837005469265995E-3</v>
      </c>
      <c r="P611" s="1122"/>
    </row>
    <row r="612" spans="6:16">
      <c r="F612" s="1121">
        <f t="shared" si="43"/>
        <v>-1.8321494253101041E-2</v>
      </c>
      <c r="G612" s="1122"/>
      <c r="H612" s="436">
        <v>41330</v>
      </c>
      <c r="I612" s="738">
        <v>1487.85</v>
      </c>
      <c r="J612" s="440">
        <f t="shared" si="42"/>
        <v>-1.8309580364212152E-2</v>
      </c>
      <c r="L612" s="436">
        <v>41330</v>
      </c>
      <c r="M612" s="738">
        <v>87.88</v>
      </c>
      <c r="N612" s="115">
        <f t="shared" si="41"/>
        <v>-2.7235587834771868E-3</v>
      </c>
      <c r="O612" s="1121">
        <f t="shared" si="44"/>
        <v>-2.7354726723660757E-3</v>
      </c>
      <c r="P612" s="1122"/>
    </row>
    <row r="613" spans="6:16">
      <c r="F613" s="1121">
        <f t="shared" si="43"/>
        <v>6.0975729545430435E-3</v>
      </c>
      <c r="G613" s="1122"/>
      <c r="H613" s="436">
        <v>41331</v>
      </c>
      <c r="I613" s="738">
        <v>1496.94</v>
      </c>
      <c r="J613" s="440">
        <f t="shared" si="42"/>
        <v>6.1094868434319327E-3</v>
      </c>
      <c r="L613" s="436">
        <v>41331</v>
      </c>
      <c r="M613" s="738">
        <v>87.3</v>
      </c>
      <c r="N613" s="115">
        <f t="shared" si="41"/>
        <v>-6.5999089667728716E-3</v>
      </c>
      <c r="O613" s="1121">
        <f t="shared" si="44"/>
        <v>-6.6118228556617609E-3</v>
      </c>
      <c r="P613" s="1122"/>
    </row>
    <row r="614" spans="6:16">
      <c r="F614" s="1121">
        <f t="shared" si="43"/>
        <v>1.2714047071470273E-2</v>
      </c>
      <c r="G614" s="1122"/>
      <c r="H614" s="436">
        <v>41332</v>
      </c>
      <c r="I614" s="738">
        <v>1515.99</v>
      </c>
      <c r="J614" s="440">
        <f t="shared" si="42"/>
        <v>1.2725960960359162E-2</v>
      </c>
      <c r="L614" s="436">
        <v>41332</v>
      </c>
      <c r="M614" s="738">
        <v>88.33</v>
      </c>
      <c r="N614" s="115">
        <f t="shared" si="41"/>
        <v>1.1798396334478767E-2</v>
      </c>
      <c r="O614" s="1121">
        <f t="shared" si="44"/>
        <v>1.1786482445589878E-2</v>
      </c>
      <c r="P614" s="1122"/>
    </row>
    <row r="615" spans="6:16">
      <c r="F615" s="1121">
        <f t="shared" si="43"/>
        <v>-8.760356838875069E-4</v>
      </c>
      <c r="G615" s="1122"/>
      <c r="H615" s="436">
        <v>41333</v>
      </c>
      <c r="I615" s="738">
        <v>1514.68</v>
      </c>
      <c r="J615" s="440">
        <f t="shared" si="42"/>
        <v>-8.6412179499861796E-4</v>
      </c>
      <c r="L615" s="436">
        <v>41333</v>
      </c>
      <c r="M615" s="738">
        <v>88</v>
      </c>
      <c r="N615" s="115">
        <f t="shared" si="41"/>
        <v>-3.7359900373599153E-3</v>
      </c>
      <c r="O615" s="1121">
        <f t="shared" si="44"/>
        <v>-3.7479039262488041E-3</v>
      </c>
      <c r="P615" s="1122"/>
    </row>
    <row r="616" spans="6:16">
      <c r="F616" s="1121">
        <f t="shared" si="43"/>
        <v>2.3120093160123793E-3</v>
      </c>
      <c r="G616" s="1122"/>
      <c r="H616" s="436">
        <v>41334</v>
      </c>
      <c r="I616" s="738">
        <v>1518.2</v>
      </c>
      <c r="J616" s="440">
        <f t="shared" si="42"/>
        <v>2.3239232049012681E-3</v>
      </c>
      <c r="L616" s="436">
        <v>41334</v>
      </c>
      <c r="M616" s="738">
        <v>88.17</v>
      </c>
      <c r="N616" s="115">
        <f t="shared" si="41"/>
        <v>1.9318181818182012E-3</v>
      </c>
      <c r="O616" s="1121">
        <f t="shared" si="44"/>
        <v>1.9199042929293124E-3</v>
      </c>
      <c r="P616" s="1122"/>
    </row>
    <row r="617" spans="6:16">
      <c r="F617" s="1121">
        <f t="shared" si="43"/>
        <v>4.5988093359826598E-3</v>
      </c>
      <c r="G617" s="1122"/>
      <c r="H617" s="436">
        <v>41337</v>
      </c>
      <c r="I617" s="738">
        <v>1525.2</v>
      </c>
      <c r="J617" s="440">
        <f t="shared" si="42"/>
        <v>4.6107232248715491E-3</v>
      </c>
      <c r="L617" s="436">
        <v>41337</v>
      </c>
      <c r="M617" s="738">
        <v>87.1</v>
      </c>
      <c r="N617" s="115">
        <f t="shared" si="41"/>
        <v>-1.2135647045480424E-2</v>
      </c>
      <c r="O617" s="1121">
        <f t="shared" si="44"/>
        <v>-1.2147560934369313E-2</v>
      </c>
      <c r="P617" s="1122"/>
    </row>
    <row r="618" spans="6:16">
      <c r="F618" s="1121">
        <f t="shared" si="43"/>
        <v>9.5540446739225057E-3</v>
      </c>
      <c r="G618" s="1122"/>
      <c r="H618" s="436">
        <v>41338</v>
      </c>
      <c r="I618" s="738">
        <v>1539.79</v>
      </c>
      <c r="J618" s="440">
        <f t="shared" si="42"/>
        <v>9.5659585628113941E-3</v>
      </c>
      <c r="L618" s="436">
        <v>41338</v>
      </c>
      <c r="M618" s="738">
        <v>87.81</v>
      </c>
      <c r="N618" s="115">
        <f t="shared" si="41"/>
        <v>8.1515499425948157E-3</v>
      </c>
      <c r="O618" s="1121">
        <f t="shared" si="44"/>
        <v>8.1396360537059273E-3</v>
      </c>
      <c r="P618" s="1122"/>
    </row>
    <row r="619" spans="6:16">
      <c r="F619" s="1121">
        <f t="shared" si="43"/>
        <v>1.0726495905467519E-3</v>
      </c>
      <c r="G619" s="1122"/>
      <c r="H619" s="436">
        <v>41339</v>
      </c>
      <c r="I619" s="738">
        <v>1541.46</v>
      </c>
      <c r="J619" s="440">
        <f t="shared" si="42"/>
        <v>1.0845634794356407E-3</v>
      </c>
      <c r="L619" s="436">
        <v>41339</v>
      </c>
      <c r="M619" s="738">
        <v>88.36</v>
      </c>
      <c r="N619" s="115">
        <f t="shared" si="41"/>
        <v>6.2635235166836889E-3</v>
      </c>
      <c r="O619" s="1121">
        <f t="shared" si="44"/>
        <v>6.2516096277947996E-3</v>
      </c>
      <c r="P619" s="1122"/>
    </row>
    <row r="620" spans="6:16">
      <c r="F620" s="1121">
        <f t="shared" si="43"/>
        <v>1.8045458311167699E-3</v>
      </c>
      <c r="G620" s="1122"/>
      <c r="H620" s="436">
        <v>41340</v>
      </c>
      <c r="I620" s="738">
        <v>1544.26</v>
      </c>
      <c r="J620" s="440">
        <f t="shared" si="42"/>
        <v>1.8164597200056587E-3</v>
      </c>
      <c r="L620" s="436">
        <v>41340</v>
      </c>
      <c r="M620" s="738">
        <v>88.79</v>
      </c>
      <c r="N620" s="115">
        <f t="shared" si="41"/>
        <v>4.8664554096877755E-3</v>
      </c>
      <c r="O620" s="1121">
        <f t="shared" si="44"/>
        <v>4.8545415207988862E-3</v>
      </c>
      <c r="P620" s="1122"/>
    </row>
    <row r="621" spans="6:16">
      <c r="F621" s="1121">
        <f t="shared" si="43"/>
        <v>4.4691968049063091E-3</v>
      </c>
      <c r="G621" s="1122"/>
      <c r="H621" s="436">
        <v>41341</v>
      </c>
      <c r="I621" s="738">
        <v>1551.18</v>
      </c>
      <c r="J621" s="440">
        <f t="shared" si="42"/>
        <v>4.4811106937951983E-3</v>
      </c>
      <c r="L621" s="436">
        <v>41341</v>
      </c>
      <c r="M621" s="738">
        <v>89.99</v>
      </c>
      <c r="N621" s="115">
        <f t="shared" si="41"/>
        <v>1.3515035476967974E-2</v>
      </c>
      <c r="O621" s="1121">
        <f t="shared" si="44"/>
        <v>1.3503121588079085E-2</v>
      </c>
      <c r="P621" s="1122"/>
    </row>
    <row r="622" spans="6:16">
      <c r="F622" s="1121">
        <f t="shared" si="43"/>
        <v>3.2372254759817014E-3</v>
      </c>
      <c r="G622" s="1122"/>
      <c r="H622" s="436">
        <v>41344</v>
      </c>
      <c r="I622" s="738">
        <v>1556.22</v>
      </c>
      <c r="J622" s="440">
        <f t="shared" si="42"/>
        <v>3.2491393648705902E-3</v>
      </c>
      <c r="L622" s="436">
        <v>41344</v>
      </c>
      <c r="M622" s="738">
        <v>90.54</v>
      </c>
      <c r="N622" s="115">
        <f t="shared" si="41"/>
        <v>6.1117901989111711E-3</v>
      </c>
      <c r="O622" s="1121">
        <f t="shared" si="44"/>
        <v>6.0998763100222819E-3</v>
      </c>
      <c r="P622" s="1122"/>
    </row>
    <row r="623" spans="6:16">
      <c r="F623" s="1121">
        <f t="shared" si="43"/>
        <v>-2.4151730681822932E-3</v>
      </c>
      <c r="G623" s="1122"/>
      <c r="H623" s="436">
        <v>41345</v>
      </c>
      <c r="I623" s="738">
        <v>1552.48</v>
      </c>
      <c r="J623" s="440">
        <f t="shared" si="42"/>
        <v>-2.4032591792934044E-3</v>
      </c>
      <c r="L623" s="436">
        <v>41345</v>
      </c>
      <c r="M623" s="738">
        <v>90.37</v>
      </c>
      <c r="N623" s="115">
        <f t="shared" si="41"/>
        <v>-1.8776231499889606E-3</v>
      </c>
      <c r="O623" s="1121">
        <f t="shared" si="44"/>
        <v>-1.8895370388778495E-3</v>
      </c>
      <c r="P623" s="1122"/>
    </row>
    <row r="624" spans="6:16">
      <c r="F624" s="1121">
        <f t="shared" si="43"/>
        <v>1.3021127008255788E-3</v>
      </c>
      <c r="G624" s="1122"/>
      <c r="H624" s="436">
        <v>41346</v>
      </c>
      <c r="I624" s="738">
        <v>1554.52</v>
      </c>
      <c r="J624" s="440">
        <f t="shared" si="42"/>
        <v>1.3140265897144676E-3</v>
      </c>
      <c r="L624" s="436">
        <v>41346</v>
      </c>
      <c r="M624" s="738">
        <v>92.3</v>
      </c>
      <c r="N624" s="115">
        <f t="shared" si="41"/>
        <v>2.1356644904282351E-2</v>
      </c>
      <c r="O624" s="1121">
        <f t="shared" si="44"/>
        <v>2.1344731015393463E-2</v>
      </c>
      <c r="P624" s="1122"/>
    </row>
    <row r="625" spans="6:16">
      <c r="F625" s="1121">
        <f t="shared" si="43"/>
        <v>5.5911018330060324E-3</v>
      </c>
      <c r="G625" s="1122"/>
      <c r="H625" s="436">
        <v>41347</v>
      </c>
      <c r="I625" s="738">
        <v>1563.23</v>
      </c>
      <c r="J625" s="440">
        <f t="shared" si="42"/>
        <v>5.6030157218949217E-3</v>
      </c>
      <c r="L625" s="436">
        <v>41347</v>
      </c>
      <c r="M625" s="738">
        <v>92.54</v>
      </c>
      <c r="N625" s="115">
        <f t="shared" ref="N625:N688" si="45">M625/M624-1</f>
        <v>2.6002166847238772E-3</v>
      </c>
      <c r="O625" s="1121">
        <f t="shared" si="44"/>
        <v>2.5883027958349884E-3</v>
      </c>
      <c r="P625" s="1122"/>
    </row>
    <row r="626" spans="6:16">
      <c r="F626" s="1121">
        <f t="shared" si="43"/>
        <v>-1.630357751916119E-3</v>
      </c>
      <c r="G626" s="1122"/>
      <c r="H626" s="436">
        <v>41348</v>
      </c>
      <c r="I626" s="738">
        <v>1560.7</v>
      </c>
      <c r="J626" s="440">
        <f t="shared" si="42"/>
        <v>-1.6184438630272302E-3</v>
      </c>
      <c r="L626" s="436">
        <v>41348</v>
      </c>
      <c r="M626" s="738">
        <v>92.74</v>
      </c>
      <c r="N626" s="115">
        <f t="shared" si="45"/>
        <v>2.1612275772637801E-3</v>
      </c>
      <c r="O626" s="1121">
        <f t="shared" si="44"/>
        <v>2.1493136883748913E-3</v>
      </c>
      <c r="P626" s="1122"/>
    </row>
    <row r="627" spans="6:16">
      <c r="F627" s="1121">
        <f t="shared" si="43"/>
        <v>-5.5222618096937371E-3</v>
      </c>
      <c r="G627" s="1122"/>
      <c r="H627" s="436">
        <v>41351</v>
      </c>
      <c r="I627" s="738">
        <v>1552.1</v>
      </c>
      <c r="J627" s="440">
        <f t="shared" si="42"/>
        <v>-5.5103479208048478E-3</v>
      </c>
      <c r="L627" s="436">
        <v>41351</v>
      </c>
      <c r="M627" s="738">
        <v>92.36</v>
      </c>
      <c r="N627" s="115">
        <f t="shared" si="45"/>
        <v>-4.0974768169074194E-3</v>
      </c>
      <c r="O627" s="1121">
        <f t="shared" si="44"/>
        <v>-4.1093907057963086E-3</v>
      </c>
      <c r="P627" s="1122"/>
    </row>
    <row r="628" spans="6:16">
      <c r="F628" s="1121">
        <f t="shared" si="43"/>
        <v>-2.4344382107753877E-3</v>
      </c>
      <c r="G628" s="1122"/>
      <c r="H628" s="436">
        <v>41352</v>
      </c>
      <c r="I628" s="738">
        <v>1548.34</v>
      </c>
      <c r="J628" s="440">
        <f t="shared" si="42"/>
        <v>-2.4225243218864989E-3</v>
      </c>
      <c r="L628" s="436">
        <v>41352</v>
      </c>
      <c r="M628" s="738">
        <v>92.87</v>
      </c>
      <c r="N628" s="115">
        <f t="shared" si="45"/>
        <v>5.5218709398008325E-3</v>
      </c>
      <c r="O628" s="1121">
        <f t="shared" si="44"/>
        <v>5.5099570509119433E-3</v>
      </c>
      <c r="P628" s="1122"/>
    </row>
    <row r="629" spans="6:16">
      <c r="F629" s="1121">
        <f t="shared" si="43"/>
        <v>6.6855814932623636E-3</v>
      </c>
      <c r="G629" s="1122"/>
      <c r="H629" s="436">
        <v>41353</v>
      </c>
      <c r="I629" s="738">
        <v>1558.71</v>
      </c>
      <c r="J629" s="440">
        <f t="shared" si="42"/>
        <v>6.6974953821512528E-3</v>
      </c>
      <c r="L629" s="436">
        <v>41353</v>
      </c>
      <c r="M629" s="738">
        <v>92.24</v>
      </c>
      <c r="N629" s="115">
        <f t="shared" si="45"/>
        <v>-6.7836761063854167E-3</v>
      </c>
      <c r="O629" s="1121">
        <f t="shared" si="44"/>
        <v>-6.795589995274306E-3</v>
      </c>
      <c r="P629" s="1122"/>
    </row>
    <row r="630" spans="6:16">
      <c r="F630" s="1121">
        <f t="shared" si="43"/>
        <v>-8.294403896651821E-3</v>
      </c>
      <c r="G630" s="1122"/>
      <c r="H630" s="436">
        <v>41354</v>
      </c>
      <c r="I630" s="738">
        <v>1545.8</v>
      </c>
      <c r="J630" s="440">
        <f t="shared" si="42"/>
        <v>-8.2824900077629326E-3</v>
      </c>
      <c r="L630" s="436">
        <v>41354</v>
      </c>
      <c r="M630" s="738">
        <v>91.68</v>
      </c>
      <c r="N630" s="115">
        <f t="shared" si="45"/>
        <v>-6.0711188204681799E-3</v>
      </c>
      <c r="O630" s="1121">
        <f t="shared" si="44"/>
        <v>-6.0830327093570691E-3</v>
      </c>
      <c r="P630" s="1122"/>
    </row>
    <row r="631" spans="6:16">
      <c r="F631" s="1121">
        <f t="shared" si="43"/>
        <v>7.1623648017567964E-3</v>
      </c>
      <c r="G631" s="1122"/>
      <c r="H631" s="436">
        <v>41355</v>
      </c>
      <c r="I631" s="738">
        <v>1556.89</v>
      </c>
      <c r="J631" s="440">
        <f t="shared" si="42"/>
        <v>7.1742786906456857E-3</v>
      </c>
      <c r="L631" s="436">
        <v>41355</v>
      </c>
      <c r="M631" s="738">
        <v>92.26</v>
      </c>
      <c r="N631" s="115">
        <f t="shared" si="45"/>
        <v>6.3263525305410351E-3</v>
      </c>
      <c r="O631" s="1121">
        <f t="shared" si="44"/>
        <v>6.3144386416521458E-3</v>
      </c>
      <c r="P631" s="1122"/>
    </row>
    <row r="632" spans="6:16">
      <c r="F632" s="1121">
        <f t="shared" si="43"/>
        <v>-3.3519057958315631E-3</v>
      </c>
      <c r="G632" s="1122"/>
      <c r="H632" s="436">
        <v>41358</v>
      </c>
      <c r="I632" s="738">
        <v>1551.69</v>
      </c>
      <c r="J632" s="440">
        <f t="shared" si="42"/>
        <v>-3.3399919069426742E-3</v>
      </c>
      <c r="L632" s="436">
        <v>41358</v>
      </c>
      <c r="M632" s="738">
        <v>92.31</v>
      </c>
      <c r="N632" s="115">
        <f t="shared" si="45"/>
        <v>5.4194667244744643E-4</v>
      </c>
      <c r="O632" s="1121">
        <f t="shared" si="44"/>
        <v>5.300327835585575E-4</v>
      </c>
      <c r="P632" s="1122"/>
    </row>
    <row r="633" spans="6:16">
      <c r="F633" s="1121">
        <f t="shared" si="43"/>
        <v>7.7731462713234089E-3</v>
      </c>
      <c r="G633" s="1122"/>
      <c r="H633" s="436">
        <v>41359</v>
      </c>
      <c r="I633" s="738">
        <v>1563.77</v>
      </c>
      <c r="J633" s="440">
        <f t="shared" si="42"/>
        <v>7.7850601602122982E-3</v>
      </c>
      <c r="L633" s="436">
        <v>41359</v>
      </c>
      <c r="M633" s="738">
        <v>93.7</v>
      </c>
      <c r="N633" s="115">
        <f t="shared" si="45"/>
        <v>1.5057956884411139E-2</v>
      </c>
      <c r="O633" s="1121">
        <f t="shared" si="44"/>
        <v>1.504604299552225E-2</v>
      </c>
      <c r="P633" s="1122"/>
    </row>
    <row r="634" spans="6:16">
      <c r="F634" s="1121">
        <f t="shared" si="43"/>
        <v>-6.0023570092016725E-4</v>
      </c>
      <c r="G634" s="1122"/>
      <c r="H634" s="436">
        <v>41360</v>
      </c>
      <c r="I634" s="738">
        <v>1562.85</v>
      </c>
      <c r="J634" s="440">
        <f t="shared" si="42"/>
        <v>-5.8832181203127831E-4</v>
      </c>
      <c r="L634" s="436">
        <v>41360</v>
      </c>
      <c r="M634" s="738">
        <v>94.47</v>
      </c>
      <c r="N634" s="115">
        <f t="shared" si="45"/>
        <v>8.2177161152614531E-3</v>
      </c>
      <c r="O634" s="1121">
        <f t="shared" si="44"/>
        <v>8.2058022263725647E-3</v>
      </c>
      <c r="P634" s="1122"/>
    </row>
    <row r="635" spans="6:16">
      <c r="F635" s="1121">
        <f t="shared" si="43"/>
        <v>4.044777412259718E-3</v>
      </c>
      <c r="G635" s="1122"/>
      <c r="H635" s="436">
        <v>41361</v>
      </c>
      <c r="I635" s="738">
        <v>1569.19</v>
      </c>
      <c r="J635" s="440">
        <f t="shared" si="42"/>
        <v>4.0566913011486072E-3</v>
      </c>
      <c r="L635" s="436">
        <v>41361</v>
      </c>
      <c r="M635" s="738">
        <v>96.52</v>
      </c>
      <c r="N635" s="115">
        <f t="shared" si="45"/>
        <v>2.1700010585371077E-2</v>
      </c>
      <c r="O635" s="1121">
        <f t="shared" si="44"/>
        <v>2.1688096696482188E-2</v>
      </c>
      <c r="P635" s="1122"/>
    </row>
    <row r="636" spans="6:16">
      <c r="F636" s="1121">
        <f t="shared" si="43"/>
        <v>-1.1913888888888887E-5</v>
      </c>
      <c r="G636" s="1122"/>
      <c r="H636" s="436">
        <v>41362</v>
      </c>
      <c r="I636" s="738">
        <v>1569.19</v>
      </c>
      <c r="J636" s="440">
        <f t="shared" si="42"/>
        <v>0</v>
      </c>
      <c r="L636" s="436">
        <v>41362</v>
      </c>
      <c r="M636" s="738">
        <v>96.52</v>
      </c>
      <c r="N636" s="115">
        <f t="shared" si="45"/>
        <v>0</v>
      </c>
      <c r="O636" s="1121">
        <f t="shared" si="44"/>
        <v>-1.1913888888888887E-5</v>
      </c>
      <c r="P636" s="1122"/>
    </row>
    <row r="637" spans="6:16">
      <c r="F637" s="1121">
        <f t="shared" si="43"/>
        <v>-4.4855595277216798E-3</v>
      </c>
      <c r="G637" s="1122"/>
      <c r="H637" s="436">
        <v>41365</v>
      </c>
      <c r="I637" s="738">
        <v>1562.17</v>
      </c>
      <c r="J637" s="440">
        <f t="shared" si="42"/>
        <v>-4.4736456388327905E-3</v>
      </c>
      <c r="L637" s="436">
        <v>41365</v>
      </c>
      <c r="M637" s="738">
        <v>95</v>
      </c>
      <c r="N637" s="115">
        <f t="shared" si="45"/>
        <v>-1.5748031496062964E-2</v>
      </c>
      <c r="O637" s="1121">
        <f t="shared" si="44"/>
        <v>-1.5759945384951853E-2</v>
      </c>
      <c r="P637" s="1122"/>
    </row>
    <row r="638" spans="6:16">
      <c r="F638" s="1121">
        <f t="shared" si="43"/>
        <v>5.1603784992634216E-3</v>
      </c>
      <c r="G638" s="1122"/>
      <c r="H638" s="436">
        <v>41366</v>
      </c>
      <c r="I638" s="738">
        <v>1570.25</v>
      </c>
      <c r="J638" s="440">
        <f t="shared" si="42"/>
        <v>5.1722923881523108E-3</v>
      </c>
      <c r="L638" s="436">
        <v>41366</v>
      </c>
      <c r="M638" s="738">
        <v>95.01</v>
      </c>
      <c r="N638" s="115">
        <f t="shared" si="45"/>
        <v>1.0526315789483043E-4</v>
      </c>
      <c r="O638" s="1121">
        <f t="shared" si="44"/>
        <v>9.3349269005941536E-5</v>
      </c>
      <c r="P638" s="1122"/>
    </row>
    <row r="639" spans="6:16">
      <c r="F639" s="1121">
        <f t="shared" si="43"/>
        <v>-1.0558005275610689E-2</v>
      </c>
      <c r="G639" s="1122"/>
      <c r="H639" s="436">
        <v>41367</v>
      </c>
      <c r="I639" s="738">
        <v>1553.69</v>
      </c>
      <c r="J639" s="440">
        <f t="shared" si="42"/>
        <v>-1.0546091386721801E-2</v>
      </c>
      <c r="L639" s="436">
        <v>41367</v>
      </c>
      <c r="M639" s="738">
        <v>95.09</v>
      </c>
      <c r="N639" s="115">
        <f t="shared" si="45"/>
        <v>8.4201662982841263E-4</v>
      </c>
      <c r="O639" s="1121">
        <f t="shared" si="44"/>
        <v>8.301027409395237E-4</v>
      </c>
      <c r="P639" s="1122"/>
    </row>
    <row r="640" spans="6:16">
      <c r="F640" s="1121">
        <f t="shared" si="43"/>
        <v>4.0365127599278827E-3</v>
      </c>
      <c r="G640" s="1122"/>
      <c r="H640" s="436">
        <v>41368</v>
      </c>
      <c r="I640" s="738">
        <v>1559.98</v>
      </c>
      <c r="J640" s="440">
        <f t="shared" si="42"/>
        <v>4.0484266488167719E-3</v>
      </c>
      <c r="L640" s="436">
        <v>41368</v>
      </c>
      <c r="M640" s="738">
        <v>95.4</v>
      </c>
      <c r="N640" s="115">
        <f t="shared" si="45"/>
        <v>3.2600694079294446E-3</v>
      </c>
      <c r="O640" s="1121">
        <f t="shared" si="44"/>
        <v>3.2481555190405557E-3</v>
      </c>
      <c r="P640" s="1122"/>
    </row>
    <row r="641" spans="6:16">
      <c r="F641" s="1121">
        <f t="shared" si="43"/>
        <v>-4.3068407469255632E-3</v>
      </c>
      <c r="G641" s="1122"/>
      <c r="H641" s="436">
        <v>41369</v>
      </c>
      <c r="I641" s="738">
        <v>1553.28</v>
      </c>
      <c r="J641" s="440">
        <f t="shared" si="42"/>
        <v>-4.294926858036674E-3</v>
      </c>
      <c r="L641" s="436">
        <v>41369</v>
      </c>
      <c r="M641" s="738">
        <v>94.53</v>
      </c>
      <c r="N641" s="115">
        <f t="shared" si="45"/>
        <v>-9.1194968553459654E-3</v>
      </c>
      <c r="O641" s="1121">
        <f t="shared" si="44"/>
        <v>-9.1314107442348538E-3</v>
      </c>
      <c r="P641" s="1122"/>
    </row>
    <row r="642" spans="6:16">
      <c r="F642" s="1121">
        <f t="shared" si="43"/>
        <v>6.2908776232660701E-3</v>
      </c>
      <c r="G642" s="1122"/>
      <c r="H642" s="436">
        <v>41372</v>
      </c>
      <c r="I642" s="738">
        <v>1563.07</v>
      </c>
      <c r="J642" s="440">
        <f t="shared" si="42"/>
        <v>6.3027915121549594E-3</v>
      </c>
      <c r="L642" s="436">
        <v>41372</v>
      </c>
      <c r="M642" s="738">
        <v>95.09</v>
      </c>
      <c r="N642" s="115">
        <f t="shared" si="45"/>
        <v>5.9240452766318175E-3</v>
      </c>
      <c r="O642" s="1121">
        <f t="shared" si="44"/>
        <v>5.9121313877429282E-3</v>
      </c>
      <c r="P642" s="1122"/>
    </row>
    <row r="643" spans="6:16">
      <c r="F643" s="1121">
        <f t="shared" si="43"/>
        <v>3.532393147903982E-3</v>
      </c>
      <c r="G643" s="1122"/>
      <c r="H643" s="436">
        <v>41373</v>
      </c>
      <c r="I643" s="738">
        <v>1568.61</v>
      </c>
      <c r="J643" s="440">
        <f t="shared" si="42"/>
        <v>3.5443070367928708E-3</v>
      </c>
      <c r="L643" s="436">
        <v>41373</v>
      </c>
      <c r="M643" s="738">
        <v>95.41</v>
      </c>
      <c r="N643" s="115">
        <f t="shared" si="45"/>
        <v>3.3652329372173551E-3</v>
      </c>
      <c r="O643" s="1121">
        <f t="shared" si="44"/>
        <v>3.3533190483284662E-3</v>
      </c>
      <c r="P643" s="1122"/>
    </row>
    <row r="644" spans="6:16">
      <c r="F644" s="1121">
        <f t="shared" si="43"/>
        <v>1.2177221715244817E-2</v>
      </c>
      <c r="G644" s="1122"/>
      <c r="H644" s="436">
        <v>41374</v>
      </c>
      <c r="I644" s="738">
        <v>1587.73</v>
      </c>
      <c r="J644" s="440">
        <f t="shared" si="42"/>
        <v>1.2189135604133705E-2</v>
      </c>
      <c r="L644" s="436">
        <v>41374</v>
      </c>
      <c r="M644" s="738">
        <v>95.98</v>
      </c>
      <c r="N644" s="115">
        <f t="shared" si="45"/>
        <v>5.9742165391469815E-3</v>
      </c>
      <c r="O644" s="1121">
        <f t="shared" si="44"/>
        <v>5.9623026502580922E-3</v>
      </c>
      <c r="P644" s="1122"/>
    </row>
    <row r="645" spans="6:16">
      <c r="F645" s="1121">
        <f t="shared" si="43"/>
        <v>3.5403273611976853E-3</v>
      </c>
      <c r="G645" s="1122"/>
      <c r="H645" s="436">
        <v>41375</v>
      </c>
      <c r="I645" s="738">
        <v>1593.37</v>
      </c>
      <c r="J645" s="440">
        <f t="shared" si="42"/>
        <v>3.5522412500865741E-3</v>
      </c>
      <c r="L645" s="436">
        <v>41375</v>
      </c>
      <c r="M645" s="738">
        <v>97.3</v>
      </c>
      <c r="N645" s="115">
        <f t="shared" si="45"/>
        <v>1.3752865180245877E-2</v>
      </c>
      <c r="O645" s="1121">
        <f t="shared" si="44"/>
        <v>1.3740951291356988E-2</v>
      </c>
      <c r="P645" s="1122"/>
    </row>
    <row r="646" spans="6:16">
      <c r="F646" s="1121">
        <f t="shared" si="43"/>
        <v>-2.8486686916026145E-3</v>
      </c>
      <c r="G646" s="1122"/>
      <c r="H646" s="436">
        <v>41376</v>
      </c>
      <c r="I646" s="738">
        <v>1588.85</v>
      </c>
      <c r="J646" s="440">
        <f t="shared" si="42"/>
        <v>-2.8367548027137257E-3</v>
      </c>
      <c r="L646" s="436">
        <v>41376</v>
      </c>
      <c r="M646" s="738">
        <v>97.18</v>
      </c>
      <c r="N646" s="115">
        <f t="shared" si="45"/>
        <v>-1.2332990750255624E-3</v>
      </c>
      <c r="O646" s="1121">
        <f t="shared" si="44"/>
        <v>-1.2452129639144512E-3</v>
      </c>
      <c r="P646" s="1122"/>
    </row>
    <row r="647" spans="6:16">
      <c r="F647" s="1121">
        <f t="shared" si="43"/>
        <v>-2.2978210266772277E-2</v>
      </c>
      <c r="G647" s="1122"/>
      <c r="H647" s="436">
        <v>41379</v>
      </c>
      <c r="I647" s="738">
        <v>1552.36</v>
      </c>
      <c r="J647" s="440">
        <f t="shared" si="42"/>
        <v>-2.2966296377883388E-2</v>
      </c>
      <c r="L647" s="436">
        <v>41379</v>
      </c>
      <c r="M647" s="738">
        <v>95.44</v>
      </c>
      <c r="N647" s="115">
        <f t="shared" si="45"/>
        <v>-1.7904918707553064E-2</v>
      </c>
      <c r="O647" s="1121">
        <f t="shared" si="44"/>
        <v>-1.7916832596441952E-2</v>
      </c>
      <c r="P647" s="1122"/>
    </row>
    <row r="648" spans="6:16">
      <c r="F648" s="1121">
        <f t="shared" si="43"/>
        <v>1.4295334429800126E-2</v>
      </c>
      <c r="G648" s="1122"/>
      <c r="H648" s="436">
        <v>41380</v>
      </c>
      <c r="I648" s="738">
        <v>1574.57</v>
      </c>
      <c r="J648" s="440">
        <f t="shared" si="42"/>
        <v>1.4307248318689014E-2</v>
      </c>
      <c r="L648" s="436">
        <v>41380</v>
      </c>
      <c r="M648" s="738">
        <v>96.26</v>
      </c>
      <c r="N648" s="115">
        <f t="shared" si="45"/>
        <v>8.5917854149204498E-3</v>
      </c>
      <c r="O648" s="1121">
        <f t="shared" si="44"/>
        <v>8.5798715260315614E-3</v>
      </c>
      <c r="P648" s="1122"/>
    </row>
    <row r="649" spans="6:16">
      <c r="F649" s="1121">
        <f t="shared" si="43"/>
        <v>-1.4339635108015399E-2</v>
      </c>
      <c r="G649" s="1122"/>
      <c r="H649" s="436">
        <v>41381</v>
      </c>
      <c r="I649" s="738">
        <v>1552.01</v>
      </c>
      <c r="J649" s="440">
        <f t="shared" si="42"/>
        <v>-1.432772121912651E-2</v>
      </c>
      <c r="L649" s="436">
        <v>41381</v>
      </c>
      <c r="M649" s="738">
        <v>95.56</v>
      </c>
      <c r="N649" s="115">
        <f t="shared" si="45"/>
        <v>-7.2719717431954933E-3</v>
      </c>
      <c r="O649" s="1121">
        <f t="shared" si="44"/>
        <v>-7.2838856320843826E-3</v>
      </c>
      <c r="P649" s="1122"/>
    </row>
    <row r="650" spans="6:16">
      <c r="F650" s="1121">
        <f t="shared" si="43"/>
        <v>-6.7129016402565156E-3</v>
      </c>
      <c r="G650" s="1122"/>
      <c r="H650" s="436">
        <v>41382</v>
      </c>
      <c r="I650" s="738">
        <v>1541.61</v>
      </c>
      <c r="J650" s="440">
        <f t="shared" si="42"/>
        <v>-6.7009877513676264E-3</v>
      </c>
      <c r="L650" s="436">
        <v>41382</v>
      </c>
      <c r="M650" s="738">
        <v>95.02</v>
      </c>
      <c r="N650" s="115">
        <f t="shared" si="45"/>
        <v>-5.6508999581414976E-3</v>
      </c>
      <c r="O650" s="1121">
        <f t="shared" si="44"/>
        <v>-5.6628138470303869E-3</v>
      </c>
      <c r="P650" s="1122"/>
    </row>
    <row r="651" spans="6:16">
      <c r="F651" s="1121">
        <f t="shared" si="43"/>
        <v>8.8359788985218277E-3</v>
      </c>
      <c r="G651" s="1122"/>
      <c r="H651" s="436">
        <v>41383</v>
      </c>
      <c r="I651" s="738">
        <v>1555.25</v>
      </c>
      <c r="J651" s="440">
        <f t="shared" si="42"/>
        <v>8.8478927874107161E-3</v>
      </c>
      <c r="L651" s="436">
        <v>41383</v>
      </c>
      <c r="M651" s="738">
        <v>96.28</v>
      </c>
      <c r="N651" s="115">
        <f t="shared" si="45"/>
        <v>1.3260366238686538E-2</v>
      </c>
      <c r="O651" s="1121">
        <f t="shared" si="44"/>
        <v>1.324845234979765E-2</v>
      </c>
      <c r="P651" s="1122"/>
    </row>
    <row r="652" spans="6:16">
      <c r="F652" s="1121">
        <f t="shared" si="43"/>
        <v>4.649716074139546E-3</v>
      </c>
      <c r="G652" s="1122"/>
      <c r="H652" s="436">
        <v>41386</v>
      </c>
      <c r="I652" s="738">
        <v>1562.5</v>
      </c>
      <c r="J652" s="440">
        <f t="shared" si="42"/>
        <v>4.6616299630284352E-3</v>
      </c>
      <c r="L652" s="436">
        <v>41386</v>
      </c>
      <c r="M652" s="738">
        <v>95.85</v>
      </c>
      <c r="N652" s="115">
        <f t="shared" si="45"/>
        <v>-4.4661404237641422E-3</v>
      </c>
      <c r="O652" s="1121">
        <f t="shared" si="44"/>
        <v>-4.4780543126530315E-3</v>
      </c>
      <c r="P652" s="1122"/>
    </row>
    <row r="653" spans="6:16">
      <c r="F653" s="1121">
        <f t="shared" si="43"/>
        <v>1.0407286111111184E-2</v>
      </c>
      <c r="G653" s="1122"/>
      <c r="H653" s="436">
        <v>41387</v>
      </c>
      <c r="I653" s="738">
        <v>1578.78</v>
      </c>
      <c r="J653" s="440">
        <f t="shared" si="42"/>
        <v>1.0419200000000073E-2</v>
      </c>
      <c r="L653" s="436">
        <v>41387</v>
      </c>
      <c r="M653" s="738">
        <v>97.06</v>
      </c>
      <c r="N653" s="115">
        <f t="shared" si="45"/>
        <v>1.2623891497131057E-2</v>
      </c>
      <c r="O653" s="1121">
        <f t="shared" si="44"/>
        <v>1.2611977608242168E-2</v>
      </c>
      <c r="P653" s="1122"/>
    </row>
    <row r="654" spans="6:16">
      <c r="F654" s="1121">
        <f t="shared" si="43"/>
        <v>-5.5798841510709097E-6</v>
      </c>
      <c r="G654" s="1122"/>
      <c r="H654" s="436">
        <v>41388</v>
      </c>
      <c r="I654" s="738">
        <v>1578.79</v>
      </c>
      <c r="J654" s="440">
        <f t="shared" si="42"/>
        <v>6.3340047378179776E-6</v>
      </c>
      <c r="L654" s="436">
        <v>41388</v>
      </c>
      <c r="M654" s="738">
        <v>97.69</v>
      </c>
      <c r="N654" s="115">
        <f t="shared" si="45"/>
        <v>6.4908304141766404E-3</v>
      </c>
      <c r="O654" s="1121">
        <f t="shared" si="44"/>
        <v>6.4789165252877512E-3</v>
      </c>
      <c r="P654" s="1122"/>
    </row>
    <row r="655" spans="6:16">
      <c r="F655" s="1121">
        <f t="shared" si="43"/>
        <v>4.0228215730789751E-3</v>
      </c>
      <c r="G655" s="1122"/>
      <c r="H655" s="436">
        <v>41389</v>
      </c>
      <c r="I655" s="738">
        <v>1585.16</v>
      </c>
      <c r="J655" s="440">
        <f t="shared" si="42"/>
        <v>4.0347354619678644E-3</v>
      </c>
      <c r="L655" s="436">
        <v>41389</v>
      </c>
      <c r="M655" s="738">
        <v>98.27</v>
      </c>
      <c r="N655" s="115">
        <f t="shared" si="45"/>
        <v>5.9371481216090594E-3</v>
      </c>
      <c r="O655" s="1121">
        <f t="shared" si="44"/>
        <v>5.9252342327201701E-3</v>
      </c>
      <c r="P655" s="1122"/>
    </row>
    <row r="656" spans="6:16">
      <c r="F656" s="1121">
        <f t="shared" si="43"/>
        <v>-1.8539992304317317E-3</v>
      </c>
      <c r="G656" s="1122"/>
      <c r="H656" s="436">
        <v>41390</v>
      </c>
      <c r="I656" s="738">
        <v>1582.24</v>
      </c>
      <c r="J656" s="440">
        <f t="shared" si="42"/>
        <v>-1.8420853415428429E-3</v>
      </c>
      <c r="L656" s="436">
        <v>41390</v>
      </c>
      <c r="M656" s="738">
        <v>98.97</v>
      </c>
      <c r="N656" s="115">
        <f t="shared" si="45"/>
        <v>7.1232319120790866E-3</v>
      </c>
      <c r="O656" s="1121">
        <f t="shared" si="44"/>
        <v>7.1113180231901973E-3</v>
      </c>
      <c r="P656" s="1122"/>
    </row>
    <row r="657" spans="6:16">
      <c r="F657" s="1121">
        <f t="shared" si="43"/>
        <v>7.1741008749900336E-3</v>
      </c>
      <c r="G657" s="1122"/>
      <c r="H657" s="436">
        <v>41393</v>
      </c>
      <c r="I657" s="738">
        <v>1593.61</v>
      </c>
      <c r="J657" s="440">
        <f t="shared" si="42"/>
        <v>7.1860147638789229E-3</v>
      </c>
      <c r="L657" s="436">
        <v>41393</v>
      </c>
      <c r="M657" s="738">
        <v>99.06</v>
      </c>
      <c r="N657" s="115">
        <f t="shared" si="45"/>
        <v>9.0936647468931042E-4</v>
      </c>
      <c r="O657" s="1121">
        <f t="shared" si="44"/>
        <v>8.9745258580042149E-4</v>
      </c>
      <c r="P657" s="1122"/>
    </row>
    <row r="658" spans="6:16">
      <c r="F658" s="1121">
        <f t="shared" si="43"/>
        <v>2.4730102769986366E-3</v>
      </c>
      <c r="G658" s="1122"/>
      <c r="H658" s="436">
        <v>41394</v>
      </c>
      <c r="I658" s="738">
        <v>1597.57</v>
      </c>
      <c r="J658" s="440">
        <f t="shared" si="42"/>
        <v>2.4849241658875254E-3</v>
      </c>
      <c r="L658" s="436">
        <v>41394</v>
      </c>
      <c r="M658" s="738">
        <v>99.09</v>
      </c>
      <c r="N658" s="115">
        <f t="shared" si="45"/>
        <v>3.0284675953962115E-4</v>
      </c>
      <c r="O658" s="1121">
        <f t="shared" si="44"/>
        <v>2.9093287065073227E-4</v>
      </c>
      <c r="P658" s="1122"/>
    </row>
    <row r="659" spans="6:16">
      <c r="F659" s="1121">
        <f t="shared" si="43"/>
        <v>-9.3198002412865424E-3</v>
      </c>
      <c r="G659" s="1122"/>
      <c r="H659" s="436">
        <v>41395</v>
      </c>
      <c r="I659" s="738">
        <v>1582.7</v>
      </c>
      <c r="J659" s="440">
        <f t="shared" si="42"/>
        <v>-9.3078863523976541E-3</v>
      </c>
      <c r="L659" s="436">
        <v>41395</v>
      </c>
      <c r="M659" s="738">
        <v>99.35</v>
      </c>
      <c r="N659" s="115">
        <f t="shared" si="45"/>
        <v>2.6238772832778423E-3</v>
      </c>
      <c r="O659" s="1121">
        <f t="shared" si="44"/>
        <v>2.6119633943889535E-3</v>
      </c>
      <c r="P659" s="1122"/>
    </row>
    <row r="660" spans="6:16">
      <c r="F660" s="1121">
        <f t="shared" si="43"/>
        <v>9.3960598269130433E-3</v>
      </c>
      <c r="G660" s="1122"/>
      <c r="H660" s="436">
        <v>41396</v>
      </c>
      <c r="I660" s="738">
        <v>1597.59</v>
      </c>
      <c r="J660" s="440">
        <f t="shared" si="42"/>
        <v>9.4079737158019316E-3</v>
      </c>
      <c r="L660" s="436">
        <v>41396</v>
      </c>
      <c r="M660" s="738">
        <v>100.67</v>
      </c>
      <c r="N660" s="115">
        <f t="shared" si="45"/>
        <v>1.328636134876704E-2</v>
      </c>
      <c r="O660" s="1121">
        <f t="shared" si="44"/>
        <v>1.3274447459878151E-2</v>
      </c>
      <c r="P660" s="1122"/>
    </row>
    <row r="661" spans="6:16">
      <c r="F661" s="1121">
        <f t="shared" si="43"/>
        <v>1.0522703879124344E-2</v>
      </c>
      <c r="G661" s="1122"/>
      <c r="H661" s="436">
        <v>41397</v>
      </c>
      <c r="I661" s="738">
        <v>1614.42</v>
      </c>
      <c r="J661" s="440">
        <f t="shared" si="42"/>
        <v>1.0534617768013232E-2</v>
      </c>
      <c r="L661" s="436">
        <v>41397</v>
      </c>
      <c r="M661" s="738">
        <v>102.01</v>
      </c>
      <c r="N661" s="115">
        <f t="shared" si="45"/>
        <v>1.3310817522598661E-2</v>
      </c>
      <c r="O661" s="1121">
        <f t="shared" si="44"/>
        <v>1.3298903633709773E-2</v>
      </c>
      <c r="P661" s="1122"/>
    </row>
    <row r="662" spans="6:16">
      <c r="F662" s="1121">
        <f t="shared" si="43"/>
        <v>1.8958920104433711E-3</v>
      </c>
      <c r="G662" s="1122"/>
      <c r="H662" s="436">
        <v>41400</v>
      </c>
      <c r="I662" s="738">
        <v>1617.5</v>
      </c>
      <c r="J662" s="440">
        <f t="shared" si="42"/>
        <v>1.90780589933226E-3</v>
      </c>
      <c r="L662" s="436">
        <v>41400</v>
      </c>
      <c r="M662" s="738">
        <v>102.19</v>
      </c>
      <c r="N662" s="115">
        <f t="shared" si="45"/>
        <v>1.764532888932413E-3</v>
      </c>
      <c r="O662" s="1121">
        <f t="shared" si="44"/>
        <v>1.7526190000435242E-3</v>
      </c>
      <c r="P662" s="1122"/>
    </row>
    <row r="663" spans="6:16">
      <c r="F663" s="1121">
        <f t="shared" si="43"/>
        <v>5.2183797741714921E-3</v>
      </c>
      <c r="G663" s="1122"/>
      <c r="H663" s="436">
        <v>41401</v>
      </c>
      <c r="I663" s="738">
        <v>1625.96</v>
      </c>
      <c r="J663" s="440">
        <f t="shared" si="42"/>
        <v>5.2302936630603813E-3</v>
      </c>
      <c r="L663" s="436">
        <v>41401</v>
      </c>
      <c r="M663" s="738">
        <v>102.88</v>
      </c>
      <c r="N663" s="115">
        <f t="shared" si="45"/>
        <v>6.7521283882963079E-3</v>
      </c>
      <c r="O663" s="1121">
        <f t="shared" si="44"/>
        <v>6.7402144994074186E-3</v>
      </c>
      <c r="P663" s="1122"/>
    </row>
    <row r="664" spans="6:16">
      <c r="F664" s="1121">
        <f t="shared" si="43"/>
        <v>4.1271793237361775E-3</v>
      </c>
      <c r="G664" s="1122"/>
      <c r="H664" s="436">
        <v>41402</v>
      </c>
      <c r="I664" s="738">
        <v>1632.69</v>
      </c>
      <c r="J664" s="440">
        <f t="shared" si="42"/>
        <v>4.1390932126250668E-3</v>
      </c>
      <c r="L664" s="436">
        <v>41402</v>
      </c>
      <c r="M664" s="738">
        <v>101.8</v>
      </c>
      <c r="N664" s="115">
        <f t="shared" si="45"/>
        <v>-1.0497667185069948E-2</v>
      </c>
      <c r="O664" s="1121">
        <f t="shared" si="44"/>
        <v>-1.0509581073958836E-2</v>
      </c>
      <c r="P664" s="1122"/>
    </row>
    <row r="665" spans="6:16">
      <c r="F665" s="1121">
        <f t="shared" si="43"/>
        <v>-3.6990804667450601E-3</v>
      </c>
      <c r="G665" s="1122"/>
      <c r="H665" s="436">
        <v>41403</v>
      </c>
      <c r="I665" s="738">
        <v>1626.67</v>
      </c>
      <c r="J665" s="440">
        <f t="shared" si="42"/>
        <v>-3.6871665778561713E-3</v>
      </c>
      <c r="L665" s="436">
        <v>41403</v>
      </c>
      <c r="M665" s="738">
        <v>101.35</v>
      </c>
      <c r="N665" s="115">
        <f t="shared" si="45"/>
        <v>-4.4204322200392943E-3</v>
      </c>
      <c r="O665" s="1121">
        <f t="shared" si="44"/>
        <v>-4.4323461089281835E-3</v>
      </c>
      <c r="P665" s="1122"/>
    </row>
    <row r="666" spans="6:16">
      <c r="F666" s="1121">
        <f t="shared" si="43"/>
        <v>4.3097985666183869E-3</v>
      </c>
      <c r="G666" s="1122"/>
      <c r="H666" s="436">
        <v>41404</v>
      </c>
      <c r="I666" s="738">
        <v>1633.7</v>
      </c>
      <c r="J666" s="440">
        <f t="shared" si="42"/>
        <v>4.3217124555072761E-3</v>
      </c>
      <c r="L666" s="436">
        <v>41404</v>
      </c>
      <c r="M666" s="738">
        <v>101.94</v>
      </c>
      <c r="N666" s="115">
        <f t="shared" si="45"/>
        <v>5.8214109521461666E-3</v>
      </c>
      <c r="O666" s="1121">
        <f t="shared" si="44"/>
        <v>5.8094970632572773E-3</v>
      </c>
      <c r="P666" s="1122"/>
    </row>
    <row r="667" spans="6:16">
      <c r="F667" s="1121">
        <f t="shared" si="43"/>
        <v>3.0933635136391251E-5</v>
      </c>
      <c r="G667" s="1122"/>
      <c r="H667" s="436">
        <v>41407</v>
      </c>
      <c r="I667" s="738">
        <v>1633.77</v>
      </c>
      <c r="J667" s="440">
        <f t="shared" si="42"/>
        <v>4.2847524025280137E-5</v>
      </c>
      <c r="L667" s="436">
        <v>41407</v>
      </c>
      <c r="M667" s="738">
        <v>101.89</v>
      </c>
      <c r="N667" s="115">
        <f t="shared" si="45"/>
        <v>-4.9048459878353601E-4</v>
      </c>
      <c r="O667" s="1121">
        <f t="shared" si="44"/>
        <v>-5.0239848767242494E-4</v>
      </c>
      <c r="P667" s="1122"/>
    </row>
    <row r="668" spans="6:16">
      <c r="F668" s="1121">
        <f t="shared" si="43"/>
        <v>1.0130272587787752E-2</v>
      </c>
      <c r="G668" s="1122"/>
      <c r="H668" s="436">
        <v>41408</v>
      </c>
      <c r="I668" s="738">
        <v>1650.34</v>
      </c>
      <c r="J668" s="440">
        <f t="shared" si="42"/>
        <v>1.014218647667664E-2</v>
      </c>
      <c r="L668" s="436">
        <v>41408</v>
      </c>
      <c r="M668" s="738">
        <v>102.87</v>
      </c>
      <c r="N668" s="115">
        <f t="shared" si="45"/>
        <v>9.6182157228383858E-3</v>
      </c>
      <c r="O668" s="1121">
        <f t="shared" si="44"/>
        <v>9.6063018339494974E-3</v>
      </c>
      <c r="P668" s="1122"/>
    </row>
    <row r="669" spans="6:16">
      <c r="F669" s="1121">
        <f t="shared" si="43"/>
        <v>5.1021838121908447E-3</v>
      </c>
      <c r="G669" s="1122"/>
      <c r="H669" s="436">
        <v>41409</v>
      </c>
      <c r="I669" s="738">
        <v>1658.78</v>
      </c>
      <c r="J669" s="440">
        <f t="shared" ref="J669:J732" si="46">I669/I668-1</f>
        <v>5.1140977010797339E-3</v>
      </c>
      <c r="L669" s="436">
        <v>41409</v>
      </c>
      <c r="M669" s="738">
        <v>104.05</v>
      </c>
      <c r="N669" s="115">
        <f t="shared" si="45"/>
        <v>1.1470788373675544E-2</v>
      </c>
      <c r="O669" s="1121">
        <f t="shared" si="44"/>
        <v>1.1458874484786656E-2</v>
      </c>
      <c r="P669" s="1122"/>
    </row>
    <row r="670" spans="6:16">
      <c r="F670" s="1121">
        <f t="shared" ref="F670:F733" si="47">J670-$I$19</f>
        <v>-5.0216198173422899E-3</v>
      </c>
      <c r="G670" s="1122"/>
      <c r="H670" s="436">
        <v>41410</v>
      </c>
      <c r="I670" s="738">
        <v>1650.47</v>
      </c>
      <c r="J670" s="440">
        <f t="shared" si="46"/>
        <v>-5.0097059284534007E-3</v>
      </c>
      <c r="L670" s="436">
        <v>41410</v>
      </c>
      <c r="M670" s="738">
        <v>104</v>
      </c>
      <c r="N670" s="115">
        <f t="shared" si="45"/>
        <v>-4.8053820278703974E-4</v>
      </c>
      <c r="O670" s="1121">
        <f t="shared" ref="O670:O733" si="48">N670-$I$19</f>
        <v>-4.9245209167592867E-4</v>
      </c>
      <c r="P670" s="1122"/>
    </row>
    <row r="671" spans="6:16">
      <c r="F671" s="1121">
        <f t="shared" si="47"/>
        <v>1.0288182447306331E-2</v>
      </c>
      <c r="G671" s="1122"/>
      <c r="H671" s="436">
        <v>41411</v>
      </c>
      <c r="I671" s="738">
        <v>1667.47</v>
      </c>
      <c r="J671" s="440">
        <f t="shared" si="46"/>
        <v>1.0300096336195219E-2</v>
      </c>
      <c r="L671" s="436">
        <v>41411</v>
      </c>
      <c r="M671" s="738">
        <v>106.41</v>
      </c>
      <c r="N671" s="115">
        <f t="shared" si="45"/>
        <v>2.3173076923076907E-2</v>
      </c>
      <c r="O671" s="1121">
        <f t="shared" si="48"/>
        <v>2.3161163034188019E-2</v>
      </c>
      <c r="P671" s="1122"/>
    </row>
    <row r="672" spans="6:16">
      <c r="F672" s="1121">
        <f t="shared" si="47"/>
        <v>-7.1957279729507244E-4</v>
      </c>
      <c r="G672" s="1122"/>
      <c r="H672" s="436">
        <v>41414</v>
      </c>
      <c r="I672" s="738">
        <v>1666.29</v>
      </c>
      <c r="J672" s="440">
        <f t="shared" si="46"/>
        <v>-7.0765890840618351E-4</v>
      </c>
      <c r="L672" s="436">
        <v>41414</v>
      </c>
      <c r="M672" s="738">
        <v>106.56</v>
      </c>
      <c r="N672" s="115">
        <f t="shared" si="45"/>
        <v>1.4096419509446179E-3</v>
      </c>
      <c r="O672" s="1121">
        <f t="shared" si="48"/>
        <v>1.397728062055729E-3</v>
      </c>
      <c r="P672" s="1122"/>
    </row>
    <row r="673" spans="6:16">
      <c r="F673" s="1121">
        <f t="shared" si="47"/>
        <v>1.7104753710840341E-3</v>
      </c>
      <c r="G673" s="1122"/>
      <c r="H673" s="436">
        <v>41415</v>
      </c>
      <c r="I673" s="738">
        <v>1669.16</v>
      </c>
      <c r="J673" s="440">
        <f t="shared" si="46"/>
        <v>1.7223892599729229E-3</v>
      </c>
      <c r="L673" s="436">
        <v>41415</v>
      </c>
      <c r="M673" s="738">
        <v>106.99</v>
      </c>
      <c r="N673" s="115">
        <f t="shared" si="45"/>
        <v>4.0352852852851839E-3</v>
      </c>
      <c r="O673" s="1121">
        <f t="shared" si="48"/>
        <v>4.0233713963962947E-3</v>
      </c>
      <c r="P673" s="1122"/>
    </row>
    <row r="674" spans="6:16">
      <c r="F674" s="1121">
        <f t="shared" si="47"/>
        <v>-8.2855365493889124E-3</v>
      </c>
      <c r="G674" s="1122"/>
      <c r="H674" s="436">
        <v>41416</v>
      </c>
      <c r="I674" s="738">
        <v>1655.35</v>
      </c>
      <c r="J674" s="440">
        <f t="shared" si="46"/>
        <v>-8.273622660500024E-3</v>
      </c>
      <c r="L674" s="436">
        <v>41416</v>
      </c>
      <c r="M674" s="738">
        <v>106.49</v>
      </c>
      <c r="N674" s="115">
        <f t="shared" si="45"/>
        <v>-4.6733339564445364E-3</v>
      </c>
      <c r="O674" s="1121">
        <f t="shared" si="48"/>
        <v>-4.6852478453334257E-3</v>
      </c>
      <c r="P674" s="1122"/>
    </row>
    <row r="675" spans="6:16">
      <c r="F675" s="1121">
        <f t="shared" si="47"/>
        <v>-2.9357668504981301E-3</v>
      </c>
      <c r="G675" s="1122"/>
      <c r="H675" s="436">
        <v>41417</v>
      </c>
      <c r="I675" s="738">
        <v>1650.51</v>
      </c>
      <c r="J675" s="440">
        <f t="shared" si="46"/>
        <v>-2.9238529616092412E-3</v>
      </c>
      <c r="L675" s="436">
        <v>41417</v>
      </c>
      <c r="M675" s="738">
        <v>106.3</v>
      </c>
      <c r="N675" s="115">
        <f t="shared" si="45"/>
        <v>-1.7842050896798023E-3</v>
      </c>
      <c r="O675" s="1121">
        <f t="shared" si="48"/>
        <v>-1.7961189785686911E-3</v>
      </c>
      <c r="P675" s="1122"/>
    </row>
    <row r="676" spans="6:16">
      <c r="F676" s="1121">
        <f t="shared" si="47"/>
        <v>-5.6325862475848558E-4</v>
      </c>
      <c r="G676" s="1122"/>
      <c r="H676" s="436">
        <v>41418</v>
      </c>
      <c r="I676" s="738">
        <v>1649.6</v>
      </c>
      <c r="J676" s="440">
        <f t="shared" si="46"/>
        <v>-5.5134473586959665E-4</v>
      </c>
      <c r="L676" s="436">
        <v>41418</v>
      </c>
      <c r="M676" s="738">
        <v>107.06</v>
      </c>
      <c r="N676" s="115">
        <f t="shared" si="45"/>
        <v>7.1495766698024266E-3</v>
      </c>
      <c r="O676" s="1121">
        <f t="shared" si="48"/>
        <v>7.1376627809135373E-3</v>
      </c>
      <c r="P676" s="1122"/>
    </row>
    <row r="677" spans="6:16">
      <c r="F677" s="1121">
        <f t="shared" si="47"/>
        <v>-1.1913888888888887E-5</v>
      </c>
      <c r="G677" s="1122"/>
      <c r="H677" s="436">
        <v>41421</v>
      </c>
      <c r="I677" s="738">
        <v>1649.6</v>
      </c>
      <c r="J677" s="440">
        <f t="shared" si="46"/>
        <v>0</v>
      </c>
      <c r="L677" s="436">
        <v>41421</v>
      </c>
      <c r="M677" s="738">
        <v>107.06</v>
      </c>
      <c r="N677" s="115">
        <f t="shared" si="45"/>
        <v>0</v>
      </c>
      <c r="O677" s="1121">
        <f t="shared" si="48"/>
        <v>-1.1913888888888887E-5</v>
      </c>
      <c r="P677" s="1122"/>
    </row>
    <row r="678" spans="6:16">
      <c r="F678" s="1121">
        <f t="shared" si="47"/>
        <v>6.329017245931704E-3</v>
      </c>
      <c r="G678" s="1122"/>
      <c r="H678" s="436">
        <v>41422</v>
      </c>
      <c r="I678" s="738">
        <v>1660.06</v>
      </c>
      <c r="J678" s="440">
        <f t="shared" si="46"/>
        <v>6.3409311348205932E-3</v>
      </c>
      <c r="L678" s="436">
        <v>41422</v>
      </c>
      <c r="M678" s="738">
        <v>107.75</v>
      </c>
      <c r="N678" s="115">
        <f t="shared" si="45"/>
        <v>6.444984121053654E-3</v>
      </c>
      <c r="O678" s="1121">
        <f t="shared" si="48"/>
        <v>6.4330702321647648E-3</v>
      </c>
      <c r="P678" s="1122"/>
    </row>
    <row r="679" spans="6:16">
      <c r="F679" s="1121">
        <f t="shared" si="47"/>
        <v>-7.0598519152252981E-3</v>
      </c>
      <c r="G679" s="1122"/>
      <c r="H679" s="436">
        <v>41423</v>
      </c>
      <c r="I679" s="738">
        <v>1648.36</v>
      </c>
      <c r="J679" s="440">
        <f t="shared" si="46"/>
        <v>-7.0479380263364089E-3</v>
      </c>
      <c r="L679" s="436">
        <v>41423</v>
      </c>
      <c r="M679" s="738">
        <v>107.31</v>
      </c>
      <c r="N679" s="115">
        <f t="shared" si="45"/>
        <v>-4.0835266821345195E-3</v>
      </c>
      <c r="O679" s="1121">
        <f t="shared" si="48"/>
        <v>-4.0954405710234088E-3</v>
      </c>
      <c r="P679" s="1122"/>
    </row>
    <row r="680" spans="6:16">
      <c r="F680" s="1121">
        <f t="shared" si="47"/>
        <v>3.6584008481831336E-3</v>
      </c>
      <c r="G680" s="1122"/>
      <c r="H680" s="436">
        <v>41424</v>
      </c>
      <c r="I680" s="738">
        <v>1654.41</v>
      </c>
      <c r="J680" s="440">
        <f t="shared" si="46"/>
        <v>3.6703147370720224E-3</v>
      </c>
      <c r="L680" s="436">
        <v>41424</v>
      </c>
      <c r="M680" s="738">
        <v>107.03</v>
      </c>
      <c r="N680" s="115">
        <f t="shared" si="45"/>
        <v>-2.6092628832354858E-3</v>
      </c>
      <c r="O680" s="1121">
        <f t="shared" si="48"/>
        <v>-2.6211767721243747E-3</v>
      </c>
      <c r="P680" s="1122"/>
    </row>
    <row r="681" spans="6:16">
      <c r="F681" s="1121">
        <f t="shared" si="47"/>
        <v>-1.4319129149918515E-2</v>
      </c>
      <c r="G681" s="1122"/>
      <c r="H681" s="436">
        <v>41425</v>
      </c>
      <c r="I681" s="738">
        <v>1630.74</v>
      </c>
      <c r="J681" s="440">
        <f t="shared" si="46"/>
        <v>-1.4307215261029627E-2</v>
      </c>
      <c r="L681" s="436">
        <v>41425</v>
      </c>
      <c r="M681" s="738">
        <v>105.83</v>
      </c>
      <c r="N681" s="115">
        <f t="shared" si="45"/>
        <v>-1.1211809772960879E-2</v>
      </c>
      <c r="O681" s="1121">
        <f t="shared" si="48"/>
        <v>-1.1223723661849767E-2</v>
      </c>
      <c r="P681" s="1122"/>
    </row>
    <row r="682" spans="6:16">
      <c r="F682" s="1121">
        <f t="shared" si="47"/>
        <v>5.9240415669164969E-3</v>
      </c>
      <c r="G682" s="1122"/>
      <c r="H682" s="436">
        <v>41428</v>
      </c>
      <c r="I682" s="738">
        <v>1640.42</v>
      </c>
      <c r="J682" s="440">
        <f t="shared" si="46"/>
        <v>5.9359554558053862E-3</v>
      </c>
      <c r="L682" s="436">
        <v>41428</v>
      </c>
      <c r="M682" s="738">
        <v>105.44</v>
      </c>
      <c r="N682" s="115">
        <f t="shared" si="45"/>
        <v>-3.6851554379665474E-3</v>
      </c>
      <c r="O682" s="1121">
        <f t="shared" si="48"/>
        <v>-3.6970693268554363E-3</v>
      </c>
      <c r="P682" s="1122"/>
    </row>
    <row r="683" spans="6:16">
      <c r="F683" s="1121">
        <f t="shared" si="47"/>
        <v>-5.5226977125437749E-3</v>
      </c>
      <c r="G683" s="1122"/>
      <c r="H683" s="436">
        <v>41429</v>
      </c>
      <c r="I683" s="738">
        <v>1631.38</v>
      </c>
      <c r="J683" s="440">
        <f t="shared" si="46"/>
        <v>-5.5107838236548856E-3</v>
      </c>
      <c r="L683" s="436">
        <v>41429</v>
      </c>
      <c r="M683" s="738">
        <v>105.07</v>
      </c>
      <c r="N683" s="115">
        <f t="shared" si="45"/>
        <v>-3.5091047040971546E-3</v>
      </c>
      <c r="O683" s="1121">
        <f t="shared" si="48"/>
        <v>-3.5210185929860434E-3</v>
      </c>
      <c r="P683" s="1122"/>
    </row>
    <row r="684" spans="6:16">
      <c r="F684" s="1121">
        <f t="shared" si="47"/>
        <v>-1.3791658644862322E-2</v>
      </c>
      <c r="G684" s="1122"/>
      <c r="H684" s="436">
        <v>41430</v>
      </c>
      <c r="I684" s="738">
        <v>1608.9</v>
      </c>
      <c r="J684" s="440">
        <f t="shared" si="46"/>
        <v>-1.3779744755973433E-2</v>
      </c>
      <c r="L684" s="436">
        <v>41430</v>
      </c>
      <c r="M684" s="738">
        <v>103.59</v>
      </c>
      <c r="N684" s="115">
        <f t="shared" si="45"/>
        <v>-1.4085847530217799E-2</v>
      </c>
      <c r="O684" s="1121">
        <f t="shared" si="48"/>
        <v>-1.4097761419106687E-2</v>
      </c>
      <c r="P684" s="1122"/>
    </row>
    <row r="685" spans="6:16">
      <c r="F685" s="1121">
        <f t="shared" si="47"/>
        <v>8.478358968342696E-3</v>
      </c>
      <c r="G685" s="1122"/>
      <c r="H685" s="436">
        <v>41431</v>
      </c>
      <c r="I685" s="738">
        <v>1622.56</v>
      </c>
      <c r="J685" s="440">
        <f t="shared" si="46"/>
        <v>8.4902728572315844E-3</v>
      </c>
      <c r="L685" s="436">
        <v>41431</v>
      </c>
      <c r="M685" s="738">
        <v>104.37</v>
      </c>
      <c r="N685" s="115">
        <f t="shared" si="45"/>
        <v>7.5296843324645923E-3</v>
      </c>
      <c r="O685" s="1121">
        <f t="shared" si="48"/>
        <v>7.5177704435757031E-3</v>
      </c>
      <c r="P685" s="1122"/>
    </row>
    <row r="686" spans="6:16">
      <c r="F686" s="1121">
        <f t="shared" si="47"/>
        <v>1.2819660906496215E-2</v>
      </c>
      <c r="G686" s="1122"/>
      <c r="H686" s="436">
        <v>41432</v>
      </c>
      <c r="I686" s="738">
        <v>1643.38</v>
      </c>
      <c r="J686" s="440">
        <f t="shared" si="46"/>
        <v>1.2831574795385103E-2</v>
      </c>
      <c r="L686" s="436">
        <v>41432</v>
      </c>
      <c r="M686" s="738">
        <v>107.36</v>
      </c>
      <c r="N686" s="115">
        <f t="shared" si="45"/>
        <v>2.8648078949889744E-2</v>
      </c>
      <c r="O686" s="1121">
        <f t="shared" si="48"/>
        <v>2.8636165061000855E-2</v>
      </c>
      <c r="P686" s="1122"/>
    </row>
    <row r="687" spans="6:16">
      <c r="F687" s="1121">
        <f t="shared" si="47"/>
        <v>-3.5876002307589548E-4</v>
      </c>
      <c r="G687" s="1122"/>
      <c r="H687" s="436">
        <v>41435</v>
      </c>
      <c r="I687" s="738">
        <v>1642.81</v>
      </c>
      <c r="J687" s="440">
        <f t="shared" si="46"/>
        <v>-3.4684613418700661E-4</v>
      </c>
      <c r="L687" s="436">
        <v>41435</v>
      </c>
      <c r="M687" s="738">
        <v>106.67</v>
      </c>
      <c r="N687" s="115">
        <f t="shared" si="45"/>
        <v>-6.4269746646795634E-3</v>
      </c>
      <c r="O687" s="1121">
        <f t="shared" si="48"/>
        <v>-6.4388885535684526E-3</v>
      </c>
      <c r="P687" s="1122"/>
    </row>
    <row r="688" spans="6:16">
      <c r="F688" s="1121">
        <f t="shared" si="47"/>
        <v>-1.01652487237145E-2</v>
      </c>
      <c r="G688" s="1122"/>
      <c r="H688" s="436">
        <v>41436</v>
      </c>
      <c r="I688" s="738">
        <v>1626.13</v>
      </c>
      <c r="J688" s="440">
        <f t="shared" si="46"/>
        <v>-1.0153334834825611E-2</v>
      </c>
      <c r="L688" s="436">
        <v>41436</v>
      </c>
      <c r="M688" s="738">
        <v>105.96</v>
      </c>
      <c r="N688" s="115">
        <f t="shared" si="45"/>
        <v>-6.656041998687634E-3</v>
      </c>
      <c r="O688" s="1121">
        <f t="shared" si="48"/>
        <v>-6.6679558875765233E-3</v>
      </c>
      <c r="P688" s="1122"/>
    </row>
    <row r="689" spans="6:16">
      <c r="F689" s="1121">
        <f t="shared" si="47"/>
        <v>-8.381478437848762E-3</v>
      </c>
      <c r="G689" s="1122"/>
      <c r="H689" s="436">
        <v>41437</v>
      </c>
      <c r="I689" s="738">
        <v>1612.52</v>
      </c>
      <c r="J689" s="440">
        <f t="shared" si="46"/>
        <v>-8.3695645489598736E-3</v>
      </c>
      <c r="L689" s="436">
        <v>41437</v>
      </c>
      <c r="M689" s="738">
        <v>107.05</v>
      </c>
      <c r="N689" s="115">
        <f t="shared" ref="N689:N752" si="49">M689/M688-1</f>
        <v>1.0286900717251912E-2</v>
      </c>
      <c r="O689" s="1121">
        <f t="shared" si="48"/>
        <v>1.0274986828363024E-2</v>
      </c>
      <c r="P689" s="1122"/>
    </row>
    <row r="690" spans="6:16">
      <c r="F690" s="1121">
        <f t="shared" si="47"/>
        <v>1.4772398863821194E-2</v>
      </c>
      <c r="G690" s="1122"/>
      <c r="H690" s="436">
        <v>41438</v>
      </c>
      <c r="I690" s="738">
        <v>1636.36</v>
      </c>
      <c r="J690" s="440">
        <f t="shared" si="46"/>
        <v>1.4784312752710083E-2</v>
      </c>
      <c r="L690" s="436">
        <v>41438</v>
      </c>
      <c r="M690" s="738">
        <v>107.97</v>
      </c>
      <c r="N690" s="115">
        <f t="shared" si="49"/>
        <v>8.594114899579619E-3</v>
      </c>
      <c r="O690" s="1121">
        <f t="shared" si="48"/>
        <v>8.5822010106907307E-3</v>
      </c>
      <c r="P690" s="1122"/>
    </row>
    <row r="691" spans="6:16">
      <c r="F691" s="1121">
        <f t="shared" si="47"/>
        <v>-5.8969269666956448E-3</v>
      </c>
      <c r="G691" s="1122"/>
      <c r="H691" s="436">
        <v>41439</v>
      </c>
      <c r="I691" s="738">
        <v>1626.73</v>
      </c>
      <c r="J691" s="440">
        <f t="shared" si="46"/>
        <v>-5.8850130778067555E-3</v>
      </c>
      <c r="L691" s="436">
        <v>41439</v>
      </c>
      <c r="M691" s="738">
        <v>107.7</v>
      </c>
      <c r="N691" s="115">
        <f t="shared" si="49"/>
        <v>-2.5006946373992145E-3</v>
      </c>
      <c r="O691" s="1121">
        <f t="shared" si="48"/>
        <v>-2.5126085262881033E-3</v>
      </c>
      <c r="P691" s="1122"/>
    </row>
    <row r="692" spans="6:16">
      <c r="F692" s="1121">
        <f t="shared" si="47"/>
        <v>7.5554144323445238E-3</v>
      </c>
      <c r="G692" s="1122"/>
      <c r="H692" s="436">
        <v>41442</v>
      </c>
      <c r="I692" s="738">
        <v>1639.04</v>
      </c>
      <c r="J692" s="440">
        <f t="shared" si="46"/>
        <v>7.567328321233413E-3</v>
      </c>
      <c r="L692" s="436">
        <v>41442</v>
      </c>
      <c r="M692" s="738">
        <v>108.27</v>
      </c>
      <c r="N692" s="115">
        <f t="shared" si="49"/>
        <v>5.292479108635062E-3</v>
      </c>
      <c r="O692" s="1121">
        <f t="shared" si="48"/>
        <v>5.2805652197461727E-3</v>
      </c>
      <c r="P692" s="1122"/>
    </row>
    <row r="693" spans="6:16">
      <c r="F693" s="1121">
        <f t="shared" si="47"/>
        <v>7.7792321478154991E-3</v>
      </c>
      <c r="G693" s="1122"/>
      <c r="H693" s="436">
        <v>41443</v>
      </c>
      <c r="I693" s="738">
        <v>1651.81</v>
      </c>
      <c r="J693" s="440">
        <f t="shared" si="46"/>
        <v>7.7911460367043883E-3</v>
      </c>
      <c r="L693" s="436">
        <v>41443</v>
      </c>
      <c r="M693" s="738">
        <v>108.85</v>
      </c>
      <c r="N693" s="115">
        <f t="shared" si="49"/>
        <v>5.3569779255564498E-3</v>
      </c>
      <c r="O693" s="1121">
        <f t="shared" si="48"/>
        <v>5.3450640366675605E-3</v>
      </c>
      <c r="P693" s="1122"/>
    </row>
    <row r="694" spans="6:16">
      <c r="F694" s="1121">
        <f t="shared" si="47"/>
        <v>-1.3863385910489419E-2</v>
      </c>
      <c r="G694" s="1122"/>
      <c r="H694" s="436">
        <v>41444</v>
      </c>
      <c r="I694" s="738">
        <v>1628.93</v>
      </c>
      <c r="J694" s="440">
        <f t="shared" si="46"/>
        <v>-1.385147202160053E-2</v>
      </c>
      <c r="L694" s="436">
        <v>41444</v>
      </c>
      <c r="M694" s="738">
        <v>106.93</v>
      </c>
      <c r="N694" s="115">
        <f t="shared" si="49"/>
        <v>-1.7638952687184073E-2</v>
      </c>
      <c r="O694" s="1121">
        <f t="shared" si="48"/>
        <v>-1.7650866576072961E-2</v>
      </c>
      <c r="P694" s="1122"/>
    </row>
    <row r="695" spans="6:16">
      <c r="F695" s="1121">
        <f t="shared" si="47"/>
        <v>-2.5022196712582996E-2</v>
      </c>
      <c r="G695" s="1122"/>
      <c r="H695" s="436">
        <v>41445</v>
      </c>
      <c r="I695" s="738">
        <v>1588.19</v>
      </c>
      <c r="J695" s="440">
        <f t="shared" si="46"/>
        <v>-2.5010282823694108E-2</v>
      </c>
      <c r="L695" s="436">
        <v>41445</v>
      </c>
      <c r="M695" s="738">
        <v>105.04</v>
      </c>
      <c r="N695" s="115">
        <f t="shared" si="49"/>
        <v>-1.767511456092774E-2</v>
      </c>
      <c r="O695" s="1121">
        <f t="shared" si="48"/>
        <v>-1.7687028449816629E-2</v>
      </c>
      <c r="P695" s="1122"/>
    </row>
    <row r="696" spans="6:16">
      <c r="F696" s="1121">
        <f t="shared" si="47"/>
        <v>2.6577918767941504E-3</v>
      </c>
      <c r="G696" s="1122"/>
      <c r="H696" s="436">
        <v>41446</v>
      </c>
      <c r="I696" s="738">
        <v>1592.43</v>
      </c>
      <c r="J696" s="440">
        <f t="shared" si="46"/>
        <v>2.6697057656830392E-3</v>
      </c>
      <c r="L696" s="436">
        <v>41446</v>
      </c>
      <c r="M696" s="738">
        <v>105.06</v>
      </c>
      <c r="N696" s="115">
        <f t="shared" si="49"/>
        <v>1.9040365575007101E-4</v>
      </c>
      <c r="O696" s="1121">
        <f t="shared" si="48"/>
        <v>1.7848976686118213E-4</v>
      </c>
      <c r="P696" s="1122"/>
    </row>
    <row r="697" spans="6:16">
      <c r="F697" s="1121">
        <f t="shared" si="47"/>
        <v>-1.2156874734891583E-2</v>
      </c>
      <c r="G697" s="1122"/>
      <c r="H697" s="436">
        <v>41449</v>
      </c>
      <c r="I697" s="738">
        <v>1573.09</v>
      </c>
      <c r="J697" s="440">
        <f t="shared" si="46"/>
        <v>-1.2144960846002695E-2</v>
      </c>
      <c r="L697" s="436">
        <v>41449</v>
      </c>
      <c r="M697" s="738">
        <v>103.83</v>
      </c>
      <c r="N697" s="115">
        <f t="shared" si="49"/>
        <v>-1.1707595659623093E-2</v>
      </c>
      <c r="O697" s="1121">
        <f t="shared" si="48"/>
        <v>-1.1719509548511982E-2</v>
      </c>
      <c r="P697" s="1122"/>
    </row>
    <row r="698" spans="6:16">
      <c r="F698" s="1121">
        <f t="shared" si="47"/>
        <v>9.485317674467246E-3</v>
      </c>
      <c r="G698" s="1122"/>
      <c r="H698" s="436">
        <v>41450</v>
      </c>
      <c r="I698" s="738">
        <v>1588.03</v>
      </c>
      <c r="J698" s="440">
        <f t="shared" si="46"/>
        <v>9.4972315633561344E-3</v>
      </c>
      <c r="L698" s="436">
        <v>41450</v>
      </c>
      <c r="M698" s="738">
        <v>103.67</v>
      </c>
      <c r="N698" s="115">
        <f t="shared" si="49"/>
        <v>-1.5409804488105694E-3</v>
      </c>
      <c r="O698" s="1121">
        <f t="shared" si="48"/>
        <v>-1.5528943376994582E-3</v>
      </c>
      <c r="P698" s="1122"/>
    </row>
    <row r="699" spans="6:16">
      <c r="F699" s="1121">
        <f t="shared" si="47"/>
        <v>9.5785850311568208E-3</v>
      </c>
      <c r="G699" s="1122"/>
      <c r="H699" s="436">
        <v>41451</v>
      </c>
      <c r="I699" s="738">
        <v>1603.26</v>
      </c>
      <c r="J699" s="440">
        <f t="shared" si="46"/>
        <v>9.5904989200457091E-3</v>
      </c>
      <c r="L699" s="436">
        <v>41451</v>
      </c>
      <c r="M699" s="738">
        <v>105.77</v>
      </c>
      <c r="N699" s="115">
        <f t="shared" si="49"/>
        <v>2.0256583389601568E-2</v>
      </c>
      <c r="O699" s="1121">
        <f t="shared" si="48"/>
        <v>2.024466950071268E-2</v>
      </c>
      <c r="P699" s="1122"/>
    </row>
    <row r="700" spans="6:16">
      <c r="F700" s="1121">
        <f t="shared" si="47"/>
        <v>6.187953880531053E-3</v>
      </c>
      <c r="G700" s="1122"/>
      <c r="H700" s="436">
        <v>41452</v>
      </c>
      <c r="I700" s="738">
        <v>1613.2</v>
      </c>
      <c r="J700" s="440">
        <f t="shared" si="46"/>
        <v>6.1998677694199422E-3</v>
      </c>
      <c r="L700" s="436">
        <v>41452</v>
      </c>
      <c r="M700" s="738">
        <v>107.36</v>
      </c>
      <c r="N700" s="115">
        <f t="shared" si="49"/>
        <v>1.503261794459676E-2</v>
      </c>
      <c r="O700" s="1121">
        <f t="shared" si="48"/>
        <v>1.5020704055707872E-2</v>
      </c>
      <c r="P700" s="1122"/>
    </row>
    <row r="701" spans="6:16">
      <c r="F701" s="1121">
        <f t="shared" si="47"/>
        <v>-4.301524600518033E-3</v>
      </c>
      <c r="G701" s="1122"/>
      <c r="H701" s="436">
        <v>41453</v>
      </c>
      <c r="I701" s="738">
        <v>1606.28</v>
      </c>
      <c r="J701" s="440">
        <f t="shared" si="46"/>
        <v>-4.2896107116291438E-3</v>
      </c>
      <c r="L701" s="436">
        <v>41453</v>
      </c>
      <c r="M701" s="738">
        <v>108.46</v>
      </c>
      <c r="N701" s="115">
        <f t="shared" si="49"/>
        <v>1.0245901639344135E-2</v>
      </c>
      <c r="O701" s="1121">
        <f t="shared" si="48"/>
        <v>1.0233987750455247E-2</v>
      </c>
      <c r="P701" s="1122"/>
    </row>
    <row r="702" spans="6:16">
      <c r="F702" s="1121">
        <f t="shared" si="47"/>
        <v>5.3918762348753512E-3</v>
      </c>
      <c r="G702" s="1122"/>
      <c r="H702" s="436">
        <v>41456</v>
      </c>
      <c r="I702" s="738">
        <v>1614.96</v>
      </c>
      <c r="J702" s="440">
        <f t="shared" si="46"/>
        <v>5.4037901237642405E-3</v>
      </c>
      <c r="L702" s="436">
        <v>41456</v>
      </c>
      <c r="M702" s="738">
        <v>108.06</v>
      </c>
      <c r="N702" s="115">
        <f t="shared" si="49"/>
        <v>-3.6879955744052451E-3</v>
      </c>
      <c r="O702" s="1121">
        <f t="shared" si="48"/>
        <v>-3.6999094632941339E-3</v>
      </c>
      <c r="P702" s="1122"/>
    </row>
    <row r="703" spans="6:16">
      <c r="F703" s="1121">
        <f t="shared" si="47"/>
        <v>-5.5681902585825364E-4</v>
      </c>
      <c r="G703" s="1122"/>
      <c r="H703" s="436">
        <v>41457</v>
      </c>
      <c r="I703" s="738">
        <v>1614.08</v>
      </c>
      <c r="J703" s="440">
        <f t="shared" si="46"/>
        <v>-5.4490513696936471E-4</v>
      </c>
      <c r="L703" s="436">
        <v>41457</v>
      </c>
      <c r="M703" s="738">
        <v>106.4</v>
      </c>
      <c r="N703" s="115">
        <f t="shared" si="49"/>
        <v>-1.5361836017027564E-2</v>
      </c>
      <c r="O703" s="1121">
        <f t="shared" si="48"/>
        <v>-1.5373749905916452E-2</v>
      </c>
      <c r="P703" s="1122"/>
    </row>
    <row r="704" spans="6:16">
      <c r="F704" s="1121">
        <f t="shared" si="47"/>
        <v>8.1208492157901853E-4</v>
      </c>
      <c r="G704" s="1122"/>
      <c r="H704" s="436">
        <v>41458</v>
      </c>
      <c r="I704" s="738">
        <v>1615.41</v>
      </c>
      <c r="J704" s="440">
        <f t="shared" si="46"/>
        <v>8.2399881046790746E-4</v>
      </c>
      <c r="L704" s="436">
        <v>41458</v>
      </c>
      <c r="M704" s="738">
        <v>107.2</v>
      </c>
      <c r="N704" s="115">
        <f t="shared" si="49"/>
        <v>7.5187969924812581E-3</v>
      </c>
      <c r="O704" s="1121">
        <f t="shared" si="48"/>
        <v>7.5068831035923688E-3</v>
      </c>
      <c r="P704" s="1122"/>
    </row>
    <row r="705" spans="6:16">
      <c r="F705" s="1121">
        <f t="shared" si="47"/>
        <v>-1.1913888888888887E-5</v>
      </c>
      <c r="G705" s="1122"/>
      <c r="H705" s="436">
        <v>41459</v>
      </c>
      <c r="I705" s="738">
        <v>1615.41</v>
      </c>
      <c r="J705" s="440">
        <f t="shared" si="46"/>
        <v>0</v>
      </c>
      <c r="L705" s="436">
        <v>41459</v>
      </c>
      <c r="M705" s="738">
        <v>107.2</v>
      </c>
      <c r="N705" s="115">
        <f t="shared" si="49"/>
        <v>0</v>
      </c>
      <c r="O705" s="1121">
        <f t="shared" si="48"/>
        <v>-1.1913888888888887E-5</v>
      </c>
      <c r="P705" s="1122"/>
    </row>
    <row r="706" spans="6:16">
      <c r="F706" s="1121">
        <f t="shared" si="47"/>
        <v>1.018983055988875E-2</v>
      </c>
      <c r="G706" s="1122"/>
      <c r="H706" s="436">
        <v>41460</v>
      </c>
      <c r="I706" s="738">
        <v>1631.89</v>
      </c>
      <c r="J706" s="440">
        <f t="shared" si="46"/>
        <v>1.0201744448777639E-2</v>
      </c>
      <c r="L706" s="436">
        <v>41460</v>
      </c>
      <c r="M706" s="738">
        <v>108.66</v>
      </c>
      <c r="N706" s="115">
        <f t="shared" si="49"/>
        <v>1.3619402985074469E-2</v>
      </c>
      <c r="O706" s="1121">
        <f t="shared" si="48"/>
        <v>1.3607489096185581E-2</v>
      </c>
      <c r="P706" s="1122"/>
    </row>
    <row r="707" spans="6:16">
      <c r="F707" s="1121">
        <f t="shared" si="47"/>
        <v>5.2396655680598736E-3</v>
      </c>
      <c r="G707" s="1122"/>
      <c r="H707" s="436">
        <v>41463</v>
      </c>
      <c r="I707" s="738">
        <v>1640.46</v>
      </c>
      <c r="J707" s="440">
        <f t="shared" si="46"/>
        <v>5.2515794569487628E-3</v>
      </c>
      <c r="L707" s="436">
        <v>41463</v>
      </c>
      <c r="M707" s="738">
        <v>109.17</v>
      </c>
      <c r="N707" s="115">
        <f t="shared" si="49"/>
        <v>4.6935394809497488E-3</v>
      </c>
      <c r="O707" s="1121">
        <f t="shared" si="48"/>
        <v>4.6816255920608596E-3</v>
      </c>
      <c r="P707" s="1122"/>
    </row>
    <row r="708" spans="6:16">
      <c r="F708" s="1121">
        <f t="shared" si="47"/>
        <v>7.2177655912569671E-3</v>
      </c>
      <c r="G708" s="1122"/>
      <c r="H708" s="436">
        <v>41464</v>
      </c>
      <c r="I708" s="738">
        <v>1652.32</v>
      </c>
      <c r="J708" s="440">
        <f t="shared" si="46"/>
        <v>7.2296794801458564E-3</v>
      </c>
      <c r="L708" s="436">
        <v>41464</v>
      </c>
      <c r="M708" s="738">
        <v>109.57</v>
      </c>
      <c r="N708" s="115">
        <f t="shared" si="49"/>
        <v>3.6640102592286894E-3</v>
      </c>
      <c r="O708" s="1121">
        <f t="shared" si="48"/>
        <v>3.6520963703398006E-3</v>
      </c>
      <c r="P708" s="1122"/>
    </row>
    <row r="709" spans="6:16">
      <c r="F709" s="1121">
        <f t="shared" si="47"/>
        <v>1.6964900449744448E-4</v>
      </c>
      <c r="G709" s="1122"/>
      <c r="H709" s="436">
        <v>41465</v>
      </c>
      <c r="I709" s="738">
        <v>1652.62</v>
      </c>
      <c r="J709" s="440">
        <f t="shared" si="46"/>
        <v>1.8156289338633336E-4</v>
      </c>
      <c r="L709" s="436">
        <v>41465</v>
      </c>
      <c r="M709" s="738">
        <v>111.52</v>
      </c>
      <c r="N709" s="115">
        <f t="shared" si="49"/>
        <v>1.7796842201332597E-2</v>
      </c>
      <c r="O709" s="1121">
        <f t="shared" si="48"/>
        <v>1.7784928312443708E-2</v>
      </c>
      <c r="P709" s="1122"/>
    </row>
    <row r="710" spans="6:16">
      <c r="F710" s="1121">
        <f t="shared" si="47"/>
        <v>1.3542321204478174E-2</v>
      </c>
      <c r="G710" s="1122"/>
      <c r="H710" s="436">
        <v>41466</v>
      </c>
      <c r="I710" s="738">
        <v>1675.02</v>
      </c>
      <c r="J710" s="440">
        <f t="shared" si="46"/>
        <v>1.3554235093367062E-2</v>
      </c>
      <c r="L710" s="436">
        <v>41466</v>
      </c>
      <c r="M710" s="738">
        <v>113.1</v>
      </c>
      <c r="N710" s="115">
        <f t="shared" si="49"/>
        <v>1.4167862266857956E-2</v>
      </c>
      <c r="O710" s="1121">
        <f t="shared" si="48"/>
        <v>1.4155948377969067E-2</v>
      </c>
      <c r="P710" s="1122"/>
    </row>
    <row r="711" spans="6:16">
      <c r="F711" s="1121">
        <f t="shared" si="47"/>
        <v>3.0746164211970998E-3</v>
      </c>
      <c r="G711" s="1122"/>
      <c r="H711" s="436">
        <v>41467</v>
      </c>
      <c r="I711" s="738">
        <v>1680.19</v>
      </c>
      <c r="J711" s="440">
        <f t="shared" si="46"/>
        <v>3.0865303100859887E-3</v>
      </c>
      <c r="L711" s="436">
        <v>41467</v>
      </c>
      <c r="M711" s="738">
        <v>112.53</v>
      </c>
      <c r="N711" s="115">
        <f t="shared" si="49"/>
        <v>-5.0397877984084127E-3</v>
      </c>
      <c r="O711" s="1121">
        <f t="shared" si="48"/>
        <v>-5.051701687297302E-3</v>
      </c>
      <c r="P711" s="1122"/>
    </row>
    <row r="712" spans="6:16">
      <c r="F712" s="1121">
        <f t="shared" si="47"/>
        <v>1.3629306227437225E-3</v>
      </c>
      <c r="G712" s="1122"/>
      <c r="H712" s="436">
        <v>41470</v>
      </c>
      <c r="I712" s="738">
        <v>1682.5</v>
      </c>
      <c r="J712" s="440">
        <f t="shared" si="46"/>
        <v>1.3748445116326113E-3</v>
      </c>
      <c r="L712" s="436">
        <v>41470</v>
      </c>
      <c r="M712" s="738">
        <v>114.37</v>
      </c>
      <c r="N712" s="115">
        <f t="shared" si="49"/>
        <v>1.6351195236825822E-2</v>
      </c>
      <c r="O712" s="1121">
        <f t="shared" si="48"/>
        <v>1.6339281347936933E-2</v>
      </c>
      <c r="P712" s="1122"/>
    </row>
    <row r="713" spans="6:16">
      <c r="F713" s="1121">
        <f t="shared" si="47"/>
        <v>-3.7206806050850212E-3</v>
      </c>
      <c r="G713" s="1122"/>
      <c r="H713" s="436">
        <v>41471</v>
      </c>
      <c r="I713" s="738">
        <v>1676.26</v>
      </c>
      <c r="J713" s="440">
        <f t="shared" si="46"/>
        <v>-3.7087667161961324E-3</v>
      </c>
      <c r="L713" s="436">
        <v>41471</v>
      </c>
      <c r="M713" s="738">
        <v>112.6</v>
      </c>
      <c r="N713" s="115">
        <f t="shared" si="49"/>
        <v>-1.5476086386290167E-2</v>
      </c>
      <c r="O713" s="1121">
        <f t="shared" si="48"/>
        <v>-1.5488000275179055E-2</v>
      </c>
      <c r="P713" s="1122"/>
    </row>
    <row r="714" spans="6:16">
      <c r="F714" s="1121">
        <f t="shared" si="47"/>
        <v>2.7621187790743888E-3</v>
      </c>
      <c r="G714" s="1122"/>
      <c r="H714" s="436">
        <v>41472</v>
      </c>
      <c r="I714" s="738">
        <v>1680.91</v>
      </c>
      <c r="J714" s="440">
        <f t="shared" si="46"/>
        <v>2.7740326679632776E-3</v>
      </c>
      <c r="L714" s="436">
        <v>41472</v>
      </c>
      <c r="M714" s="738">
        <v>114.08</v>
      </c>
      <c r="N714" s="115">
        <f t="shared" si="49"/>
        <v>1.3143872113676736E-2</v>
      </c>
      <c r="O714" s="1121">
        <f t="shared" si="48"/>
        <v>1.3131958224787847E-2</v>
      </c>
      <c r="P714" s="1122"/>
    </row>
    <row r="715" spans="6:16">
      <c r="F715" s="1121">
        <f t="shared" si="47"/>
        <v>5.0210741949464543E-3</v>
      </c>
      <c r="G715" s="1122"/>
      <c r="H715" s="436">
        <v>41473</v>
      </c>
      <c r="I715" s="738">
        <v>1689.37</v>
      </c>
      <c r="J715" s="440">
        <f t="shared" si="46"/>
        <v>5.0329880838353436E-3</v>
      </c>
      <c r="L715" s="436">
        <v>41473</v>
      </c>
      <c r="M715" s="738">
        <v>115.39</v>
      </c>
      <c r="N715" s="115">
        <f t="shared" si="49"/>
        <v>1.1483169705469809E-2</v>
      </c>
      <c r="O715" s="1121">
        <f t="shared" si="48"/>
        <v>1.1471255816580921E-2</v>
      </c>
      <c r="P715" s="1122"/>
    </row>
    <row r="716" spans="6:16">
      <c r="F716" s="1121">
        <f t="shared" si="47"/>
        <v>1.5981537694690277E-3</v>
      </c>
      <c r="G716" s="1122"/>
      <c r="H716" s="436">
        <v>41474</v>
      </c>
      <c r="I716" s="738">
        <v>1692.09</v>
      </c>
      <c r="J716" s="440">
        <f t="shared" si="46"/>
        <v>1.6100676583579165E-3</v>
      </c>
      <c r="L716" s="436">
        <v>41474</v>
      </c>
      <c r="M716" s="738">
        <v>115.55</v>
      </c>
      <c r="N716" s="115">
        <f t="shared" si="49"/>
        <v>1.3866019585753175E-3</v>
      </c>
      <c r="O716" s="1121">
        <f t="shared" si="48"/>
        <v>1.3746880696864287E-3</v>
      </c>
      <c r="P716" s="1122"/>
    </row>
    <row r="717" spans="6:16">
      <c r="F717" s="1121">
        <f t="shared" si="47"/>
        <v>2.021074900123591E-3</v>
      </c>
      <c r="G717" s="1122"/>
      <c r="H717" s="436">
        <v>41477</v>
      </c>
      <c r="I717" s="738">
        <v>1695.53</v>
      </c>
      <c r="J717" s="440">
        <f t="shared" si="46"/>
        <v>2.0329887890124798E-3</v>
      </c>
      <c r="L717" s="436">
        <v>41477</v>
      </c>
      <c r="M717" s="738">
        <v>115.65</v>
      </c>
      <c r="N717" s="115">
        <f t="shared" si="49"/>
        <v>8.6542622241458922E-4</v>
      </c>
      <c r="O717" s="1121">
        <f t="shared" si="48"/>
        <v>8.5351233352570029E-4</v>
      </c>
      <c r="P717" s="1122"/>
    </row>
    <row r="718" spans="6:16">
      <c r="F718" s="1121">
        <f t="shared" si="47"/>
        <v>-1.863842194492323E-3</v>
      </c>
      <c r="G718" s="1122"/>
      <c r="H718" s="436">
        <v>41478</v>
      </c>
      <c r="I718" s="738">
        <v>1692.39</v>
      </c>
      <c r="J718" s="440">
        <f t="shared" si="46"/>
        <v>-1.8519283056034341E-3</v>
      </c>
      <c r="L718" s="436">
        <v>41478</v>
      </c>
      <c r="M718" s="738">
        <v>117.92</v>
      </c>
      <c r="N718" s="115">
        <f t="shared" si="49"/>
        <v>1.9628188499783761E-2</v>
      </c>
      <c r="O718" s="1121">
        <f t="shared" si="48"/>
        <v>1.9616274610894872E-2</v>
      </c>
      <c r="P718" s="1122"/>
    </row>
    <row r="719" spans="6:16">
      <c r="F719" s="1121">
        <f t="shared" si="47"/>
        <v>-3.823092163400162E-3</v>
      </c>
      <c r="G719" s="1122"/>
      <c r="H719" s="436">
        <v>41479</v>
      </c>
      <c r="I719" s="738">
        <v>1685.94</v>
      </c>
      <c r="J719" s="440">
        <f t="shared" si="46"/>
        <v>-3.8111782745112732E-3</v>
      </c>
      <c r="L719" s="436">
        <v>41479</v>
      </c>
      <c r="M719" s="738">
        <v>119.12</v>
      </c>
      <c r="N719" s="115">
        <f t="shared" si="49"/>
        <v>1.0176390773405819E-2</v>
      </c>
      <c r="O719" s="1121">
        <f t="shared" si="48"/>
        <v>1.0164476884516931E-2</v>
      </c>
      <c r="P719" s="1122"/>
    </row>
    <row r="720" spans="6:16">
      <c r="F720" s="1121">
        <f t="shared" si="47"/>
        <v>2.54452346949862E-3</v>
      </c>
      <c r="G720" s="1122"/>
      <c r="H720" s="436">
        <v>41480</v>
      </c>
      <c r="I720" s="738">
        <v>1690.25</v>
      </c>
      <c r="J720" s="440">
        <f t="shared" si="46"/>
        <v>2.5564373583875089E-3</v>
      </c>
      <c r="L720" s="436">
        <v>41480</v>
      </c>
      <c r="M720" s="738">
        <v>119.5</v>
      </c>
      <c r="N720" s="115">
        <f t="shared" si="49"/>
        <v>3.1900604432504309E-3</v>
      </c>
      <c r="O720" s="1121">
        <f t="shared" si="48"/>
        <v>3.1781465543615421E-3</v>
      </c>
      <c r="P720" s="1122"/>
    </row>
    <row r="721" spans="6:16">
      <c r="F721" s="1121">
        <f t="shared" si="47"/>
        <v>8.1636595137145969E-4</v>
      </c>
      <c r="G721" s="1122"/>
      <c r="H721" s="436">
        <v>41481</v>
      </c>
      <c r="I721" s="738">
        <v>1691.65</v>
      </c>
      <c r="J721" s="440">
        <f t="shared" si="46"/>
        <v>8.2827984026034862E-4</v>
      </c>
      <c r="L721" s="436">
        <v>41481</v>
      </c>
      <c r="M721" s="738">
        <v>120</v>
      </c>
      <c r="N721" s="115">
        <f t="shared" si="49"/>
        <v>4.1841004184099972E-3</v>
      </c>
      <c r="O721" s="1121">
        <f t="shared" si="48"/>
        <v>4.172186529521108E-3</v>
      </c>
      <c r="P721" s="1122"/>
    </row>
    <row r="722" spans="6:16">
      <c r="F722" s="1121">
        <f t="shared" si="47"/>
        <v>-3.7479112878781103E-3</v>
      </c>
      <c r="G722" s="1122"/>
      <c r="H722" s="436">
        <v>41484</v>
      </c>
      <c r="I722" s="738">
        <v>1685.33</v>
      </c>
      <c r="J722" s="440">
        <f t="shared" si="46"/>
        <v>-3.7359973989892215E-3</v>
      </c>
      <c r="L722" s="436">
        <v>41484</v>
      </c>
      <c r="M722" s="738">
        <v>119.99</v>
      </c>
      <c r="N722" s="115">
        <f t="shared" si="49"/>
        <v>-8.3333333333324155E-5</v>
      </c>
      <c r="O722" s="1121">
        <f t="shared" si="48"/>
        <v>-9.5247222222213048E-5</v>
      </c>
      <c r="P722" s="1122"/>
    </row>
    <row r="723" spans="6:16">
      <c r="F723" s="1121">
        <f t="shared" si="47"/>
        <v>3.6190014159786322E-4</v>
      </c>
      <c r="G723" s="1122"/>
      <c r="H723" s="436">
        <v>41485</v>
      </c>
      <c r="I723" s="738">
        <v>1685.96</v>
      </c>
      <c r="J723" s="440">
        <f t="shared" si="46"/>
        <v>3.738140304867521E-4</v>
      </c>
      <c r="L723" s="436">
        <v>41485</v>
      </c>
      <c r="M723" s="738">
        <v>120.09</v>
      </c>
      <c r="N723" s="115">
        <f t="shared" si="49"/>
        <v>8.3340278356547337E-4</v>
      </c>
      <c r="O723" s="1121">
        <f t="shared" si="48"/>
        <v>8.2148889467658444E-4</v>
      </c>
      <c r="P723" s="1122"/>
    </row>
    <row r="724" spans="6:16">
      <c r="F724" s="1121">
        <f t="shared" si="47"/>
        <v>-1.4833468179032604E-4</v>
      </c>
      <c r="G724" s="1122"/>
      <c r="H724" s="436">
        <v>41486</v>
      </c>
      <c r="I724" s="738">
        <v>1685.73</v>
      </c>
      <c r="J724" s="440">
        <f t="shared" si="46"/>
        <v>-1.3642079290143716E-4</v>
      </c>
      <c r="L724" s="436">
        <v>41486</v>
      </c>
      <c r="M724" s="738">
        <v>120.12</v>
      </c>
      <c r="N724" s="115">
        <f t="shared" si="49"/>
        <v>2.4981264051970875E-4</v>
      </c>
      <c r="O724" s="1121">
        <f t="shared" si="48"/>
        <v>2.3789875163081987E-4</v>
      </c>
      <c r="P724" s="1122"/>
    </row>
    <row r="725" spans="6:16">
      <c r="F725" s="1121">
        <f t="shared" si="47"/>
        <v>1.2528647173677292E-2</v>
      </c>
      <c r="G725" s="1122"/>
      <c r="H725" s="436">
        <v>41487</v>
      </c>
      <c r="I725" s="738">
        <v>1706.87</v>
      </c>
      <c r="J725" s="440">
        <f t="shared" si="46"/>
        <v>1.254056106256618E-2</v>
      </c>
      <c r="L725" s="436">
        <v>41487</v>
      </c>
      <c r="M725" s="738">
        <v>122.17</v>
      </c>
      <c r="N725" s="115">
        <f t="shared" si="49"/>
        <v>1.7066267066267127E-2</v>
      </c>
      <c r="O725" s="1121">
        <f t="shared" si="48"/>
        <v>1.7054353177378238E-2</v>
      </c>
      <c r="P725" s="1122"/>
    </row>
    <row r="726" spans="6:16">
      <c r="F726" s="1121">
        <f t="shared" si="47"/>
        <v>1.6285156693084317E-3</v>
      </c>
      <c r="G726" s="1122"/>
      <c r="H726" s="436">
        <v>41488</v>
      </c>
      <c r="I726" s="738">
        <v>1709.67</v>
      </c>
      <c r="J726" s="440">
        <f t="shared" si="46"/>
        <v>1.6404295581973205E-3</v>
      </c>
      <c r="L726" s="436">
        <v>41488</v>
      </c>
      <c r="M726" s="738">
        <v>123.77</v>
      </c>
      <c r="N726" s="115">
        <f t="shared" si="49"/>
        <v>1.3096504870262704E-2</v>
      </c>
      <c r="O726" s="1121">
        <f t="shared" si="48"/>
        <v>1.3084590981373816E-2</v>
      </c>
      <c r="P726" s="1122"/>
    </row>
    <row r="727" spans="6:16">
      <c r="F727" s="1121">
        <f t="shared" si="47"/>
        <v>-1.4917316314941938E-3</v>
      </c>
      <c r="G727" s="1122"/>
      <c r="H727" s="436">
        <v>41491</v>
      </c>
      <c r="I727" s="738">
        <v>1707.14</v>
      </c>
      <c r="J727" s="440">
        <f t="shared" si="46"/>
        <v>-1.479817742605305E-3</v>
      </c>
      <c r="L727" s="436">
        <v>41491</v>
      </c>
      <c r="M727" s="738">
        <v>124.15</v>
      </c>
      <c r="N727" s="115">
        <f t="shared" si="49"/>
        <v>3.0702108750102486E-3</v>
      </c>
      <c r="O727" s="1121">
        <f t="shared" si="48"/>
        <v>3.0582969861213598E-3</v>
      </c>
      <c r="P727" s="1122"/>
    </row>
    <row r="728" spans="6:16">
      <c r="F728" s="1121">
        <f t="shared" si="47"/>
        <v>-5.7349360194699573E-3</v>
      </c>
      <c r="G728" s="1122"/>
      <c r="H728" s="436">
        <v>41492</v>
      </c>
      <c r="I728" s="738">
        <v>1697.37</v>
      </c>
      <c r="J728" s="440">
        <f t="shared" si="46"/>
        <v>-5.723022130581068E-3</v>
      </c>
      <c r="L728" s="436">
        <v>41492</v>
      </c>
      <c r="M728" s="738">
        <v>124.26</v>
      </c>
      <c r="N728" s="115">
        <f t="shared" si="49"/>
        <v>8.8602496979461876E-4</v>
      </c>
      <c r="O728" s="1121">
        <f t="shared" si="48"/>
        <v>8.7411108090572982E-4</v>
      </c>
      <c r="P728" s="1122"/>
    </row>
    <row r="729" spans="6:16">
      <c r="F729" s="1121">
        <f t="shared" si="47"/>
        <v>-3.8178018213961347E-3</v>
      </c>
      <c r="G729" s="1122"/>
      <c r="H729" s="436">
        <v>41493</v>
      </c>
      <c r="I729" s="738">
        <v>1690.91</v>
      </c>
      <c r="J729" s="440">
        <f t="shared" si="46"/>
        <v>-3.8058879325072459E-3</v>
      </c>
      <c r="L729" s="436">
        <v>41493</v>
      </c>
      <c r="M729" s="738">
        <v>124.54</v>
      </c>
      <c r="N729" s="115">
        <f t="shared" si="49"/>
        <v>2.2533397714470382E-3</v>
      </c>
      <c r="O729" s="1121">
        <f t="shared" si="48"/>
        <v>2.2414258825581494E-3</v>
      </c>
      <c r="P729" s="1122"/>
    </row>
    <row r="730" spans="6:16">
      <c r="F730" s="1121">
        <f t="shared" si="47"/>
        <v>3.8735678931102117E-3</v>
      </c>
      <c r="G730" s="1122"/>
      <c r="H730" s="436">
        <v>41494</v>
      </c>
      <c r="I730" s="738">
        <v>1697.48</v>
      </c>
      <c r="J730" s="440">
        <f t="shared" si="46"/>
        <v>3.8854817819991005E-3</v>
      </c>
      <c r="L730" s="436">
        <v>41494</v>
      </c>
      <c r="M730" s="738">
        <v>124.64</v>
      </c>
      <c r="N730" s="115">
        <f t="shared" si="49"/>
        <v>8.0295487393611253E-4</v>
      </c>
      <c r="O730" s="1121">
        <f t="shared" si="48"/>
        <v>7.910409850472236E-4</v>
      </c>
      <c r="P730" s="1122"/>
    </row>
    <row r="731" spans="6:16">
      <c r="F731" s="1121">
        <f t="shared" si="47"/>
        <v>-3.5819117680980857E-3</v>
      </c>
      <c r="G731" s="1122"/>
      <c r="H731" s="436">
        <v>41495</v>
      </c>
      <c r="I731" s="738">
        <v>1691.42</v>
      </c>
      <c r="J731" s="440">
        <f t="shared" si="46"/>
        <v>-3.5699978792091969E-3</v>
      </c>
      <c r="L731" s="436">
        <v>41495</v>
      </c>
      <c r="M731" s="738">
        <v>124.02</v>
      </c>
      <c r="N731" s="115">
        <f t="shared" si="49"/>
        <v>-4.974326059050127E-3</v>
      </c>
      <c r="O731" s="1121">
        <f t="shared" si="48"/>
        <v>-4.9862399479390163E-3</v>
      </c>
      <c r="P731" s="1122"/>
    </row>
    <row r="732" spans="6:16">
      <c r="F732" s="1121">
        <f t="shared" si="47"/>
        <v>-1.1647913527950212E-3</v>
      </c>
      <c r="G732" s="1122"/>
      <c r="H732" s="436">
        <v>41498</v>
      </c>
      <c r="I732" s="738">
        <v>1689.47</v>
      </c>
      <c r="J732" s="440">
        <f t="shared" si="46"/>
        <v>-1.1528774639061323E-3</v>
      </c>
      <c r="L732" s="436">
        <v>41498</v>
      </c>
      <c r="M732" s="738">
        <v>123</v>
      </c>
      <c r="N732" s="115">
        <f t="shared" si="49"/>
        <v>-8.2244799225931198E-3</v>
      </c>
      <c r="O732" s="1121">
        <f t="shared" si="48"/>
        <v>-8.2363938114820082E-3</v>
      </c>
      <c r="P732" s="1122"/>
    </row>
    <row r="733" spans="6:16">
      <c r="F733" s="1121">
        <f t="shared" si="47"/>
        <v>2.7641046257932326E-3</v>
      </c>
      <c r="G733" s="1122"/>
      <c r="H733" s="436">
        <v>41499</v>
      </c>
      <c r="I733" s="738">
        <v>1694.16</v>
      </c>
      <c r="J733" s="440">
        <f t="shared" ref="J733:J796" si="50">I733/I732-1</f>
        <v>2.7760185146821215E-3</v>
      </c>
      <c r="L733" s="436">
        <v>41499</v>
      </c>
      <c r="M733" s="738">
        <v>124.06</v>
      </c>
      <c r="N733" s="115">
        <f t="shared" si="49"/>
        <v>8.6178861788617223E-3</v>
      </c>
      <c r="O733" s="1121">
        <f t="shared" si="48"/>
        <v>8.6059722899728339E-3</v>
      </c>
      <c r="P733" s="1122"/>
    </row>
    <row r="734" spans="6:16">
      <c r="F734" s="1121">
        <f t="shared" ref="F734:F797" si="51">J734-$I$19</f>
        <v>-5.1885205848325533E-3</v>
      </c>
      <c r="G734" s="1122"/>
      <c r="H734" s="436">
        <v>41500</v>
      </c>
      <c r="I734" s="738">
        <v>1685.39</v>
      </c>
      <c r="J734" s="440">
        <f t="shared" si="50"/>
        <v>-5.1766066959436641E-3</v>
      </c>
      <c r="L734" s="436">
        <v>41500</v>
      </c>
      <c r="M734" s="738">
        <v>123.62</v>
      </c>
      <c r="N734" s="115">
        <f t="shared" si="49"/>
        <v>-3.5466709656617468E-3</v>
      </c>
      <c r="O734" s="1121">
        <f t="shared" ref="O734:O797" si="52">N734-$I$19</f>
        <v>-3.5585848545506356E-3</v>
      </c>
      <c r="P734" s="1122"/>
    </row>
    <row r="735" spans="6:16">
      <c r="F735" s="1121">
        <f t="shared" si="51"/>
        <v>-1.4293474833240179E-2</v>
      </c>
      <c r="G735" s="1122"/>
      <c r="H735" s="436">
        <v>41501</v>
      </c>
      <c r="I735" s="738">
        <v>1661.32</v>
      </c>
      <c r="J735" s="440">
        <f t="shared" si="50"/>
        <v>-1.428156094435129E-2</v>
      </c>
      <c r="L735" s="436">
        <v>41501</v>
      </c>
      <c r="M735" s="738">
        <v>122.13</v>
      </c>
      <c r="N735" s="115">
        <f t="shared" si="49"/>
        <v>-1.2053065846950428E-2</v>
      </c>
      <c r="O735" s="1121">
        <f t="shared" si="52"/>
        <v>-1.2064979735839317E-2</v>
      </c>
      <c r="P735" s="1122"/>
    </row>
    <row r="736" spans="6:16">
      <c r="F736" s="1121">
        <f t="shared" si="51"/>
        <v>-3.3165150494118907E-3</v>
      </c>
      <c r="G736" s="1122"/>
      <c r="H736" s="436">
        <v>41502</v>
      </c>
      <c r="I736" s="738">
        <v>1655.83</v>
      </c>
      <c r="J736" s="440">
        <f t="shared" si="50"/>
        <v>-3.3046011605230019E-3</v>
      </c>
      <c r="L736" s="436">
        <v>41502</v>
      </c>
      <c r="M736" s="738">
        <v>122.2</v>
      </c>
      <c r="N736" s="115">
        <f t="shared" si="49"/>
        <v>5.7315974780980383E-4</v>
      </c>
      <c r="O736" s="1121">
        <f t="shared" si="52"/>
        <v>5.612458589209149E-4</v>
      </c>
      <c r="P736" s="1122"/>
    </row>
    <row r="737" spans="6:16">
      <c r="F737" s="1121">
        <f t="shared" si="51"/>
        <v>-5.912278056708028E-3</v>
      </c>
      <c r="G737" s="1122"/>
      <c r="H737" s="436">
        <v>41505</v>
      </c>
      <c r="I737" s="738">
        <v>1646.06</v>
      </c>
      <c r="J737" s="440">
        <f t="shared" si="50"/>
        <v>-5.9003641678191387E-3</v>
      </c>
      <c r="L737" s="436">
        <v>41505</v>
      </c>
      <c r="M737" s="738">
        <v>121.91</v>
      </c>
      <c r="N737" s="115">
        <f t="shared" si="49"/>
        <v>-2.3731587561375278E-3</v>
      </c>
      <c r="O737" s="1121">
        <f t="shared" si="52"/>
        <v>-2.3850726450264166E-3</v>
      </c>
      <c r="P737" s="1122"/>
    </row>
    <row r="738" spans="6:16">
      <c r="F738" s="1121">
        <f t="shared" si="51"/>
        <v>3.8093319952222575E-3</v>
      </c>
      <c r="G738" s="1122"/>
      <c r="H738" s="436">
        <v>41506</v>
      </c>
      <c r="I738" s="738">
        <v>1652.35</v>
      </c>
      <c r="J738" s="440">
        <f t="shared" si="50"/>
        <v>3.8212458841111463E-3</v>
      </c>
      <c r="L738" s="436">
        <v>41506</v>
      </c>
      <c r="M738" s="738">
        <v>122.41</v>
      </c>
      <c r="N738" s="115">
        <f t="shared" si="49"/>
        <v>4.1013862685588265E-3</v>
      </c>
      <c r="O738" s="1121">
        <f t="shared" si="52"/>
        <v>4.0894723796699372E-3</v>
      </c>
      <c r="P738" s="1122"/>
    </row>
    <row r="739" spans="6:16">
      <c r="F739" s="1121">
        <f t="shared" si="51"/>
        <v>-5.7915610580721111E-3</v>
      </c>
      <c r="G739" s="1122"/>
      <c r="H739" s="436">
        <v>41507</v>
      </c>
      <c r="I739" s="738">
        <v>1642.8</v>
      </c>
      <c r="J739" s="440">
        <f t="shared" si="50"/>
        <v>-5.7796471691832219E-3</v>
      </c>
      <c r="L739" s="436">
        <v>41507</v>
      </c>
      <c r="M739" s="738">
        <v>122.93</v>
      </c>
      <c r="N739" s="115">
        <f t="shared" si="49"/>
        <v>4.2480189527001055E-3</v>
      </c>
      <c r="O739" s="1121">
        <f t="shared" si="52"/>
        <v>4.2361050638112163E-3</v>
      </c>
      <c r="P739" s="1122"/>
    </row>
    <row r="740" spans="6:16">
      <c r="F740" s="1121">
        <f t="shared" si="51"/>
        <v>8.6075163521629403E-3</v>
      </c>
      <c r="G740" s="1122"/>
      <c r="H740" s="436">
        <v>41508</v>
      </c>
      <c r="I740" s="738">
        <v>1656.96</v>
      </c>
      <c r="J740" s="440">
        <f t="shared" si="50"/>
        <v>8.6194302410518286E-3</v>
      </c>
      <c r="L740" s="436">
        <v>41508</v>
      </c>
      <c r="M740" s="738">
        <v>123.71</v>
      </c>
      <c r="N740" s="115">
        <f t="shared" si="49"/>
        <v>6.3450744326039032E-3</v>
      </c>
      <c r="O740" s="1121">
        <f t="shared" si="52"/>
        <v>6.333160543715014E-3</v>
      </c>
      <c r="P740" s="1122"/>
    </row>
    <row r="741" spans="6:16">
      <c r="F741" s="1121">
        <f t="shared" si="51"/>
        <v>3.9350733648769653E-3</v>
      </c>
      <c r="G741" s="1122"/>
      <c r="H741" s="436">
        <v>41509</v>
      </c>
      <c r="I741" s="738">
        <v>1663.5</v>
      </c>
      <c r="J741" s="440">
        <f t="shared" si="50"/>
        <v>3.9469872537658546E-3</v>
      </c>
      <c r="L741" s="436">
        <v>41509</v>
      </c>
      <c r="M741" s="738">
        <v>126</v>
      </c>
      <c r="N741" s="115">
        <f t="shared" si="49"/>
        <v>1.8511033869533566E-2</v>
      </c>
      <c r="O741" s="1121">
        <f t="shared" si="52"/>
        <v>1.8499119980644678E-2</v>
      </c>
      <c r="P741" s="1122"/>
    </row>
    <row r="742" spans="6:16">
      <c r="F742" s="1121">
        <f t="shared" si="51"/>
        <v>-4.0515892721170255E-3</v>
      </c>
      <c r="G742" s="1122"/>
      <c r="H742" s="436">
        <v>41512</v>
      </c>
      <c r="I742" s="738">
        <v>1656.78</v>
      </c>
      <c r="J742" s="440">
        <f t="shared" si="50"/>
        <v>-4.0396753832281362E-3</v>
      </c>
      <c r="L742" s="436">
        <v>41512</v>
      </c>
      <c r="M742" s="738">
        <v>125.19</v>
      </c>
      <c r="N742" s="115">
        <f t="shared" si="49"/>
        <v>-6.4285714285714501E-3</v>
      </c>
      <c r="O742" s="1121">
        <f t="shared" si="52"/>
        <v>-6.4404853174603394E-3</v>
      </c>
      <c r="P742" s="1122"/>
    </row>
    <row r="743" spans="6:16">
      <c r="F743" s="1121">
        <f t="shared" si="51"/>
        <v>-1.5886079438931729E-2</v>
      </c>
      <c r="G743" s="1122"/>
      <c r="H743" s="436">
        <v>41513</v>
      </c>
      <c r="I743" s="738">
        <v>1630.48</v>
      </c>
      <c r="J743" s="440">
        <f t="shared" si="50"/>
        <v>-1.587416555004284E-2</v>
      </c>
      <c r="L743" s="436">
        <v>41513</v>
      </c>
      <c r="M743" s="738">
        <v>123.14</v>
      </c>
      <c r="N743" s="115">
        <f t="shared" si="49"/>
        <v>-1.6375109833053791E-2</v>
      </c>
      <c r="O743" s="1121">
        <f t="shared" si="52"/>
        <v>-1.638702372194268E-2</v>
      </c>
      <c r="P743" s="1122"/>
    </row>
    <row r="744" spans="6:16">
      <c r="F744" s="1121">
        <f t="shared" si="51"/>
        <v>2.7357432427533783E-3</v>
      </c>
      <c r="G744" s="1122"/>
      <c r="H744" s="436">
        <v>41514</v>
      </c>
      <c r="I744" s="738">
        <v>1634.96</v>
      </c>
      <c r="J744" s="440">
        <f t="shared" si="50"/>
        <v>2.7476571316422671E-3</v>
      </c>
      <c r="L744" s="436">
        <v>41514</v>
      </c>
      <c r="M744" s="738">
        <v>123.3</v>
      </c>
      <c r="N744" s="115">
        <f t="shared" si="49"/>
        <v>1.299334091278137E-3</v>
      </c>
      <c r="O744" s="1121">
        <f t="shared" si="52"/>
        <v>1.2874202023892482E-3</v>
      </c>
      <c r="P744" s="1122"/>
    </row>
    <row r="745" spans="6:16">
      <c r="F745" s="1121">
        <f t="shared" si="51"/>
        <v>1.9514368964513788E-3</v>
      </c>
      <c r="G745" s="1122"/>
      <c r="H745" s="436">
        <v>41515</v>
      </c>
      <c r="I745" s="738">
        <v>1638.17</v>
      </c>
      <c r="J745" s="440">
        <f t="shared" si="50"/>
        <v>1.9633507853402676E-3</v>
      </c>
      <c r="L745" s="436">
        <v>41515</v>
      </c>
      <c r="M745" s="738">
        <v>122.34</v>
      </c>
      <c r="N745" s="115">
        <f t="shared" si="49"/>
        <v>-7.7858880778588491E-3</v>
      </c>
      <c r="O745" s="1121">
        <f t="shared" si="52"/>
        <v>-7.7978019667477383E-3</v>
      </c>
      <c r="P745" s="1122"/>
    </row>
    <row r="746" spans="6:16">
      <c r="F746" s="1121">
        <f t="shared" si="51"/>
        <v>-3.1861876211633018E-3</v>
      </c>
      <c r="G746" s="1122"/>
      <c r="H746" s="436">
        <v>41516</v>
      </c>
      <c r="I746" s="738">
        <v>1632.97</v>
      </c>
      <c r="J746" s="440">
        <f t="shared" si="50"/>
        <v>-3.174273732274413E-3</v>
      </c>
      <c r="L746" s="436">
        <v>41516</v>
      </c>
      <c r="M746" s="738">
        <v>122.42</v>
      </c>
      <c r="N746" s="115">
        <f t="shared" si="49"/>
        <v>6.5391531796632485E-4</v>
      </c>
      <c r="O746" s="1121">
        <f t="shared" si="52"/>
        <v>6.4200142907743592E-4</v>
      </c>
      <c r="P746" s="1122"/>
    </row>
    <row r="747" spans="6:16">
      <c r="F747" s="1121">
        <f t="shared" si="51"/>
        <v>-1.1913888888888887E-5</v>
      </c>
      <c r="G747" s="1122"/>
      <c r="H747" s="436">
        <v>41519</v>
      </c>
      <c r="I747" s="738">
        <v>1632.97</v>
      </c>
      <c r="J747" s="440">
        <f t="shared" si="50"/>
        <v>0</v>
      </c>
      <c r="L747" s="436">
        <v>41519</v>
      </c>
      <c r="M747" s="738">
        <v>122.42</v>
      </c>
      <c r="N747" s="115">
        <f t="shared" si="49"/>
        <v>0</v>
      </c>
      <c r="O747" s="1121">
        <f t="shared" si="52"/>
        <v>-1.1913888888888887E-5</v>
      </c>
      <c r="P747" s="1122"/>
    </row>
    <row r="748" spans="6:16">
      <c r="F748" s="1121">
        <f t="shared" si="51"/>
        <v>4.1522777374115504E-3</v>
      </c>
      <c r="G748" s="1122"/>
      <c r="H748" s="436">
        <v>41520</v>
      </c>
      <c r="I748" s="738">
        <v>1639.77</v>
      </c>
      <c r="J748" s="440">
        <f t="shared" si="50"/>
        <v>4.1641916263004397E-3</v>
      </c>
      <c r="L748" s="436">
        <v>41520</v>
      </c>
      <c r="M748" s="738">
        <v>123.63</v>
      </c>
      <c r="N748" s="115">
        <f t="shared" si="49"/>
        <v>9.8840058813918219E-3</v>
      </c>
      <c r="O748" s="1121">
        <f t="shared" si="52"/>
        <v>9.8720919925029335E-3</v>
      </c>
      <c r="P748" s="1122"/>
    </row>
    <row r="749" spans="6:16">
      <c r="F749" s="1121">
        <f t="shared" si="51"/>
        <v>8.1050781282841974E-3</v>
      </c>
      <c r="G749" s="1122"/>
      <c r="H749" s="436">
        <v>41521</v>
      </c>
      <c r="I749" s="738">
        <v>1653.08</v>
      </c>
      <c r="J749" s="440">
        <f t="shared" si="50"/>
        <v>8.1169920171730858E-3</v>
      </c>
      <c r="L749" s="436">
        <v>41521</v>
      </c>
      <c r="M749" s="738">
        <v>124.27</v>
      </c>
      <c r="N749" s="115">
        <f t="shared" si="49"/>
        <v>5.1767370379358635E-3</v>
      </c>
      <c r="O749" s="1121">
        <f t="shared" si="52"/>
        <v>5.1648231490469742E-3</v>
      </c>
      <c r="P749" s="1122"/>
    </row>
    <row r="750" spans="6:16">
      <c r="F750" s="1121">
        <f t="shared" si="51"/>
        <v>1.1979489126693259E-3</v>
      </c>
      <c r="G750" s="1122"/>
      <c r="H750" s="436">
        <v>41522</v>
      </c>
      <c r="I750" s="738">
        <v>1655.08</v>
      </c>
      <c r="J750" s="440">
        <f t="shared" si="50"/>
        <v>1.2098628015582147E-3</v>
      </c>
      <c r="L750" s="436">
        <v>41522</v>
      </c>
      <c r="M750" s="738">
        <v>124.14</v>
      </c>
      <c r="N750" s="115">
        <f t="shared" si="49"/>
        <v>-1.0461092781846038E-3</v>
      </c>
      <c r="O750" s="1121">
        <f t="shared" si="52"/>
        <v>-1.0580231670734926E-3</v>
      </c>
      <c r="P750" s="1122"/>
    </row>
    <row r="751" spans="6:16">
      <c r="F751" s="1121">
        <f t="shared" si="51"/>
        <v>4.2464147218194475E-5</v>
      </c>
      <c r="G751" s="1122"/>
      <c r="H751" s="436">
        <v>41523</v>
      </c>
      <c r="I751" s="738">
        <v>1655.17</v>
      </c>
      <c r="J751" s="440">
        <f t="shared" si="50"/>
        <v>5.4378036107083361E-5</v>
      </c>
      <c r="L751" s="436">
        <v>41523</v>
      </c>
      <c r="M751" s="738">
        <v>123.73</v>
      </c>
      <c r="N751" s="115">
        <f t="shared" si="49"/>
        <v>-3.302722732398844E-3</v>
      </c>
      <c r="O751" s="1121">
        <f t="shared" si="52"/>
        <v>-3.3146366212877328E-3</v>
      </c>
      <c r="P751" s="1122"/>
    </row>
    <row r="752" spans="6:16">
      <c r="F752" s="1121">
        <f t="shared" si="51"/>
        <v>9.9810173508024722E-3</v>
      </c>
      <c r="G752" s="1122"/>
      <c r="H752" s="436">
        <v>41526</v>
      </c>
      <c r="I752" s="738">
        <v>1671.71</v>
      </c>
      <c r="J752" s="440">
        <f t="shared" si="50"/>
        <v>9.9929312396913605E-3</v>
      </c>
      <c r="L752" s="436">
        <v>41526</v>
      </c>
      <c r="M752" s="738">
        <v>124.07</v>
      </c>
      <c r="N752" s="115">
        <f t="shared" si="49"/>
        <v>2.7479188555725731E-3</v>
      </c>
      <c r="O752" s="1121">
        <f t="shared" si="52"/>
        <v>2.7360049666836843E-3</v>
      </c>
      <c r="P752" s="1122"/>
    </row>
    <row r="753" spans="6:16">
      <c r="F753" s="1121">
        <f t="shared" si="51"/>
        <v>7.3338578059623993E-3</v>
      </c>
      <c r="G753" s="1122"/>
      <c r="H753" s="436">
        <v>41527</v>
      </c>
      <c r="I753" s="738">
        <v>1683.99</v>
      </c>
      <c r="J753" s="440">
        <f t="shared" si="50"/>
        <v>7.3457716948512886E-3</v>
      </c>
      <c r="L753" s="436">
        <v>41527</v>
      </c>
      <c r="M753" s="738">
        <v>125.07</v>
      </c>
      <c r="N753" s="115">
        <f t="shared" ref="N753:N816" si="53">M753/M752-1</f>
        <v>8.0599661481421947E-3</v>
      </c>
      <c r="O753" s="1121">
        <f t="shared" si="52"/>
        <v>8.0480522592533063E-3</v>
      </c>
      <c r="P753" s="1122"/>
    </row>
    <row r="754" spans="6:16">
      <c r="F754" s="1121">
        <f t="shared" si="51"/>
        <v>3.0403607683241389E-3</v>
      </c>
      <c r="G754" s="1122"/>
      <c r="H754" s="436">
        <v>41528</v>
      </c>
      <c r="I754" s="738">
        <v>1689.13</v>
      </c>
      <c r="J754" s="440">
        <f t="shared" si="50"/>
        <v>3.0522746572130277E-3</v>
      </c>
      <c r="L754" s="436">
        <v>41528</v>
      </c>
      <c r="M754" s="738">
        <v>126.57</v>
      </c>
      <c r="N754" s="115">
        <f t="shared" si="53"/>
        <v>1.1993283761093876E-2</v>
      </c>
      <c r="O754" s="1121">
        <f t="shared" si="52"/>
        <v>1.1981369872204987E-2</v>
      </c>
      <c r="P754" s="1122"/>
    </row>
    <row r="755" spans="6:16">
      <c r="F755" s="1121">
        <f t="shared" si="51"/>
        <v>-3.3923523394522388E-3</v>
      </c>
      <c r="G755" s="1122"/>
      <c r="H755" s="436">
        <v>41529</v>
      </c>
      <c r="I755" s="738">
        <v>1683.42</v>
      </c>
      <c r="J755" s="440">
        <f t="shared" si="50"/>
        <v>-3.38043845056335E-3</v>
      </c>
      <c r="L755" s="436">
        <v>41529</v>
      </c>
      <c r="M755" s="738">
        <v>126.54</v>
      </c>
      <c r="N755" s="115">
        <f t="shared" si="53"/>
        <v>-2.3702299123007364E-4</v>
      </c>
      <c r="O755" s="1121">
        <f t="shared" si="52"/>
        <v>-2.4893688011896252E-4</v>
      </c>
      <c r="P755" s="1122"/>
    </row>
    <row r="756" spans="6:16">
      <c r="F756" s="1121">
        <f t="shared" si="51"/>
        <v>2.7027978289236791E-3</v>
      </c>
      <c r="G756" s="1122"/>
      <c r="H756" s="436">
        <v>41530</v>
      </c>
      <c r="I756" s="738">
        <v>1687.99</v>
      </c>
      <c r="J756" s="440">
        <f t="shared" si="50"/>
        <v>2.7147117178125679E-3</v>
      </c>
      <c r="L756" s="436">
        <v>41530</v>
      </c>
      <c r="M756" s="738">
        <v>127.25</v>
      </c>
      <c r="N756" s="115">
        <f t="shared" si="53"/>
        <v>5.6108740319265049E-3</v>
      </c>
      <c r="O756" s="1121">
        <f t="shared" si="52"/>
        <v>5.5989601430376157E-3</v>
      </c>
      <c r="P756" s="1122"/>
    </row>
    <row r="757" spans="6:16">
      <c r="F757" s="1121">
        <f t="shared" si="51"/>
        <v>5.6812478004576372E-3</v>
      </c>
      <c r="G757" s="1122"/>
      <c r="H757" s="436">
        <v>41533</v>
      </c>
      <c r="I757" s="738">
        <v>1697.6</v>
      </c>
      <c r="J757" s="440">
        <f t="shared" si="50"/>
        <v>5.6931616893465264E-3</v>
      </c>
      <c r="L757" s="436">
        <v>41533</v>
      </c>
      <c r="M757" s="738">
        <v>128.46</v>
      </c>
      <c r="N757" s="115">
        <f t="shared" si="53"/>
        <v>9.508840864440149E-3</v>
      </c>
      <c r="O757" s="1121">
        <f t="shared" si="52"/>
        <v>9.4969269755512606E-3</v>
      </c>
      <c r="P757" s="1122"/>
    </row>
    <row r="758" spans="6:16">
      <c r="F758" s="1121">
        <f t="shared" si="51"/>
        <v>4.2058052440047044E-3</v>
      </c>
      <c r="G758" s="1122"/>
      <c r="H758" s="436">
        <v>41534</v>
      </c>
      <c r="I758" s="738">
        <v>1704.76</v>
      </c>
      <c r="J758" s="440">
        <f t="shared" si="50"/>
        <v>4.2177191328935937E-3</v>
      </c>
      <c r="L758" s="436">
        <v>41534</v>
      </c>
      <c r="M758" s="738">
        <v>129.63999999999999</v>
      </c>
      <c r="N758" s="115">
        <f t="shared" si="53"/>
        <v>9.1857387513620825E-3</v>
      </c>
      <c r="O758" s="1121">
        <f t="shared" si="52"/>
        <v>9.1738248624731941E-3</v>
      </c>
      <c r="P758" s="1122"/>
    </row>
    <row r="759" spans="6:16">
      <c r="F759" s="1121">
        <f t="shared" si="51"/>
        <v>1.2165753348728152E-2</v>
      </c>
      <c r="G759" s="1122"/>
      <c r="H759" s="436">
        <v>41535</v>
      </c>
      <c r="I759" s="738">
        <v>1725.52</v>
      </c>
      <c r="J759" s="440">
        <f t="shared" si="50"/>
        <v>1.217766723761704E-2</v>
      </c>
      <c r="L759" s="436">
        <v>41535</v>
      </c>
      <c r="M759" s="738">
        <v>130.84</v>
      </c>
      <c r="N759" s="115">
        <f t="shared" si="53"/>
        <v>9.2564023449552835E-3</v>
      </c>
      <c r="O759" s="1121">
        <f t="shared" si="52"/>
        <v>9.2444884560663951E-3</v>
      </c>
      <c r="P759" s="1122"/>
    </row>
    <row r="760" spans="6:16">
      <c r="F760" s="1121">
        <f t="shared" si="51"/>
        <v>-1.8548366020421166E-3</v>
      </c>
      <c r="G760" s="1122"/>
      <c r="H760" s="436">
        <v>41536</v>
      </c>
      <c r="I760" s="738">
        <v>1722.34</v>
      </c>
      <c r="J760" s="440">
        <f t="shared" si="50"/>
        <v>-1.8429227131532278E-3</v>
      </c>
      <c r="L760" s="436">
        <v>41536</v>
      </c>
      <c r="M760" s="738">
        <v>130.38999999999999</v>
      </c>
      <c r="N760" s="115">
        <f t="shared" si="53"/>
        <v>-3.4393151941303213E-3</v>
      </c>
      <c r="O760" s="1121">
        <f t="shared" si="52"/>
        <v>-3.4512290830192101E-3</v>
      </c>
      <c r="P760" s="1122"/>
    </row>
    <row r="761" spans="6:16">
      <c r="F761" s="1121">
        <f t="shared" si="51"/>
        <v>-7.2288396991236981E-3</v>
      </c>
      <c r="G761" s="1122"/>
      <c r="H761" s="436">
        <v>41537</v>
      </c>
      <c r="I761" s="738">
        <v>1709.91</v>
      </c>
      <c r="J761" s="440">
        <f t="shared" si="50"/>
        <v>-7.2169258102348088E-3</v>
      </c>
      <c r="L761" s="436">
        <v>41537</v>
      </c>
      <c r="M761" s="738">
        <v>128</v>
      </c>
      <c r="N761" s="115">
        <f t="shared" si="53"/>
        <v>-1.832962650509995E-2</v>
      </c>
      <c r="O761" s="1121">
        <f t="shared" si="52"/>
        <v>-1.8341540393988838E-2</v>
      </c>
      <c r="P761" s="1122"/>
    </row>
    <row r="762" spans="6:16">
      <c r="F762" s="1121">
        <f t="shared" si="51"/>
        <v>-4.7314605316947167E-3</v>
      </c>
      <c r="G762" s="1122"/>
      <c r="H762" s="436">
        <v>41540</v>
      </c>
      <c r="I762" s="738">
        <v>1701.84</v>
      </c>
      <c r="J762" s="440">
        <f t="shared" si="50"/>
        <v>-4.7195466428058275E-3</v>
      </c>
      <c r="L762" s="436">
        <v>41540</v>
      </c>
      <c r="M762" s="738">
        <v>127.62</v>
      </c>
      <c r="N762" s="115">
        <f t="shared" si="53"/>
        <v>-2.9687499999999645E-3</v>
      </c>
      <c r="O762" s="1121">
        <f t="shared" si="52"/>
        <v>-2.9806638888888533E-3</v>
      </c>
      <c r="P762" s="1122"/>
    </row>
    <row r="763" spans="6:16">
      <c r="F763" s="1121">
        <f t="shared" si="51"/>
        <v>-2.6091028138171064E-3</v>
      </c>
      <c r="G763" s="1122"/>
      <c r="H763" s="436">
        <v>41541</v>
      </c>
      <c r="I763" s="738">
        <v>1697.42</v>
      </c>
      <c r="J763" s="440">
        <f t="shared" si="50"/>
        <v>-2.5971889249282176E-3</v>
      </c>
      <c r="L763" s="436">
        <v>41541</v>
      </c>
      <c r="M763" s="738">
        <v>128.13999999999999</v>
      </c>
      <c r="N763" s="115">
        <f t="shared" si="53"/>
        <v>4.0745964582351579E-3</v>
      </c>
      <c r="O763" s="1121">
        <f t="shared" si="52"/>
        <v>4.0626825693462687E-3</v>
      </c>
      <c r="P763" s="1122"/>
    </row>
    <row r="764" spans="6:16">
      <c r="F764" s="1121">
        <f t="shared" si="51"/>
        <v>-2.7513655272577505E-3</v>
      </c>
      <c r="G764" s="1122"/>
      <c r="H764" s="436">
        <v>41542</v>
      </c>
      <c r="I764" s="738">
        <v>1692.77</v>
      </c>
      <c r="J764" s="440">
        <f t="shared" si="50"/>
        <v>-2.7394516383688616E-3</v>
      </c>
      <c r="L764" s="436">
        <v>41542</v>
      </c>
      <c r="M764" s="738">
        <v>127.86</v>
      </c>
      <c r="N764" s="115">
        <f t="shared" si="53"/>
        <v>-2.1851100358981634E-3</v>
      </c>
      <c r="O764" s="1121">
        <f t="shared" si="52"/>
        <v>-2.1970239247870523E-3</v>
      </c>
      <c r="P764" s="1122"/>
    </row>
    <row r="765" spans="6:16">
      <c r="F765" s="1121">
        <f t="shared" si="51"/>
        <v>3.4734975964282248E-3</v>
      </c>
      <c r="G765" s="1122"/>
      <c r="H765" s="436">
        <v>41543</v>
      </c>
      <c r="I765" s="738">
        <v>1698.67</v>
      </c>
      <c r="J765" s="440">
        <f t="shared" si="50"/>
        <v>3.4854114853171136E-3</v>
      </c>
      <c r="L765" s="436">
        <v>41543</v>
      </c>
      <c r="M765" s="738">
        <v>129.85</v>
      </c>
      <c r="N765" s="115">
        <f t="shared" si="53"/>
        <v>1.556389801345226E-2</v>
      </c>
      <c r="O765" s="1121">
        <f t="shared" si="52"/>
        <v>1.5551984124563371E-2</v>
      </c>
      <c r="P765" s="1122"/>
    </row>
    <row r="766" spans="6:16">
      <c r="F766" s="1121">
        <f t="shared" si="51"/>
        <v>-4.0856892543218526E-3</v>
      </c>
      <c r="G766" s="1122"/>
      <c r="H766" s="436">
        <v>41544</v>
      </c>
      <c r="I766" s="738">
        <v>1691.75</v>
      </c>
      <c r="J766" s="440">
        <f t="shared" si="50"/>
        <v>-4.0737753654329634E-3</v>
      </c>
      <c r="L766" s="436">
        <v>41544</v>
      </c>
      <c r="M766" s="738">
        <v>129.24</v>
      </c>
      <c r="N766" s="115">
        <f t="shared" si="53"/>
        <v>-4.6977281478628452E-3</v>
      </c>
      <c r="O766" s="1121">
        <f t="shared" si="52"/>
        <v>-4.7096420367517345E-3</v>
      </c>
      <c r="P766" s="1122"/>
    </row>
    <row r="767" spans="6:16">
      <c r="F767" s="1121">
        <f t="shared" si="51"/>
        <v>-6.0411735312711013E-3</v>
      </c>
      <c r="G767" s="1122"/>
      <c r="H767" s="436">
        <v>41547</v>
      </c>
      <c r="I767" s="738">
        <v>1681.55</v>
      </c>
      <c r="J767" s="440">
        <f t="shared" si="50"/>
        <v>-6.029259642382212E-3</v>
      </c>
      <c r="L767" s="436">
        <v>41547</v>
      </c>
      <c r="M767" s="738">
        <v>127.55</v>
      </c>
      <c r="N767" s="115">
        <f t="shared" si="53"/>
        <v>-1.3076446920458173E-2</v>
      </c>
      <c r="O767" s="1121">
        <f t="shared" si="52"/>
        <v>-1.3088360809347062E-2</v>
      </c>
      <c r="P767" s="1122"/>
    </row>
    <row r="768" spans="6:16">
      <c r="F768" s="1121">
        <f t="shared" si="51"/>
        <v>7.9866588564948479E-3</v>
      </c>
      <c r="G768" s="1122"/>
      <c r="H768" s="436">
        <v>41548</v>
      </c>
      <c r="I768" s="738">
        <v>1695</v>
      </c>
      <c r="J768" s="440">
        <f t="shared" si="50"/>
        <v>7.9985727453837363E-3</v>
      </c>
      <c r="L768" s="436">
        <v>41548</v>
      </c>
      <c r="M768" s="738">
        <v>127.5</v>
      </c>
      <c r="N768" s="115">
        <f t="shared" si="53"/>
        <v>-3.9200313602505421E-4</v>
      </c>
      <c r="O768" s="1121">
        <f t="shared" si="52"/>
        <v>-4.0391702491394309E-4</v>
      </c>
      <c r="P768" s="1122"/>
    </row>
    <row r="769" spans="6:16">
      <c r="F769" s="1121">
        <f t="shared" si="51"/>
        <v>-6.785805555555932E-4</v>
      </c>
      <c r="G769" s="1122"/>
      <c r="H769" s="436">
        <v>41549</v>
      </c>
      <c r="I769" s="738">
        <v>1693.87</v>
      </c>
      <c r="J769" s="440">
        <f t="shared" si="50"/>
        <v>-6.6666666666670427E-4</v>
      </c>
      <c r="L769" s="436">
        <v>41549</v>
      </c>
      <c r="M769" s="738">
        <v>125.08</v>
      </c>
      <c r="N769" s="115">
        <f t="shared" si="53"/>
        <v>-1.8980392156862758E-2</v>
      </c>
      <c r="O769" s="1121">
        <f t="shared" si="52"/>
        <v>-1.8992306045751646E-2</v>
      </c>
      <c r="P769" s="1122"/>
    </row>
    <row r="770" spans="6:16">
      <c r="F770" s="1121">
        <f t="shared" si="51"/>
        <v>-8.9913515080685194E-3</v>
      </c>
      <c r="G770" s="1122"/>
      <c r="H770" s="436">
        <v>41550</v>
      </c>
      <c r="I770" s="738">
        <v>1678.66</v>
      </c>
      <c r="J770" s="440">
        <f t="shared" si="50"/>
        <v>-8.979437619179631E-3</v>
      </c>
      <c r="L770" s="436">
        <v>41550</v>
      </c>
      <c r="M770" s="738">
        <v>122.83</v>
      </c>
      <c r="N770" s="115">
        <f t="shared" si="53"/>
        <v>-1.7988487368084449E-2</v>
      </c>
      <c r="O770" s="1121">
        <f t="shared" si="52"/>
        <v>-1.8000401256973338E-2</v>
      </c>
      <c r="P770" s="1122"/>
    </row>
    <row r="771" spans="6:16">
      <c r="F771" s="1121">
        <f t="shared" si="51"/>
        <v>7.0413309611699814E-3</v>
      </c>
      <c r="G771" s="1122"/>
      <c r="H771" s="436">
        <v>41551</v>
      </c>
      <c r="I771" s="738">
        <v>1690.5</v>
      </c>
      <c r="J771" s="440">
        <f t="shared" si="50"/>
        <v>7.0532448500588707E-3</v>
      </c>
      <c r="L771" s="436">
        <v>41551</v>
      </c>
      <c r="M771" s="738">
        <v>122.5</v>
      </c>
      <c r="N771" s="115">
        <f t="shared" si="53"/>
        <v>-2.6866400716437644E-3</v>
      </c>
      <c r="O771" s="1121">
        <f t="shared" si="52"/>
        <v>-2.6985539605326532E-3</v>
      </c>
      <c r="P771" s="1122"/>
    </row>
    <row r="772" spans="6:16">
      <c r="F772" s="1121">
        <f t="shared" si="51"/>
        <v>-8.5182729542542315E-3</v>
      </c>
      <c r="G772" s="1122"/>
      <c r="H772" s="436">
        <v>41554</v>
      </c>
      <c r="I772" s="738">
        <v>1676.12</v>
      </c>
      <c r="J772" s="440">
        <f t="shared" si="50"/>
        <v>-8.5063590653653431E-3</v>
      </c>
      <c r="L772" s="436">
        <v>41554</v>
      </c>
      <c r="M772" s="738">
        <v>123.56</v>
      </c>
      <c r="N772" s="115">
        <f t="shared" si="53"/>
        <v>8.653061224489722E-3</v>
      </c>
      <c r="O772" s="1121">
        <f t="shared" si="52"/>
        <v>8.6411473356008336E-3</v>
      </c>
      <c r="P772" s="1122"/>
    </row>
    <row r="773" spans="6:16">
      <c r="F773" s="1121">
        <f t="shared" si="51"/>
        <v>-1.2343966486554787E-2</v>
      </c>
      <c r="G773" s="1122"/>
      <c r="H773" s="436">
        <v>41555</v>
      </c>
      <c r="I773" s="738">
        <v>1655.45</v>
      </c>
      <c r="J773" s="440">
        <f t="shared" si="50"/>
        <v>-1.2332052597665899E-2</v>
      </c>
      <c r="L773" s="436">
        <v>41555</v>
      </c>
      <c r="M773" s="738">
        <v>122.46</v>
      </c>
      <c r="N773" s="115">
        <f t="shared" si="53"/>
        <v>-8.9025574619618908E-3</v>
      </c>
      <c r="O773" s="1121">
        <f t="shared" si="52"/>
        <v>-8.9144713508507792E-3</v>
      </c>
      <c r="P773" s="1122"/>
    </row>
    <row r="774" spans="6:16">
      <c r="F774" s="1121">
        <f t="shared" si="51"/>
        <v>5.6194820298937438E-4</v>
      </c>
      <c r="G774" s="1122"/>
      <c r="H774" s="436">
        <v>41556</v>
      </c>
      <c r="I774" s="738">
        <v>1656.4</v>
      </c>
      <c r="J774" s="440">
        <f t="shared" si="50"/>
        <v>5.7386209187826331E-4</v>
      </c>
      <c r="L774" s="436">
        <v>41556</v>
      </c>
      <c r="M774" s="738">
        <v>122.03</v>
      </c>
      <c r="N774" s="115">
        <f t="shared" si="53"/>
        <v>-3.5113506451085463E-3</v>
      </c>
      <c r="O774" s="1121">
        <f t="shared" si="52"/>
        <v>-3.5232645339974352E-3</v>
      </c>
      <c r="P774" s="1122"/>
    </row>
    <row r="775" spans="6:16">
      <c r="F775" s="1121">
        <f t="shared" si="51"/>
        <v>2.181856184161101E-2</v>
      </c>
      <c r="G775" s="1122"/>
      <c r="H775" s="436">
        <v>41557</v>
      </c>
      <c r="I775" s="738">
        <v>1692.56</v>
      </c>
      <c r="J775" s="440">
        <f t="shared" si="50"/>
        <v>2.1830475730499899E-2</v>
      </c>
      <c r="L775" s="436">
        <v>41557</v>
      </c>
      <c r="M775" s="738">
        <v>126.68</v>
      </c>
      <c r="N775" s="115">
        <f t="shared" si="53"/>
        <v>3.810538392198648E-2</v>
      </c>
      <c r="O775" s="1121">
        <f t="shared" si="52"/>
        <v>3.8093470033097591E-2</v>
      </c>
      <c r="P775" s="1122"/>
    </row>
    <row r="776" spans="6:16">
      <c r="F776" s="1121">
        <f t="shared" si="51"/>
        <v>6.274421602910577E-3</v>
      </c>
      <c r="G776" s="1122"/>
      <c r="H776" s="436">
        <v>41558</v>
      </c>
      <c r="I776" s="738">
        <v>1703.2</v>
      </c>
      <c r="J776" s="440">
        <f t="shared" si="50"/>
        <v>6.2863354917994663E-3</v>
      </c>
      <c r="L776" s="436">
        <v>41558</v>
      </c>
      <c r="M776" s="738">
        <v>126.17</v>
      </c>
      <c r="N776" s="115">
        <f t="shared" si="53"/>
        <v>-4.0258920113672714E-3</v>
      </c>
      <c r="O776" s="1121">
        <f t="shared" si="52"/>
        <v>-4.0378059002561606E-3</v>
      </c>
      <c r="P776" s="1122"/>
    </row>
    <row r="777" spans="6:16">
      <c r="F777" s="1121">
        <f t="shared" si="51"/>
        <v>4.0627690608528921E-3</v>
      </c>
      <c r="G777" s="1122"/>
      <c r="H777" s="436">
        <v>41561</v>
      </c>
      <c r="I777" s="738">
        <v>1710.14</v>
      </c>
      <c r="J777" s="440">
        <f t="shared" si="50"/>
        <v>4.0746829497417814E-3</v>
      </c>
      <c r="L777" s="436">
        <v>41561</v>
      </c>
      <c r="M777" s="738">
        <v>127.5</v>
      </c>
      <c r="N777" s="115">
        <f t="shared" si="53"/>
        <v>1.0541333121978358E-2</v>
      </c>
      <c r="O777" s="1121">
        <f t="shared" si="52"/>
        <v>1.052941923308947E-2</v>
      </c>
      <c r="P777" s="1122"/>
    </row>
    <row r="778" spans="6:16">
      <c r="F778" s="1121">
        <f t="shared" si="51"/>
        <v>-7.075663055623912E-3</v>
      </c>
      <c r="G778" s="1122"/>
      <c r="H778" s="436">
        <v>41562</v>
      </c>
      <c r="I778" s="738">
        <v>1698.06</v>
      </c>
      <c r="J778" s="440">
        <f t="shared" si="50"/>
        <v>-7.0637491667350227E-3</v>
      </c>
      <c r="L778" s="436">
        <v>41562</v>
      </c>
      <c r="M778" s="738">
        <v>125.9</v>
      </c>
      <c r="N778" s="115">
        <f t="shared" si="53"/>
        <v>-1.2549019607843048E-2</v>
      </c>
      <c r="O778" s="1121">
        <f t="shared" si="52"/>
        <v>-1.2560933496731937E-2</v>
      </c>
      <c r="P778" s="1122"/>
    </row>
    <row r="779" spans="6:16">
      <c r="F779" s="1121">
        <f t="shared" si="51"/>
        <v>1.3815630485279333E-2</v>
      </c>
      <c r="G779" s="1122"/>
      <c r="H779" s="436">
        <v>41563</v>
      </c>
      <c r="I779" s="738">
        <v>1721.54</v>
      </c>
      <c r="J779" s="440">
        <f t="shared" si="50"/>
        <v>1.3827544374168221E-2</v>
      </c>
      <c r="L779" s="436">
        <v>41563</v>
      </c>
      <c r="M779" s="738">
        <v>127.86</v>
      </c>
      <c r="N779" s="115">
        <f t="shared" si="53"/>
        <v>1.5567911040508253E-2</v>
      </c>
      <c r="O779" s="1121">
        <f t="shared" si="52"/>
        <v>1.5555997151619365E-2</v>
      </c>
      <c r="P779" s="1122"/>
    </row>
    <row r="780" spans="6:16">
      <c r="F780" s="1121">
        <f t="shared" si="51"/>
        <v>6.7320479127538279E-3</v>
      </c>
      <c r="G780" s="1122"/>
      <c r="H780" s="436">
        <v>41564</v>
      </c>
      <c r="I780" s="738">
        <v>1733.15</v>
      </c>
      <c r="J780" s="440">
        <f t="shared" si="50"/>
        <v>6.7439618016427172E-3</v>
      </c>
      <c r="L780" s="436">
        <v>41564</v>
      </c>
      <c r="M780" s="738">
        <v>129.36000000000001</v>
      </c>
      <c r="N780" s="115">
        <f t="shared" si="53"/>
        <v>1.173158141717523E-2</v>
      </c>
      <c r="O780" s="1121">
        <f t="shared" si="52"/>
        <v>1.1719667528286341E-2</v>
      </c>
      <c r="P780" s="1122"/>
    </row>
    <row r="781" spans="6:16">
      <c r="F781" s="1121">
        <f t="shared" si="51"/>
        <v>6.5368556925090504E-3</v>
      </c>
      <c r="G781" s="1122"/>
      <c r="H781" s="436">
        <v>41565</v>
      </c>
      <c r="I781" s="738">
        <v>1744.5</v>
      </c>
      <c r="J781" s="440">
        <f t="shared" si="50"/>
        <v>6.5487695813979396E-3</v>
      </c>
      <c r="L781" s="436">
        <v>41565</v>
      </c>
      <c r="M781" s="738">
        <v>128.9</v>
      </c>
      <c r="N781" s="115">
        <f t="shared" si="53"/>
        <v>-3.5559678416822171E-3</v>
      </c>
      <c r="O781" s="1121">
        <f t="shared" si="52"/>
        <v>-3.567881730571106E-3</v>
      </c>
      <c r="P781" s="1122"/>
    </row>
    <row r="782" spans="6:16">
      <c r="F782" s="1121">
        <f t="shared" si="51"/>
        <v>7.9802935416199204E-5</v>
      </c>
      <c r="G782" s="1122"/>
      <c r="H782" s="436">
        <v>41568</v>
      </c>
      <c r="I782" s="738">
        <v>1744.66</v>
      </c>
      <c r="J782" s="440">
        <f t="shared" si="50"/>
        <v>9.1716824305088096E-5</v>
      </c>
      <c r="L782" s="436">
        <v>41568</v>
      </c>
      <c r="M782" s="738">
        <v>125.3</v>
      </c>
      <c r="N782" s="115">
        <f t="shared" si="53"/>
        <v>-2.7928626842513626E-2</v>
      </c>
      <c r="O782" s="1121">
        <f t="shared" si="52"/>
        <v>-2.7940540731402515E-2</v>
      </c>
      <c r="P782" s="1122"/>
    </row>
    <row r="783" spans="6:16">
      <c r="F783" s="1121">
        <f t="shared" si="51"/>
        <v>5.7255937057140082E-3</v>
      </c>
      <c r="G783" s="1122"/>
      <c r="H783" s="436">
        <v>41569</v>
      </c>
      <c r="I783" s="738">
        <v>1754.67</v>
      </c>
      <c r="J783" s="440">
        <f t="shared" si="50"/>
        <v>5.7375075946028975E-3</v>
      </c>
      <c r="L783" s="436">
        <v>41569</v>
      </c>
      <c r="M783" s="738">
        <v>130.05000000000001</v>
      </c>
      <c r="N783" s="115">
        <f t="shared" si="53"/>
        <v>3.7909018355945845E-2</v>
      </c>
      <c r="O783" s="1121">
        <f t="shared" si="52"/>
        <v>3.7897104467056957E-2</v>
      </c>
      <c r="P783" s="1122"/>
    </row>
    <row r="784" spans="6:16">
      <c r="F784" s="1121">
        <f t="shared" si="51"/>
        <v>-4.7364489866564908E-3</v>
      </c>
      <c r="G784" s="1122"/>
      <c r="H784" s="436">
        <v>41570</v>
      </c>
      <c r="I784" s="738">
        <v>1746.38</v>
      </c>
      <c r="J784" s="440">
        <f t="shared" si="50"/>
        <v>-4.7245350977676015E-3</v>
      </c>
      <c r="L784" s="436">
        <v>41570</v>
      </c>
      <c r="M784" s="738">
        <v>131.97999999999999</v>
      </c>
      <c r="N784" s="115">
        <f t="shared" si="53"/>
        <v>1.4840445982314376E-2</v>
      </c>
      <c r="O784" s="1121">
        <f t="shared" si="52"/>
        <v>1.4828532093425488E-2</v>
      </c>
      <c r="P784" s="1122"/>
    </row>
    <row r="785" spans="6:16">
      <c r="F785" s="1121">
        <f t="shared" si="51"/>
        <v>3.2462544364467642E-3</v>
      </c>
      <c r="G785" s="1122"/>
      <c r="H785" s="436">
        <v>41571</v>
      </c>
      <c r="I785" s="738">
        <v>1752.07</v>
      </c>
      <c r="J785" s="440">
        <f t="shared" si="50"/>
        <v>3.258168325335653E-3</v>
      </c>
      <c r="L785" s="436">
        <v>41571</v>
      </c>
      <c r="M785" s="738">
        <v>132.62</v>
      </c>
      <c r="N785" s="115">
        <f t="shared" si="53"/>
        <v>4.8492195787241954E-3</v>
      </c>
      <c r="O785" s="1121">
        <f t="shared" si="52"/>
        <v>4.8373056898353061E-3</v>
      </c>
      <c r="P785" s="1122"/>
    </row>
    <row r="786" spans="6:16">
      <c r="F786" s="1121">
        <f t="shared" si="51"/>
        <v>4.3828876886736678E-3</v>
      </c>
      <c r="G786" s="1122"/>
      <c r="H786" s="436">
        <v>41572</v>
      </c>
      <c r="I786" s="738">
        <v>1759.77</v>
      </c>
      <c r="J786" s="440">
        <f t="shared" si="50"/>
        <v>4.3948015775625571E-3</v>
      </c>
      <c r="L786" s="436">
        <v>41572</v>
      </c>
      <c r="M786" s="738">
        <v>134</v>
      </c>
      <c r="N786" s="115">
        <f t="shared" si="53"/>
        <v>1.0405670336299133E-2</v>
      </c>
      <c r="O786" s="1121">
        <f t="shared" si="52"/>
        <v>1.0393756447410245E-2</v>
      </c>
      <c r="P786" s="1122"/>
    </row>
    <row r="787" spans="6:16">
      <c r="F787" s="1121">
        <f t="shared" si="51"/>
        <v>1.3178053357823997E-3</v>
      </c>
      <c r="G787" s="1122"/>
      <c r="H787" s="436">
        <v>41575</v>
      </c>
      <c r="I787" s="738">
        <v>1762.11</v>
      </c>
      <c r="J787" s="440">
        <f t="shared" si="50"/>
        <v>1.3297192246712886E-3</v>
      </c>
      <c r="L787" s="436">
        <v>41575</v>
      </c>
      <c r="M787" s="738">
        <v>133.22999999999999</v>
      </c>
      <c r="N787" s="115">
        <f t="shared" si="53"/>
        <v>-5.7462686567164578E-3</v>
      </c>
      <c r="O787" s="1121">
        <f t="shared" si="52"/>
        <v>-5.7581825456053471E-3</v>
      </c>
      <c r="P787" s="1122"/>
    </row>
    <row r="788" spans="6:16">
      <c r="F788" s="1121">
        <f t="shared" si="51"/>
        <v>5.5723004904631923E-3</v>
      </c>
      <c r="G788" s="1122"/>
      <c r="H788" s="436">
        <v>41576</v>
      </c>
      <c r="I788" s="738">
        <v>1771.95</v>
      </c>
      <c r="J788" s="440">
        <f t="shared" si="50"/>
        <v>5.5842143793520815E-3</v>
      </c>
      <c r="L788" s="436">
        <v>41576</v>
      </c>
      <c r="M788" s="738">
        <v>133.66</v>
      </c>
      <c r="N788" s="115">
        <f t="shared" si="53"/>
        <v>3.2275013135181219E-3</v>
      </c>
      <c r="O788" s="1121">
        <f t="shared" si="52"/>
        <v>3.215587424629233E-3</v>
      </c>
      <c r="P788" s="1122"/>
    </row>
    <row r="789" spans="6:16">
      <c r="F789" s="1121">
        <f t="shared" si="51"/>
        <v>-4.8878979742186324E-3</v>
      </c>
      <c r="G789" s="1122"/>
      <c r="H789" s="436">
        <v>41577</v>
      </c>
      <c r="I789" s="738">
        <v>1763.31</v>
      </c>
      <c r="J789" s="440">
        <f t="shared" si="50"/>
        <v>-4.8759840853297431E-3</v>
      </c>
      <c r="L789" s="436">
        <v>41577</v>
      </c>
      <c r="M789" s="738">
        <v>133.72</v>
      </c>
      <c r="N789" s="115">
        <f t="shared" si="53"/>
        <v>4.4890019452337171E-4</v>
      </c>
      <c r="O789" s="1121">
        <f t="shared" si="52"/>
        <v>4.3698630563448283E-4</v>
      </c>
      <c r="P789" s="1122"/>
    </row>
    <row r="790" spans="6:16">
      <c r="F790" s="1121">
        <f t="shared" si="51"/>
        <v>-3.8512841641099656E-3</v>
      </c>
      <c r="G790" s="1122"/>
      <c r="H790" s="436">
        <v>41578</v>
      </c>
      <c r="I790" s="738">
        <v>1756.54</v>
      </c>
      <c r="J790" s="440">
        <f t="shared" si="50"/>
        <v>-3.8393702752210768E-3</v>
      </c>
      <c r="L790" s="436">
        <v>41578</v>
      </c>
      <c r="M790" s="738">
        <v>133.34</v>
      </c>
      <c r="N790" s="115">
        <f t="shared" si="53"/>
        <v>-2.8417588991923592E-3</v>
      </c>
      <c r="O790" s="1121">
        <f t="shared" si="52"/>
        <v>-2.8536727880812481E-3</v>
      </c>
      <c r="P790" s="1122"/>
    </row>
    <row r="791" spans="6:16">
      <c r="F791" s="1121">
        <f t="shared" si="51"/>
        <v>2.8915212734189548E-3</v>
      </c>
      <c r="G791" s="1122"/>
      <c r="H791" s="436">
        <v>41579</v>
      </c>
      <c r="I791" s="738">
        <v>1761.64</v>
      </c>
      <c r="J791" s="440">
        <f t="shared" si="50"/>
        <v>2.9034351623078436E-3</v>
      </c>
      <c r="L791" s="436">
        <v>41579</v>
      </c>
      <c r="M791" s="738">
        <v>134.55000000000001</v>
      </c>
      <c r="N791" s="115">
        <f t="shared" si="53"/>
        <v>9.0745462726864456E-3</v>
      </c>
      <c r="O791" s="1121">
        <f t="shared" si="52"/>
        <v>9.0626323837975573E-3</v>
      </c>
      <c r="P791" s="1122"/>
    </row>
    <row r="792" spans="6:16">
      <c r="F792" s="1121">
        <f t="shared" si="51"/>
        <v>3.5586226566027761E-3</v>
      </c>
      <c r="G792" s="1122"/>
      <c r="H792" s="436">
        <v>41582</v>
      </c>
      <c r="I792" s="738">
        <v>1767.93</v>
      </c>
      <c r="J792" s="440">
        <f t="shared" si="50"/>
        <v>3.5705365454916649E-3</v>
      </c>
      <c r="L792" s="436">
        <v>41582</v>
      </c>
      <c r="M792" s="738">
        <v>135.74</v>
      </c>
      <c r="N792" s="115">
        <f t="shared" si="53"/>
        <v>8.8442958008174699E-3</v>
      </c>
      <c r="O792" s="1121">
        <f t="shared" si="52"/>
        <v>8.8323819119285815E-3</v>
      </c>
      <c r="P792" s="1122"/>
    </row>
    <row r="793" spans="6:16">
      <c r="F793" s="1121">
        <f t="shared" si="51"/>
        <v>-2.8174548322520494E-3</v>
      </c>
      <c r="G793" s="1122"/>
      <c r="H793" s="436">
        <v>41583</v>
      </c>
      <c r="I793" s="738">
        <v>1762.97</v>
      </c>
      <c r="J793" s="440">
        <f t="shared" si="50"/>
        <v>-2.8055409433631606E-3</v>
      </c>
      <c r="L793" s="436">
        <v>41583</v>
      </c>
      <c r="M793" s="738">
        <v>135.47</v>
      </c>
      <c r="N793" s="115">
        <f t="shared" si="53"/>
        <v>-1.9890968027110878E-3</v>
      </c>
      <c r="O793" s="1121">
        <f t="shared" si="52"/>
        <v>-2.0010106915999766E-3</v>
      </c>
      <c r="P793" s="1122"/>
    </row>
    <row r="794" spans="6:16">
      <c r="F794" s="1121">
        <f t="shared" si="51"/>
        <v>4.2536153033264556E-3</v>
      </c>
      <c r="G794" s="1122"/>
      <c r="H794" s="436">
        <v>41584</v>
      </c>
      <c r="I794" s="738">
        <v>1770.49</v>
      </c>
      <c r="J794" s="440">
        <f t="shared" si="50"/>
        <v>4.2655291922153449E-3</v>
      </c>
      <c r="L794" s="436">
        <v>41584</v>
      </c>
      <c r="M794" s="738">
        <v>136.87</v>
      </c>
      <c r="N794" s="115">
        <f t="shared" si="53"/>
        <v>1.0334391378165053E-2</v>
      </c>
      <c r="O794" s="1121">
        <f t="shared" si="52"/>
        <v>1.0322477489276165E-2</v>
      </c>
      <c r="P794" s="1122"/>
    </row>
    <row r="795" spans="6:16">
      <c r="F795" s="1121">
        <f t="shared" si="51"/>
        <v>-1.3194705093583566E-2</v>
      </c>
      <c r="G795" s="1122"/>
      <c r="H795" s="436">
        <v>41585</v>
      </c>
      <c r="I795" s="738">
        <v>1747.15</v>
      </c>
      <c r="J795" s="440">
        <f t="shared" si="50"/>
        <v>-1.3182791204694677E-2</v>
      </c>
      <c r="L795" s="436">
        <v>41585</v>
      </c>
      <c r="M795" s="738">
        <v>136.19999999999999</v>
      </c>
      <c r="N795" s="115">
        <f t="shared" si="53"/>
        <v>-4.8951559874333972E-3</v>
      </c>
      <c r="O795" s="1121">
        <f t="shared" si="52"/>
        <v>-4.9070698763222865E-3</v>
      </c>
      <c r="P795" s="1122"/>
    </row>
    <row r="796" spans="6:16">
      <c r="F796" s="1121">
        <f t="shared" si="51"/>
        <v>1.3415668173326505E-2</v>
      </c>
      <c r="G796" s="1122"/>
      <c r="H796" s="436">
        <v>41586</v>
      </c>
      <c r="I796" s="738">
        <v>1770.61</v>
      </c>
      <c r="J796" s="440">
        <f t="shared" si="50"/>
        <v>1.3427582062215393E-2</v>
      </c>
      <c r="L796" s="436">
        <v>41586</v>
      </c>
      <c r="M796" s="738">
        <v>138.11000000000001</v>
      </c>
      <c r="N796" s="115">
        <f t="shared" si="53"/>
        <v>1.4023494860499364E-2</v>
      </c>
      <c r="O796" s="1121">
        <f t="shared" si="52"/>
        <v>1.4011580971610475E-2</v>
      </c>
      <c r="P796" s="1122"/>
    </row>
    <row r="797" spans="6:16">
      <c r="F797" s="1121">
        <f t="shared" si="51"/>
        <v>7.1100081282426204E-4</v>
      </c>
      <c r="G797" s="1122"/>
      <c r="H797" s="436">
        <v>41589</v>
      </c>
      <c r="I797" s="738">
        <v>1771.89</v>
      </c>
      <c r="J797" s="440">
        <f t="shared" ref="J797:J860" si="54">I797/I796-1</f>
        <v>7.2291470171315098E-4</v>
      </c>
      <c r="L797" s="436">
        <v>41589</v>
      </c>
      <c r="M797" s="738">
        <v>137.15</v>
      </c>
      <c r="N797" s="115">
        <f t="shared" si="53"/>
        <v>-6.9509811020201928E-3</v>
      </c>
      <c r="O797" s="1121">
        <f t="shared" si="52"/>
        <v>-6.9628949909090821E-3</v>
      </c>
      <c r="P797" s="1122"/>
    </row>
    <row r="798" spans="6:16">
      <c r="F798" s="1121">
        <f t="shared" ref="F798:F861" si="55">J798-$I$19</f>
        <v>-2.3822641928016382E-3</v>
      </c>
      <c r="G798" s="1122"/>
      <c r="H798" s="436">
        <v>41590</v>
      </c>
      <c r="I798" s="738">
        <v>1767.69</v>
      </c>
      <c r="J798" s="440">
        <f t="shared" si="54"/>
        <v>-2.3703503039127494E-3</v>
      </c>
      <c r="L798" s="436">
        <v>41590</v>
      </c>
      <c r="M798" s="738">
        <v>137.22999999999999</v>
      </c>
      <c r="N798" s="115">
        <f t="shared" si="53"/>
        <v>5.833029529711542E-4</v>
      </c>
      <c r="O798" s="1121">
        <f t="shared" ref="O798:O861" si="56">N798-$I$19</f>
        <v>5.7138906408226527E-4</v>
      </c>
      <c r="P798" s="1122"/>
    </row>
    <row r="799" spans="6:16">
      <c r="F799" s="1121">
        <f t="shared" si="55"/>
        <v>8.0833969404986369E-3</v>
      </c>
      <c r="G799" s="1122"/>
      <c r="H799" s="436">
        <v>41591</v>
      </c>
      <c r="I799" s="738">
        <v>1782</v>
      </c>
      <c r="J799" s="440">
        <f t="shared" si="54"/>
        <v>8.0953108293875253E-3</v>
      </c>
      <c r="L799" s="436">
        <v>41591</v>
      </c>
      <c r="M799" s="738">
        <v>137.26</v>
      </c>
      <c r="N799" s="115">
        <f t="shared" si="53"/>
        <v>2.1861109086929176E-4</v>
      </c>
      <c r="O799" s="1121">
        <f t="shared" si="56"/>
        <v>2.0669720198040288E-4</v>
      </c>
      <c r="P799" s="1122"/>
    </row>
    <row r="800" spans="6:16">
      <c r="F800" s="1121">
        <f t="shared" si="55"/>
        <v>4.8253476150391583E-3</v>
      </c>
      <c r="G800" s="1122"/>
      <c r="H800" s="436">
        <v>41592</v>
      </c>
      <c r="I800" s="738">
        <v>1790.62</v>
      </c>
      <c r="J800" s="440">
        <f t="shared" si="54"/>
        <v>4.8372615039280475E-3</v>
      </c>
      <c r="L800" s="436">
        <v>41592</v>
      </c>
      <c r="M800" s="738">
        <v>138.29</v>
      </c>
      <c r="N800" s="115">
        <f t="shared" si="53"/>
        <v>7.5040069940259801E-3</v>
      </c>
      <c r="O800" s="1121">
        <f t="shared" si="56"/>
        <v>7.4920931051370909E-3</v>
      </c>
      <c r="P800" s="1122"/>
    </row>
    <row r="801" spans="6:16">
      <c r="F801" s="1121">
        <f t="shared" si="55"/>
        <v>4.2100874290905621E-3</v>
      </c>
      <c r="G801" s="1122"/>
      <c r="H801" s="436">
        <v>41593</v>
      </c>
      <c r="I801" s="738">
        <v>1798.18</v>
      </c>
      <c r="J801" s="440">
        <f t="shared" si="54"/>
        <v>4.2220013179794513E-3</v>
      </c>
      <c r="L801" s="436">
        <v>41593</v>
      </c>
      <c r="M801" s="738">
        <v>137.44999999999999</v>
      </c>
      <c r="N801" s="115">
        <f t="shared" si="53"/>
        <v>-6.0741919155398172E-3</v>
      </c>
      <c r="O801" s="1121">
        <f t="shared" si="56"/>
        <v>-6.0861058044287064E-3</v>
      </c>
      <c r="P801" s="1122"/>
    </row>
    <row r="802" spans="6:16">
      <c r="F802" s="1121">
        <f t="shared" si="55"/>
        <v>-3.7100976079826949E-3</v>
      </c>
      <c r="G802" s="1122"/>
      <c r="H802" s="436">
        <v>41596</v>
      </c>
      <c r="I802" s="738">
        <v>1791.53</v>
      </c>
      <c r="J802" s="440">
        <f t="shared" si="54"/>
        <v>-3.6981837190938061E-3</v>
      </c>
      <c r="L802" s="436">
        <v>41596</v>
      </c>
      <c r="M802" s="738">
        <v>137.85</v>
      </c>
      <c r="N802" s="115">
        <f t="shared" si="53"/>
        <v>2.9101491451437589E-3</v>
      </c>
      <c r="O802" s="1121">
        <f t="shared" si="56"/>
        <v>2.8982352562548701E-3</v>
      </c>
      <c r="P802" s="1122"/>
    </row>
    <row r="803" spans="6:16">
      <c r="F803" s="1121">
        <f t="shared" si="55"/>
        <v>-2.0548604206244232E-3</v>
      </c>
      <c r="G803" s="1122"/>
      <c r="H803" s="436">
        <v>41597</v>
      </c>
      <c r="I803" s="738">
        <v>1787.87</v>
      </c>
      <c r="J803" s="440">
        <f t="shared" si="54"/>
        <v>-2.0429465317355344E-3</v>
      </c>
      <c r="L803" s="436">
        <v>41597</v>
      </c>
      <c r="M803" s="738">
        <v>138.97</v>
      </c>
      <c r="N803" s="115">
        <f t="shared" si="53"/>
        <v>8.1247733043163795E-3</v>
      </c>
      <c r="O803" s="1121">
        <f t="shared" si="56"/>
        <v>8.1128594154274911E-3</v>
      </c>
      <c r="P803" s="1122"/>
    </row>
    <row r="804" spans="6:16">
      <c r="F804" s="1121">
        <f t="shared" si="55"/>
        <v>-3.6475249791806459E-3</v>
      </c>
      <c r="G804" s="1122"/>
      <c r="H804" s="436">
        <v>41598</v>
      </c>
      <c r="I804" s="738">
        <v>1781.37</v>
      </c>
      <c r="J804" s="440">
        <f t="shared" si="54"/>
        <v>-3.6356110902917571E-3</v>
      </c>
      <c r="L804" s="436">
        <v>41598</v>
      </c>
      <c r="M804" s="738">
        <v>137.19</v>
      </c>
      <c r="N804" s="115">
        <f t="shared" si="53"/>
        <v>-1.2808519824422548E-2</v>
      </c>
      <c r="O804" s="1121">
        <f t="shared" si="56"/>
        <v>-1.2820433713311437E-2</v>
      </c>
      <c r="P804" s="1122"/>
    </row>
    <row r="805" spans="6:16">
      <c r="F805" s="1121">
        <f t="shared" si="55"/>
        <v>8.1166613088522396E-3</v>
      </c>
      <c r="G805" s="1122"/>
      <c r="H805" s="436">
        <v>41599</v>
      </c>
      <c r="I805" s="738">
        <v>1795.85</v>
      </c>
      <c r="J805" s="440">
        <f t="shared" si="54"/>
        <v>8.128575197741128E-3</v>
      </c>
      <c r="L805" s="436">
        <v>41599</v>
      </c>
      <c r="M805" s="738">
        <v>138.66999999999999</v>
      </c>
      <c r="N805" s="115">
        <f t="shared" si="53"/>
        <v>1.0787958305998879E-2</v>
      </c>
      <c r="O805" s="1121">
        <f t="shared" si="56"/>
        <v>1.0776044417109991E-2</v>
      </c>
      <c r="P805" s="1122"/>
    </row>
    <row r="806" spans="6:16">
      <c r="F806" s="1121">
        <f t="shared" si="55"/>
        <v>4.9495249840681909E-3</v>
      </c>
      <c r="G806" s="1122"/>
      <c r="H806" s="436">
        <v>41600</v>
      </c>
      <c r="I806" s="738">
        <v>1804.76</v>
      </c>
      <c r="J806" s="440">
        <f t="shared" si="54"/>
        <v>4.9614388729570802E-3</v>
      </c>
      <c r="L806" s="436">
        <v>41600</v>
      </c>
      <c r="M806" s="738">
        <v>140.88</v>
      </c>
      <c r="N806" s="115">
        <f t="shared" si="53"/>
        <v>1.5937116896228565E-2</v>
      </c>
      <c r="O806" s="1121">
        <f t="shared" si="56"/>
        <v>1.5925203007339676E-2</v>
      </c>
      <c r="P806" s="1122"/>
    </row>
    <row r="807" spans="6:16">
      <c r="F807" s="1121">
        <f t="shared" si="55"/>
        <v>-1.2752397604729533E-3</v>
      </c>
      <c r="G807" s="1122"/>
      <c r="H807" s="436">
        <v>41603</v>
      </c>
      <c r="I807" s="738">
        <v>1802.48</v>
      </c>
      <c r="J807" s="440">
        <f t="shared" si="54"/>
        <v>-1.2633258715840645E-3</v>
      </c>
      <c r="L807" s="436">
        <v>41603</v>
      </c>
      <c r="M807" s="738">
        <v>141.76</v>
      </c>
      <c r="N807" s="115">
        <f t="shared" si="53"/>
        <v>6.2464508801816088E-3</v>
      </c>
      <c r="O807" s="1121">
        <f t="shared" si="56"/>
        <v>6.2345369912927195E-3</v>
      </c>
      <c r="P807" s="1122"/>
    </row>
    <row r="808" spans="6:16">
      <c r="F808" s="1121">
        <f t="shared" si="55"/>
        <v>1.3787972879330347E-4</v>
      </c>
      <c r="G808" s="1122"/>
      <c r="H808" s="436">
        <v>41604</v>
      </c>
      <c r="I808" s="738">
        <v>1802.75</v>
      </c>
      <c r="J808" s="440">
        <f t="shared" si="54"/>
        <v>1.4979361768219235E-4</v>
      </c>
      <c r="L808" s="436">
        <v>41604</v>
      </c>
      <c r="M808" s="738">
        <v>143.06</v>
      </c>
      <c r="N808" s="115">
        <f t="shared" si="53"/>
        <v>9.1704288939051803E-3</v>
      </c>
      <c r="O808" s="1121">
        <f t="shared" si="56"/>
        <v>9.158515005016292E-3</v>
      </c>
      <c r="P808" s="1122"/>
    </row>
    <row r="809" spans="6:16">
      <c r="F809" s="1121">
        <f t="shared" si="55"/>
        <v>2.4731783313301984E-3</v>
      </c>
      <c r="G809" s="1122"/>
      <c r="H809" s="436">
        <v>41605</v>
      </c>
      <c r="I809" s="738">
        <v>1807.23</v>
      </c>
      <c r="J809" s="440">
        <f t="shared" si="54"/>
        <v>2.4850922202190873E-3</v>
      </c>
      <c r="L809" s="436">
        <v>41605</v>
      </c>
      <c r="M809" s="738">
        <v>143.94</v>
      </c>
      <c r="N809" s="115">
        <f t="shared" si="53"/>
        <v>6.1512652034110271E-3</v>
      </c>
      <c r="O809" s="1121">
        <f t="shared" si="56"/>
        <v>6.1393513145221379E-3</v>
      </c>
      <c r="P809" s="1122"/>
    </row>
    <row r="810" spans="6:16">
      <c r="F810" s="1121">
        <f t="shared" si="55"/>
        <v>-1.1913888888888887E-5</v>
      </c>
      <c r="G810" s="1122"/>
      <c r="H810" s="436">
        <v>41606</v>
      </c>
      <c r="I810" s="738">
        <v>1807.23</v>
      </c>
      <c r="J810" s="440">
        <f t="shared" si="54"/>
        <v>0</v>
      </c>
      <c r="L810" s="436">
        <v>41606</v>
      </c>
      <c r="M810" s="738">
        <v>143.94</v>
      </c>
      <c r="N810" s="115">
        <f t="shared" si="53"/>
        <v>0</v>
      </c>
      <c r="O810" s="1121">
        <f t="shared" si="56"/>
        <v>-1.1913888888888887E-5</v>
      </c>
      <c r="P810" s="1122"/>
    </row>
    <row r="811" spans="6:16">
      <c r="F811" s="1121">
        <f t="shared" si="55"/>
        <v>-7.9764675078253992E-4</v>
      </c>
      <c r="G811" s="1122"/>
      <c r="H811" s="436">
        <v>41607</v>
      </c>
      <c r="I811" s="738">
        <v>1805.81</v>
      </c>
      <c r="J811" s="440">
        <f t="shared" si="54"/>
        <v>-7.8573286189365099E-4</v>
      </c>
      <c r="L811" s="436">
        <v>41607</v>
      </c>
      <c r="M811" s="738">
        <v>141.66999999999999</v>
      </c>
      <c r="N811" s="115">
        <f t="shared" si="53"/>
        <v>-1.5770459913853063E-2</v>
      </c>
      <c r="O811" s="1121">
        <f t="shared" si="56"/>
        <v>-1.5782373802741952E-2</v>
      </c>
      <c r="P811" s="1122"/>
    </row>
    <row r="812" spans="6:16">
      <c r="F812" s="1121">
        <f t="shared" si="55"/>
        <v>-2.7309153342235455E-3</v>
      </c>
      <c r="G812" s="1122"/>
      <c r="H812" s="436">
        <v>41610</v>
      </c>
      <c r="I812" s="738">
        <v>1800.9</v>
      </c>
      <c r="J812" s="440">
        <f t="shared" si="54"/>
        <v>-2.7190014453346567E-3</v>
      </c>
      <c r="L812" s="436">
        <v>41610</v>
      </c>
      <c r="M812" s="738">
        <v>139.69999999999999</v>
      </c>
      <c r="N812" s="115">
        <f t="shared" si="53"/>
        <v>-1.3905555163407968E-2</v>
      </c>
      <c r="O812" s="1121">
        <f t="shared" si="56"/>
        <v>-1.3917469052296856E-2</v>
      </c>
      <c r="P812" s="1122"/>
    </row>
    <row r="813" spans="6:16">
      <c r="F813" s="1121">
        <f t="shared" si="55"/>
        <v>-3.2047619093230691E-3</v>
      </c>
      <c r="G813" s="1122"/>
      <c r="H813" s="436">
        <v>41611</v>
      </c>
      <c r="I813" s="738">
        <v>1795.15</v>
      </c>
      <c r="J813" s="440">
        <f t="shared" si="54"/>
        <v>-3.1928480204341803E-3</v>
      </c>
      <c r="L813" s="436">
        <v>41611</v>
      </c>
      <c r="M813" s="738">
        <v>138.77000000000001</v>
      </c>
      <c r="N813" s="115">
        <f t="shared" si="53"/>
        <v>-6.6571224051537037E-3</v>
      </c>
      <c r="O813" s="1121">
        <f t="shared" si="56"/>
        <v>-6.6690362940425929E-3</v>
      </c>
      <c r="P813" s="1122"/>
    </row>
    <row r="814" spans="6:16">
      <c r="F814" s="1121">
        <f t="shared" si="55"/>
        <v>-1.3154261302058619E-3</v>
      </c>
      <c r="G814" s="1122"/>
      <c r="H814" s="436">
        <v>41612</v>
      </c>
      <c r="I814" s="738">
        <v>1792.81</v>
      </c>
      <c r="J814" s="440">
        <f t="shared" si="54"/>
        <v>-1.3035122413169731E-3</v>
      </c>
      <c r="L814" s="436">
        <v>41612</v>
      </c>
      <c r="M814" s="738">
        <v>136.22999999999999</v>
      </c>
      <c r="N814" s="115">
        <f t="shared" si="53"/>
        <v>-1.8303667939756574E-2</v>
      </c>
      <c r="O814" s="1121">
        <f t="shared" si="56"/>
        <v>-1.8315581828645462E-2</v>
      </c>
      <c r="P814" s="1122"/>
    </row>
    <row r="815" spans="6:16">
      <c r="F815" s="1121">
        <f t="shared" si="55"/>
        <v>-4.3514702278204609E-3</v>
      </c>
      <c r="G815" s="1122"/>
      <c r="H815" s="436">
        <v>41613</v>
      </c>
      <c r="I815" s="738">
        <v>1785.03</v>
      </c>
      <c r="J815" s="440">
        <f t="shared" si="54"/>
        <v>-4.3395563389315717E-3</v>
      </c>
      <c r="L815" s="436">
        <v>41613</v>
      </c>
      <c r="M815" s="738">
        <v>136.66</v>
      </c>
      <c r="N815" s="115">
        <f t="shared" si="53"/>
        <v>3.1564266314321188E-3</v>
      </c>
      <c r="O815" s="1121">
        <f t="shared" si="56"/>
        <v>3.1445127425432299E-3</v>
      </c>
      <c r="P815" s="1122"/>
    </row>
    <row r="816" spans="6:16">
      <c r="F816" s="1121">
        <f t="shared" si="55"/>
        <v>1.122599247683042E-2</v>
      </c>
      <c r="G816" s="1122"/>
      <c r="H816" s="436">
        <v>41614</v>
      </c>
      <c r="I816" s="738">
        <v>1805.09</v>
      </c>
      <c r="J816" s="440">
        <f t="shared" si="54"/>
        <v>1.1237906365719308E-2</v>
      </c>
      <c r="L816" s="436">
        <v>41614</v>
      </c>
      <c r="M816" s="738">
        <v>138.19</v>
      </c>
      <c r="N816" s="115">
        <f t="shared" si="53"/>
        <v>1.1195668081369847E-2</v>
      </c>
      <c r="O816" s="1121">
        <f t="shared" si="56"/>
        <v>1.1183754192480959E-2</v>
      </c>
      <c r="P816" s="1122"/>
    </row>
    <row r="817" spans="6:16">
      <c r="F817" s="1121">
        <f t="shared" si="55"/>
        <v>1.8051700238245131E-3</v>
      </c>
      <c r="G817" s="1122"/>
      <c r="H817" s="436">
        <v>41617</v>
      </c>
      <c r="I817" s="738">
        <v>1808.37</v>
      </c>
      <c r="J817" s="440">
        <f t="shared" si="54"/>
        <v>1.817083912713402E-3</v>
      </c>
      <c r="L817" s="436">
        <v>41617</v>
      </c>
      <c r="M817" s="738">
        <v>138.93</v>
      </c>
      <c r="N817" s="115">
        <f t="shared" ref="N817:N880" si="57">M817/M816-1</f>
        <v>5.3549460887185596E-3</v>
      </c>
      <c r="O817" s="1121">
        <f t="shared" si="56"/>
        <v>5.3430321998296703E-3</v>
      </c>
      <c r="P817" s="1122"/>
    </row>
    <row r="818" spans="6:16">
      <c r="F818" s="1121">
        <f t="shared" si="55"/>
        <v>-3.1915729188440952E-3</v>
      </c>
      <c r="G818" s="1122"/>
      <c r="H818" s="436">
        <v>41618</v>
      </c>
      <c r="I818" s="738">
        <v>1802.62</v>
      </c>
      <c r="J818" s="440">
        <f t="shared" si="54"/>
        <v>-3.1796590299552063E-3</v>
      </c>
      <c r="L818" s="436">
        <v>41618</v>
      </c>
      <c r="M818" s="738">
        <v>139.31</v>
      </c>
      <c r="N818" s="115">
        <f t="shared" si="57"/>
        <v>2.7351903836463354E-3</v>
      </c>
      <c r="O818" s="1121">
        <f t="shared" si="56"/>
        <v>2.7232764947574466E-3</v>
      </c>
      <c r="P818" s="1122"/>
    </row>
    <row r="819" spans="6:16">
      <c r="F819" s="1121">
        <f t="shared" si="55"/>
        <v>-1.132877490230267E-2</v>
      </c>
      <c r="G819" s="1122"/>
      <c r="H819" s="436">
        <v>41619</v>
      </c>
      <c r="I819" s="738">
        <v>1782.22</v>
      </c>
      <c r="J819" s="440">
        <f t="shared" si="54"/>
        <v>-1.1316861013413781E-2</v>
      </c>
      <c r="L819" s="436">
        <v>41619</v>
      </c>
      <c r="M819" s="738">
        <v>137.46</v>
      </c>
      <c r="N819" s="115">
        <f t="shared" si="57"/>
        <v>-1.3279735840930229E-2</v>
      </c>
      <c r="O819" s="1121">
        <f t="shared" si="56"/>
        <v>-1.3291649729819117E-2</v>
      </c>
      <c r="P819" s="1122"/>
    </row>
    <row r="820" spans="6:16">
      <c r="F820" s="1121">
        <f t="shared" si="55"/>
        <v>-3.7824921564428922E-3</v>
      </c>
      <c r="G820" s="1122"/>
      <c r="H820" s="436">
        <v>41620</v>
      </c>
      <c r="I820" s="738">
        <v>1775.5</v>
      </c>
      <c r="J820" s="440">
        <f t="shared" si="54"/>
        <v>-3.7705782675540034E-3</v>
      </c>
      <c r="L820" s="436">
        <v>41620</v>
      </c>
      <c r="M820" s="738">
        <v>137.97999999999999</v>
      </c>
      <c r="N820" s="115">
        <f t="shared" si="57"/>
        <v>3.7829186672484472E-3</v>
      </c>
      <c r="O820" s="1121">
        <f t="shared" si="56"/>
        <v>3.7710047783595583E-3</v>
      </c>
      <c r="P820" s="1122"/>
    </row>
    <row r="821" spans="6:16">
      <c r="F821" s="1121">
        <f t="shared" si="55"/>
        <v>-1.1329378187686279E-4</v>
      </c>
      <c r="G821" s="1122"/>
      <c r="H821" s="436">
        <v>41621</v>
      </c>
      <c r="I821" s="738">
        <v>1775.32</v>
      </c>
      <c r="J821" s="440">
        <f t="shared" si="54"/>
        <v>-1.013798929879739E-4</v>
      </c>
      <c r="L821" s="436">
        <v>41621</v>
      </c>
      <c r="M821" s="738">
        <v>139.03</v>
      </c>
      <c r="N821" s="115">
        <f t="shared" si="57"/>
        <v>7.6097985215248798E-3</v>
      </c>
      <c r="O821" s="1121">
        <f t="shared" si="56"/>
        <v>7.5978846326359905E-3</v>
      </c>
      <c r="P821" s="1122"/>
    </row>
    <row r="822" spans="6:16">
      <c r="F822" s="1121">
        <f t="shared" si="55"/>
        <v>6.3080734936674576E-3</v>
      </c>
      <c r="G822" s="1122"/>
      <c r="H822" s="436">
        <v>41624</v>
      </c>
      <c r="I822" s="738">
        <v>1786.54</v>
      </c>
      <c r="J822" s="440">
        <f t="shared" si="54"/>
        <v>6.3199873825563468E-3</v>
      </c>
      <c r="L822" s="436">
        <v>41624</v>
      </c>
      <c r="M822" s="738">
        <v>140.05000000000001</v>
      </c>
      <c r="N822" s="115">
        <f t="shared" si="57"/>
        <v>7.3365460691938722E-3</v>
      </c>
      <c r="O822" s="1121">
        <f t="shared" si="56"/>
        <v>7.3246321803049829E-3</v>
      </c>
      <c r="P822" s="1122"/>
    </row>
    <row r="823" spans="6:16">
      <c r="F823" s="1121">
        <f t="shared" si="55"/>
        <v>-3.1128800021580434E-3</v>
      </c>
      <c r="G823" s="1122"/>
      <c r="H823" s="436">
        <v>41625</v>
      </c>
      <c r="I823" s="738">
        <v>1781</v>
      </c>
      <c r="J823" s="440">
        <f t="shared" si="54"/>
        <v>-3.1009661132691546E-3</v>
      </c>
      <c r="L823" s="436">
        <v>41625</v>
      </c>
      <c r="M823" s="738">
        <v>140.85</v>
      </c>
      <c r="N823" s="115">
        <f t="shared" si="57"/>
        <v>5.7122456265619181E-3</v>
      </c>
      <c r="O823" s="1121">
        <f t="shared" si="56"/>
        <v>5.7003317376730289E-3</v>
      </c>
      <c r="P823" s="1122"/>
    </row>
    <row r="824" spans="6:16">
      <c r="F824" s="1121">
        <f t="shared" si="55"/>
        <v>1.6636036700667593E-2</v>
      </c>
      <c r="G824" s="1122"/>
      <c r="H824" s="436">
        <v>41626</v>
      </c>
      <c r="I824" s="738">
        <v>1810.65</v>
      </c>
      <c r="J824" s="440">
        <f t="shared" si="54"/>
        <v>1.6647950589556482E-2</v>
      </c>
      <c r="L824" s="436">
        <v>41626</v>
      </c>
      <c r="M824" s="738">
        <v>143.72999999999999</v>
      </c>
      <c r="N824" s="115">
        <f t="shared" si="57"/>
        <v>2.0447284345047834E-2</v>
      </c>
      <c r="O824" s="1121">
        <f t="shared" si="56"/>
        <v>2.0435370456158945E-2</v>
      </c>
      <c r="P824" s="1122"/>
    </row>
    <row r="825" spans="6:16">
      <c r="F825" s="1121">
        <f t="shared" si="55"/>
        <v>-5.918161339391123E-4</v>
      </c>
      <c r="G825" s="1122"/>
      <c r="H825" s="436">
        <v>41627</v>
      </c>
      <c r="I825" s="738">
        <v>1809.6</v>
      </c>
      <c r="J825" s="440">
        <f t="shared" si="54"/>
        <v>-5.7990224505022336E-4</v>
      </c>
      <c r="L825" s="436">
        <v>41627</v>
      </c>
      <c r="M825" s="738">
        <v>142.99</v>
      </c>
      <c r="N825" s="115">
        <f t="shared" si="57"/>
        <v>-5.148542405899792E-3</v>
      </c>
      <c r="O825" s="1121">
        <f t="shared" si="56"/>
        <v>-5.1604562947886812E-3</v>
      </c>
      <c r="P825" s="1122"/>
    </row>
    <row r="826" spans="6:16">
      <c r="F826" s="1121">
        <f t="shared" si="55"/>
        <v>4.8068305850280579E-3</v>
      </c>
      <c r="G826" s="1122"/>
      <c r="H826" s="436">
        <v>41628</v>
      </c>
      <c r="I826" s="738">
        <v>1818.32</v>
      </c>
      <c r="J826" s="440">
        <f t="shared" si="54"/>
        <v>4.8187444739169472E-3</v>
      </c>
      <c r="L826" s="436">
        <v>41628</v>
      </c>
      <c r="M826" s="738">
        <v>144.21</v>
      </c>
      <c r="N826" s="115">
        <f t="shared" si="57"/>
        <v>8.5320651793832081E-3</v>
      </c>
      <c r="O826" s="1121">
        <f t="shared" si="56"/>
        <v>8.5201512904943197E-3</v>
      </c>
      <c r="P826" s="1122"/>
    </row>
    <row r="827" spans="6:16">
      <c r="F827" s="1121">
        <f t="shared" si="55"/>
        <v>5.3061819358285389E-3</v>
      </c>
      <c r="G827" s="1122"/>
      <c r="H827" s="436">
        <v>41631</v>
      </c>
      <c r="I827" s="738">
        <v>1827.99</v>
      </c>
      <c r="J827" s="440">
        <f t="shared" si="54"/>
        <v>5.3180958247174281E-3</v>
      </c>
      <c r="L827" s="436">
        <v>41631</v>
      </c>
      <c r="M827" s="738">
        <v>145.06</v>
      </c>
      <c r="N827" s="115">
        <f t="shared" si="57"/>
        <v>5.8941820955551449E-3</v>
      </c>
      <c r="O827" s="1121">
        <f t="shared" si="56"/>
        <v>5.8822682066662557E-3</v>
      </c>
      <c r="P827" s="1122"/>
    </row>
    <row r="828" spans="6:16">
      <c r="F828" s="1121">
        <f t="shared" si="55"/>
        <v>2.9038569851310629E-3</v>
      </c>
      <c r="G828" s="1122"/>
      <c r="H828" s="436">
        <v>41632</v>
      </c>
      <c r="I828" s="738">
        <v>1833.32</v>
      </c>
      <c r="J828" s="440">
        <f t="shared" si="54"/>
        <v>2.9157708740199517E-3</v>
      </c>
      <c r="L828" s="436">
        <v>41632</v>
      </c>
      <c r="M828" s="738">
        <v>146.13999999999999</v>
      </c>
      <c r="N828" s="115">
        <f t="shared" si="57"/>
        <v>7.4451950916860632E-3</v>
      </c>
      <c r="O828" s="1121">
        <f t="shared" si="56"/>
        <v>7.4332812027971739E-3</v>
      </c>
      <c r="P828" s="1122"/>
    </row>
    <row r="829" spans="6:16">
      <c r="F829" s="1121">
        <f t="shared" si="55"/>
        <v>-1.1913888888888887E-5</v>
      </c>
      <c r="G829" s="1122"/>
      <c r="H829" s="436">
        <v>41633</v>
      </c>
      <c r="I829" s="738">
        <v>1833.32</v>
      </c>
      <c r="J829" s="440">
        <f t="shared" si="54"/>
        <v>0</v>
      </c>
      <c r="L829" s="436">
        <v>41633</v>
      </c>
      <c r="M829" s="738">
        <v>146.13999999999999</v>
      </c>
      <c r="N829" s="115">
        <f t="shared" si="57"/>
        <v>0</v>
      </c>
      <c r="O829" s="1121">
        <f t="shared" si="56"/>
        <v>-1.1913888888888887E-5</v>
      </c>
      <c r="P829" s="1122"/>
    </row>
    <row r="830" spans="6:16">
      <c r="F830" s="1121">
        <f t="shared" si="55"/>
        <v>4.7335751692133476E-3</v>
      </c>
      <c r="G830" s="1122"/>
      <c r="H830" s="436">
        <v>41634</v>
      </c>
      <c r="I830" s="738">
        <v>1842.02</v>
      </c>
      <c r="J830" s="440">
        <f t="shared" si="54"/>
        <v>4.7454890581022369E-3</v>
      </c>
      <c r="L830" s="436">
        <v>41634</v>
      </c>
      <c r="M830" s="738">
        <v>148.84</v>
      </c>
      <c r="N830" s="115">
        <f t="shared" si="57"/>
        <v>1.8475434514848788E-2</v>
      </c>
      <c r="O830" s="1121">
        <f t="shared" si="56"/>
        <v>1.8463520625959899E-2</v>
      </c>
      <c r="P830" s="1122"/>
    </row>
    <row r="831" spans="6:16">
      <c r="F831" s="1121">
        <f t="shared" si="55"/>
        <v>-3.485008966303068E-4</v>
      </c>
      <c r="G831" s="1122"/>
      <c r="H831" s="436">
        <v>41635</v>
      </c>
      <c r="I831" s="738">
        <v>1841.4</v>
      </c>
      <c r="J831" s="440">
        <f t="shared" si="54"/>
        <v>-3.3658700774141792E-4</v>
      </c>
      <c r="L831" s="436">
        <v>41635</v>
      </c>
      <c r="M831" s="738">
        <v>148.13</v>
      </c>
      <c r="N831" s="115">
        <f t="shared" si="57"/>
        <v>-4.7702230583177574E-3</v>
      </c>
      <c r="O831" s="1121">
        <f t="shared" si="56"/>
        <v>-4.7821369472066467E-3</v>
      </c>
      <c r="P831" s="1122"/>
    </row>
    <row r="832" spans="6:16">
      <c r="F832" s="1121">
        <f t="shared" si="55"/>
        <v>-1.9112535842303512E-4</v>
      </c>
      <c r="G832" s="1122"/>
      <c r="H832" s="436">
        <v>41638</v>
      </c>
      <c r="I832" s="738">
        <v>1841.07</v>
      </c>
      <c r="J832" s="440">
        <f t="shared" si="54"/>
        <v>-1.7921146953414624E-4</v>
      </c>
      <c r="L832" s="436">
        <v>41638</v>
      </c>
      <c r="M832" s="738">
        <v>146.97999999999999</v>
      </c>
      <c r="N832" s="115">
        <f t="shared" si="57"/>
        <v>-7.7634510227503339E-3</v>
      </c>
      <c r="O832" s="1121">
        <f t="shared" si="56"/>
        <v>-7.7753649116392232E-3</v>
      </c>
      <c r="P832" s="1122"/>
    </row>
    <row r="833" spans="6:16">
      <c r="F833" s="1121">
        <f t="shared" si="55"/>
        <v>3.9477400080297686E-3</v>
      </c>
      <c r="G833" s="1122"/>
      <c r="H833" s="436">
        <v>41639</v>
      </c>
      <c r="I833" s="738">
        <v>1848.36</v>
      </c>
      <c r="J833" s="440">
        <f t="shared" si="54"/>
        <v>3.9596538969186579E-3</v>
      </c>
      <c r="L833" s="436">
        <v>41639</v>
      </c>
      <c r="M833" s="738">
        <v>148.66</v>
      </c>
      <c r="N833" s="115">
        <f t="shared" si="57"/>
        <v>1.14301265478296E-2</v>
      </c>
      <c r="O833" s="1121">
        <f t="shared" si="56"/>
        <v>1.1418212658940712E-2</v>
      </c>
      <c r="P833" s="1122"/>
    </row>
    <row r="834" spans="6:16">
      <c r="F834" s="1121">
        <f t="shared" si="55"/>
        <v>-1.1913888888888887E-5</v>
      </c>
      <c r="G834" s="1122"/>
      <c r="H834" s="436">
        <v>41640</v>
      </c>
      <c r="I834" s="738">
        <v>1848.36</v>
      </c>
      <c r="J834" s="440">
        <f t="shared" si="54"/>
        <v>0</v>
      </c>
      <c r="L834" s="436">
        <v>41640</v>
      </c>
      <c r="M834" s="738">
        <v>148.66</v>
      </c>
      <c r="N834" s="115">
        <f t="shared" si="57"/>
        <v>0</v>
      </c>
      <c r="O834" s="1121">
        <f t="shared" si="56"/>
        <v>-1.1913888888888887E-5</v>
      </c>
      <c r="P834" s="1122"/>
    </row>
    <row r="835" spans="6:16">
      <c r="F835" s="1121">
        <f t="shared" si="55"/>
        <v>-8.873823906417895E-3</v>
      </c>
      <c r="G835" s="1122"/>
      <c r="H835" s="436">
        <v>41641</v>
      </c>
      <c r="I835" s="738">
        <v>1831.98</v>
      </c>
      <c r="J835" s="440">
        <f t="shared" si="54"/>
        <v>-8.8619100175290066E-3</v>
      </c>
      <c r="L835" s="436">
        <v>41641</v>
      </c>
      <c r="M835" s="738">
        <v>146.07</v>
      </c>
      <c r="N835" s="115">
        <f t="shared" si="57"/>
        <v>-1.7422305933001536E-2</v>
      </c>
      <c r="O835" s="1121">
        <f t="shared" si="56"/>
        <v>-1.7434219821890425E-2</v>
      </c>
      <c r="P835" s="1122"/>
    </row>
    <row r="836" spans="6:16">
      <c r="F836" s="1121">
        <f t="shared" si="55"/>
        <v>-3.4488695628055087E-4</v>
      </c>
      <c r="G836" s="1122"/>
      <c r="H836" s="436">
        <v>41642</v>
      </c>
      <c r="I836" s="738">
        <v>1831.37</v>
      </c>
      <c r="J836" s="440">
        <f t="shared" si="54"/>
        <v>-3.3297306739166199E-4</v>
      </c>
      <c r="L836" s="436">
        <v>41642</v>
      </c>
      <c r="M836" s="738">
        <v>147.06</v>
      </c>
      <c r="N836" s="115">
        <f t="shared" si="57"/>
        <v>6.7775723967962165E-3</v>
      </c>
      <c r="O836" s="1121">
        <f t="shared" si="56"/>
        <v>6.7656585079073272E-3</v>
      </c>
      <c r="P836" s="1122"/>
    </row>
    <row r="837" spans="6:16">
      <c r="F837" s="1121">
        <f t="shared" si="55"/>
        <v>-2.5236946868706441E-3</v>
      </c>
      <c r="G837" s="1122"/>
      <c r="H837" s="436">
        <v>41645</v>
      </c>
      <c r="I837" s="738">
        <v>1826.77</v>
      </c>
      <c r="J837" s="440">
        <f t="shared" si="54"/>
        <v>-2.5117807979817552E-3</v>
      </c>
      <c r="L837" s="436">
        <v>41645</v>
      </c>
      <c r="M837" s="738">
        <v>146.28</v>
      </c>
      <c r="N837" s="115">
        <f t="shared" si="57"/>
        <v>-5.3039575683394569E-3</v>
      </c>
      <c r="O837" s="1121">
        <f t="shared" si="56"/>
        <v>-5.3158714572283461E-3</v>
      </c>
      <c r="P837" s="1122"/>
    </row>
    <row r="838" spans="6:16">
      <c r="F838" s="1121">
        <f t="shared" si="55"/>
        <v>6.0698588575435119E-3</v>
      </c>
      <c r="G838" s="1122"/>
      <c r="H838" s="436">
        <v>41646</v>
      </c>
      <c r="I838" s="738">
        <v>1837.88</v>
      </c>
      <c r="J838" s="440">
        <f t="shared" si="54"/>
        <v>6.0817727464324012E-3</v>
      </c>
      <c r="L838" s="436">
        <v>41646</v>
      </c>
      <c r="M838" s="738">
        <v>148.61000000000001</v>
      </c>
      <c r="N838" s="115">
        <f t="shared" si="57"/>
        <v>1.592835657642877E-2</v>
      </c>
      <c r="O838" s="1121">
        <f t="shared" si="56"/>
        <v>1.5916442687539882E-2</v>
      </c>
      <c r="P838" s="1122"/>
    </row>
    <row r="839" spans="6:16">
      <c r="F839" s="1121">
        <f t="shared" si="55"/>
        <v>-2.2411490310093228E-4</v>
      </c>
      <c r="G839" s="1122"/>
      <c r="H839" s="436">
        <v>41647</v>
      </c>
      <c r="I839" s="738">
        <v>1837.49</v>
      </c>
      <c r="J839" s="440">
        <f t="shared" si="54"/>
        <v>-2.122010142120434E-4</v>
      </c>
      <c r="L839" s="436">
        <v>41647</v>
      </c>
      <c r="M839" s="738">
        <v>148.5</v>
      </c>
      <c r="N839" s="115">
        <f t="shared" si="57"/>
        <v>-7.4019245003709155E-4</v>
      </c>
      <c r="O839" s="1121">
        <f t="shared" si="56"/>
        <v>-7.5210633892598049E-4</v>
      </c>
      <c r="P839" s="1122"/>
    </row>
    <row r="840" spans="6:16">
      <c r="F840" s="1121">
        <f t="shared" si="55"/>
        <v>3.3638732635587288E-4</v>
      </c>
      <c r="G840" s="1122"/>
      <c r="H840" s="436">
        <v>41648</v>
      </c>
      <c r="I840" s="738">
        <v>1838.13</v>
      </c>
      <c r="J840" s="440">
        <f t="shared" si="54"/>
        <v>3.4830121524476176E-4</v>
      </c>
      <c r="L840" s="436">
        <v>41648</v>
      </c>
      <c r="M840" s="738">
        <v>148.72999999999999</v>
      </c>
      <c r="N840" s="115">
        <f t="shared" si="57"/>
        <v>1.5488215488215218E-3</v>
      </c>
      <c r="O840" s="1121">
        <f t="shared" si="56"/>
        <v>1.536907659932633E-3</v>
      </c>
      <c r="P840" s="1122"/>
    </row>
    <row r="841" spans="6:16">
      <c r="F841" s="1121">
        <f t="shared" si="55"/>
        <v>2.2947782384360386E-3</v>
      </c>
      <c r="G841" s="1122"/>
      <c r="H841" s="436">
        <v>41649</v>
      </c>
      <c r="I841" s="738">
        <v>1842.37</v>
      </c>
      <c r="J841" s="440">
        <f t="shared" si="54"/>
        <v>2.3066921273249275E-3</v>
      </c>
      <c r="L841" s="436">
        <v>41649</v>
      </c>
      <c r="M841" s="738">
        <v>149.44999999999999</v>
      </c>
      <c r="N841" s="115">
        <f t="shared" si="57"/>
        <v>4.8409870234653596E-3</v>
      </c>
      <c r="O841" s="1121">
        <f t="shared" si="56"/>
        <v>4.8290731345764703E-3</v>
      </c>
      <c r="P841" s="1122"/>
    </row>
    <row r="842" spans="6:16">
      <c r="F842" s="1121">
        <f t="shared" si="55"/>
        <v>-1.2588106510349258E-2</v>
      </c>
      <c r="G842" s="1122"/>
      <c r="H842" s="436">
        <v>41652</v>
      </c>
      <c r="I842" s="738">
        <v>1819.2</v>
      </c>
      <c r="J842" s="440">
        <f t="shared" si="54"/>
        <v>-1.2576192621460369E-2</v>
      </c>
      <c r="L842" s="436">
        <v>41652</v>
      </c>
      <c r="M842" s="738">
        <v>150.91999999999999</v>
      </c>
      <c r="N842" s="115">
        <f t="shared" si="57"/>
        <v>9.8360655737705915E-3</v>
      </c>
      <c r="O842" s="1121">
        <f t="shared" si="56"/>
        <v>9.8241516848817032E-3</v>
      </c>
      <c r="P842" s="1122"/>
    </row>
    <row r="843" spans="6:16">
      <c r="F843" s="1121">
        <f t="shared" si="55"/>
        <v>1.0806028063617849E-2</v>
      </c>
      <c r="G843" s="1122"/>
      <c r="H843" s="436">
        <v>41653</v>
      </c>
      <c r="I843" s="738">
        <v>1838.88</v>
      </c>
      <c r="J843" s="440">
        <f t="shared" si="54"/>
        <v>1.0817941952506738E-2</v>
      </c>
      <c r="L843" s="436">
        <v>41653</v>
      </c>
      <c r="M843" s="738">
        <v>151.41999999999999</v>
      </c>
      <c r="N843" s="115">
        <f t="shared" si="57"/>
        <v>3.3130135170951203E-3</v>
      </c>
      <c r="O843" s="1121">
        <f t="shared" si="56"/>
        <v>3.3010996282062314E-3</v>
      </c>
      <c r="P843" s="1122"/>
    </row>
    <row r="844" spans="6:16">
      <c r="F844" s="1121">
        <f t="shared" si="55"/>
        <v>5.1542742256155327E-3</v>
      </c>
      <c r="G844" s="1122"/>
      <c r="H844" s="436">
        <v>41654</v>
      </c>
      <c r="I844" s="738">
        <v>1848.38</v>
      </c>
      <c r="J844" s="440">
        <f t="shared" si="54"/>
        <v>5.1661881145044219E-3</v>
      </c>
      <c r="L844" s="436">
        <v>41654</v>
      </c>
      <c r="M844" s="738">
        <v>153.5</v>
      </c>
      <c r="N844" s="115">
        <f t="shared" si="57"/>
        <v>1.3736626601505764E-2</v>
      </c>
      <c r="O844" s="1121">
        <f t="shared" si="56"/>
        <v>1.3724712712616875E-2</v>
      </c>
      <c r="P844" s="1122"/>
    </row>
    <row r="845" spans="6:16">
      <c r="F845" s="1121">
        <f t="shared" si="55"/>
        <v>-1.3590394799469848E-3</v>
      </c>
      <c r="G845" s="1122"/>
      <c r="H845" s="436">
        <v>41655</v>
      </c>
      <c r="I845" s="738">
        <v>1845.89</v>
      </c>
      <c r="J845" s="440">
        <f t="shared" si="54"/>
        <v>-1.3471255910580959E-3</v>
      </c>
      <c r="L845" s="436">
        <v>41655</v>
      </c>
      <c r="M845" s="738">
        <v>153.49</v>
      </c>
      <c r="N845" s="115">
        <f t="shared" si="57"/>
        <v>-6.5146579804498117E-5</v>
      </c>
      <c r="O845" s="1121">
        <f t="shared" si="56"/>
        <v>-7.7060468693387009E-5</v>
      </c>
      <c r="P845" s="1122"/>
    </row>
    <row r="846" spans="6:16">
      <c r="F846" s="1121">
        <f t="shared" si="55"/>
        <v>-3.9070539026492346E-3</v>
      </c>
      <c r="G846" s="1122"/>
      <c r="H846" s="436">
        <v>41656</v>
      </c>
      <c r="I846" s="738">
        <v>1838.7</v>
      </c>
      <c r="J846" s="440">
        <f t="shared" si="54"/>
        <v>-3.8951400137603454E-3</v>
      </c>
      <c r="L846" s="436">
        <v>41656</v>
      </c>
      <c r="M846" s="738">
        <v>153.82</v>
      </c>
      <c r="N846" s="115">
        <f t="shared" si="57"/>
        <v>2.14997719721155E-3</v>
      </c>
      <c r="O846" s="1121">
        <f t="shared" si="56"/>
        <v>2.1380633083226612E-3</v>
      </c>
      <c r="P846" s="1122"/>
    </row>
    <row r="847" spans="6:16">
      <c r="F847" s="1121">
        <f t="shared" si="55"/>
        <v>-1.1913888888888887E-5</v>
      </c>
      <c r="G847" s="1122"/>
      <c r="H847" s="436">
        <v>41659</v>
      </c>
      <c r="I847" s="738">
        <v>1838.7</v>
      </c>
      <c r="J847" s="440">
        <f t="shared" si="54"/>
        <v>0</v>
      </c>
      <c r="L847" s="436">
        <v>41659</v>
      </c>
      <c r="M847" s="738">
        <v>153.82</v>
      </c>
      <c r="N847" s="115">
        <f t="shared" si="57"/>
        <v>0</v>
      </c>
      <c r="O847" s="1121">
        <f t="shared" si="56"/>
        <v>-1.1913888888888887E-5</v>
      </c>
      <c r="P847" s="1122"/>
    </row>
    <row r="848" spans="6:16">
      <c r="F848" s="1121">
        <f t="shared" si="55"/>
        <v>2.7617849200521831E-3</v>
      </c>
      <c r="G848" s="1122"/>
      <c r="H848" s="436">
        <v>41660</v>
      </c>
      <c r="I848" s="738">
        <v>1843.8</v>
      </c>
      <c r="J848" s="440">
        <f t="shared" si="54"/>
        <v>2.7736988089410719E-3</v>
      </c>
      <c r="L848" s="436">
        <v>41660</v>
      </c>
      <c r="M848" s="738">
        <v>154.1</v>
      </c>
      <c r="N848" s="115">
        <f t="shared" si="57"/>
        <v>1.8203094526070274E-3</v>
      </c>
      <c r="O848" s="1121">
        <f t="shared" si="56"/>
        <v>1.8083955637181385E-3</v>
      </c>
      <c r="P848" s="1122"/>
    </row>
    <row r="849" spans="6:16">
      <c r="F849" s="1121">
        <f t="shared" si="55"/>
        <v>5.6298577484891561E-4</v>
      </c>
      <c r="G849" s="1122"/>
      <c r="H849" s="436">
        <v>41661</v>
      </c>
      <c r="I849" s="738">
        <v>1844.86</v>
      </c>
      <c r="J849" s="440">
        <f t="shared" si="54"/>
        <v>5.7489966373780454E-4</v>
      </c>
      <c r="L849" s="436">
        <v>41661</v>
      </c>
      <c r="M849" s="738">
        <v>156.65</v>
      </c>
      <c r="N849" s="115">
        <f t="shared" si="57"/>
        <v>1.654769630110331E-2</v>
      </c>
      <c r="O849" s="1121">
        <f t="shared" si="56"/>
        <v>1.6535782412214421E-2</v>
      </c>
      <c r="P849" s="1122"/>
    </row>
    <row r="850" spans="6:16">
      <c r="F850" s="1121">
        <f t="shared" si="55"/>
        <v>-8.9014773245966808E-3</v>
      </c>
      <c r="G850" s="1122"/>
      <c r="H850" s="436">
        <v>41662</v>
      </c>
      <c r="I850" s="738">
        <v>1828.46</v>
      </c>
      <c r="J850" s="440">
        <f t="shared" si="54"/>
        <v>-8.8895634357077924E-3</v>
      </c>
      <c r="L850" s="436">
        <v>41662</v>
      </c>
      <c r="M850" s="738">
        <v>150.49</v>
      </c>
      <c r="N850" s="115">
        <f t="shared" si="57"/>
        <v>-3.9323332269390332E-2</v>
      </c>
      <c r="O850" s="1121">
        <f t="shared" si="56"/>
        <v>-3.933524615827922E-2</v>
      </c>
      <c r="P850" s="1122"/>
    </row>
    <row r="851" spans="6:16">
      <c r="F851" s="1121">
        <f t="shared" si="55"/>
        <v>-2.0887404739112665E-2</v>
      </c>
      <c r="G851" s="1122"/>
      <c r="H851" s="436">
        <v>41663</v>
      </c>
      <c r="I851" s="738">
        <v>1790.29</v>
      </c>
      <c r="J851" s="440">
        <f t="shared" si="54"/>
        <v>-2.0875490850223777E-2</v>
      </c>
      <c r="L851" s="436">
        <v>41663</v>
      </c>
      <c r="M851" s="738">
        <v>147.76</v>
      </c>
      <c r="N851" s="115">
        <f t="shared" si="57"/>
        <v>-1.8140740248521636E-2</v>
      </c>
      <c r="O851" s="1121">
        <f t="shared" si="56"/>
        <v>-1.8152654137410525E-2</v>
      </c>
      <c r="P851" s="1122"/>
    </row>
    <row r="852" spans="6:16">
      <c r="F852" s="1121">
        <f t="shared" si="55"/>
        <v>-4.8882188450691888E-3</v>
      </c>
      <c r="G852" s="1122"/>
      <c r="H852" s="436">
        <v>41666</v>
      </c>
      <c r="I852" s="738">
        <v>1781.56</v>
      </c>
      <c r="J852" s="440">
        <f t="shared" si="54"/>
        <v>-4.8763049561802996E-3</v>
      </c>
      <c r="L852" s="436">
        <v>41666</v>
      </c>
      <c r="M852" s="738">
        <v>147.02000000000001</v>
      </c>
      <c r="N852" s="115">
        <f t="shared" si="57"/>
        <v>-5.0081212777475237E-3</v>
      </c>
      <c r="O852" s="1121">
        <f t="shared" si="56"/>
        <v>-5.020035166636413E-3</v>
      </c>
      <c r="P852" s="1122"/>
    </row>
    <row r="853" spans="6:16">
      <c r="F853" s="1121">
        <f t="shared" si="55"/>
        <v>6.1287718023031934E-3</v>
      </c>
      <c r="G853" s="1122"/>
      <c r="H853" s="436">
        <v>41667</v>
      </c>
      <c r="I853" s="738">
        <v>1792.5</v>
      </c>
      <c r="J853" s="440">
        <f t="shared" si="54"/>
        <v>6.1406856911920826E-3</v>
      </c>
      <c r="L853" s="436">
        <v>41667</v>
      </c>
      <c r="M853" s="738">
        <v>148.28</v>
      </c>
      <c r="N853" s="115">
        <f t="shared" si="57"/>
        <v>8.5702625493129236E-3</v>
      </c>
      <c r="O853" s="1121">
        <f t="shared" si="56"/>
        <v>8.5583486604240352E-3</v>
      </c>
      <c r="P853" s="1122"/>
    </row>
    <row r="854" spans="6:16">
      <c r="F854" s="1121">
        <f t="shared" si="55"/>
        <v>-1.0221118909809375E-2</v>
      </c>
      <c r="G854" s="1122"/>
      <c r="H854" s="436">
        <v>41668</v>
      </c>
      <c r="I854" s="738">
        <v>1774.2</v>
      </c>
      <c r="J854" s="440">
        <f t="shared" si="54"/>
        <v>-1.0209205020920487E-2</v>
      </c>
      <c r="L854" s="436">
        <v>41668</v>
      </c>
      <c r="M854" s="738">
        <v>147.35</v>
      </c>
      <c r="N854" s="115">
        <f t="shared" si="57"/>
        <v>-6.27191799298632E-3</v>
      </c>
      <c r="O854" s="1121">
        <f t="shared" si="56"/>
        <v>-6.2838318818752093E-3</v>
      </c>
      <c r="P854" s="1122"/>
    </row>
    <row r="855" spans="6:16">
      <c r="F855" s="1121">
        <f t="shared" si="55"/>
        <v>1.1255136049111429E-2</v>
      </c>
      <c r="G855" s="1122"/>
      <c r="H855" s="436">
        <v>41669</v>
      </c>
      <c r="I855" s="738">
        <v>1794.19</v>
      </c>
      <c r="J855" s="440">
        <f t="shared" si="54"/>
        <v>1.1267049938000318E-2</v>
      </c>
      <c r="L855" s="436">
        <v>41669</v>
      </c>
      <c r="M855" s="738">
        <v>148.66</v>
      </c>
      <c r="N855" s="115">
        <f t="shared" si="57"/>
        <v>8.8903970139124766E-3</v>
      </c>
      <c r="O855" s="1121">
        <f t="shared" si="56"/>
        <v>8.8784831250235882E-3</v>
      </c>
      <c r="P855" s="1122"/>
    </row>
    <row r="856" spans="6:16">
      <c r="F856" s="1121">
        <f t="shared" si="55"/>
        <v>-6.4772269270844196E-3</v>
      </c>
      <c r="G856" s="1122"/>
      <c r="H856" s="436">
        <v>41670</v>
      </c>
      <c r="I856" s="738">
        <v>1782.59</v>
      </c>
      <c r="J856" s="440">
        <f t="shared" si="54"/>
        <v>-6.4653130381955304E-3</v>
      </c>
      <c r="L856" s="436">
        <v>41670</v>
      </c>
      <c r="M856" s="738">
        <v>150.91</v>
      </c>
      <c r="N856" s="115">
        <f t="shared" si="57"/>
        <v>1.5135207856854516E-2</v>
      </c>
      <c r="O856" s="1121">
        <f t="shared" si="56"/>
        <v>1.5123293967965627E-2</v>
      </c>
      <c r="P856" s="1122"/>
    </row>
    <row r="857" spans="6:16">
      <c r="F857" s="1121">
        <f t="shared" si="55"/>
        <v>-2.2843860662964739E-2</v>
      </c>
      <c r="G857" s="1122"/>
      <c r="H857" s="436">
        <v>41673</v>
      </c>
      <c r="I857" s="738">
        <v>1741.89</v>
      </c>
      <c r="J857" s="440">
        <f t="shared" si="54"/>
        <v>-2.2831946774075851E-2</v>
      </c>
      <c r="L857" s="436">
        <v>41673</v>
      </c>
      <c r="M857" s="738">
        <v>147.74</v>
      </c>
      <c r="N857" s="115">
        <f t="shared" si="57"/>
        <v>-2.1005897554833952E-2</v>
      </c>
      <c r="O857" s="1121">
        <f t="shared" si="56"/>
        <v>-2.1017811443722841E-2</v>
      </c>
      <c r="P857" s="1122"/>
    </row>
    <row r="858" spans="6:16">
      <c r="F858" s="1121">
        <f t="shared" si="55"/>
        <v>7.6292115553125905E-3</v>
      </c>
      <c r="G858" s="1122"/>
      <c r="H858" s="436">
        <v>41674</v>
      </c>
      <c r="I858" s="738">
        <v>1755.2</v>
      </c>
      <c r="J858" s="440">
        <f t="shared" si="54"/>
        <v>7.6411254442014798E-3</v>
      </c>
      <c r="L858" s="436">
        <v>41674</v>
      </c>
      <c r="M858" s="738">
        <v>148.18</v>
      </c>
      <c r="N858" s="115">
        <f t="shared" si="57"/>
        <v>2.9782049546500655E-3</v>
      </c>
      <c r="O858" s="1121">
        <f t="shared" si="56"/>
        <v>2.9662910657611767E-3</v>
      </c>
      <c r="P858" s="1122"/>
    </row>
    <row r="859" spans="6:16">
      <c r="F859" s="1121">
        <f t="shared" si="55"/>
        <v>-2.0401727767648333E-3</v>
      </c>
      <c r="G859" s="1122"/>
      <c r="H859" s="436">
        <v>41675</v>
      </c>
      <c r="I859" s="738">
        <v>1751.64</v>
      </c>
      <c r="J859" s="440">
        <f t="shared" si="54"/>
        <v>-2.0282588878759444E-3</v>
      </c>
      <c r="L859" s="436">
        <v>41675</v>
      </c>
      <c r="M859" s="738">
        <v>150.38999999999999</v>
      </c>
      <c r="N859" s="115">
        <f t="shared" si="57"/>
        <v>1.4914293426913083E-2</v>
      </c>
      <c r="O859" s="1121">
        <f t="shared" si="56"/>
        <v>1.4902379538024195E-2</v>
      </c>
      <c r="P859" s="1122"/>
    </row>
    <row r="860" spans="6:16">
      <c r="F860" s="1121">
        <f t="shared" si="55"/>
        <v>1.2427856840256372E-2</v>
      </c>
      <c r="G860" s="1122"/>
      <c r="H860" s="436">
        <v>41676</v>
      </c>
      <c r="I860" s="738">
        <v>1773.43</v>
      </c>
      <c r="J860" s="440">
        <f t="shared" si="54"/>
        <v>1.2439770729145261E-2</v>
      </c>
      <c r="L860" s="436">
        <v>41676</v>
      </c>
      <c r="M860" s="738">
        <v>151.74</v>
      </c>
      <c r="N860" s="115">
        <f t="shared" si="57"/>
        <v>8.9766606822263562E-3</v>
      </c>
      <c r="O860" s="1121">
        <f t="shared" si="56"/>
        <v>8.9647467933374678E-3</v>
      </c>
      <c r="P860" s="1122"/>
    </row>
    <row r="861" spans="6:16">
      <c r="F861" s="1121">
        <f t="shared" si="55"/>
        <v>1.328999258613394E-2</v>
      </c>
      <c r="G861" s="1122"/>
      <c r="H861" s="436">
        <v>41677</v>
      </c>
      <c r="I861" s="738">
        <v>1797.02</v>
      </c>
      <c r="J861" s="440">
        <f t="shared" ref="J861:J924" si="58">I861/I860-1</f>
        <v>1.3301906475022829E-2</v>
      </c>
      <c r="L861" s="436">
        <v>41677</v>
      </c>
      <c r="M861" s="738">
        <v>155.13</v>
      </c>
      <c r="N861" s="115">
        <f t="shared" si="57"/>
        <v>2.2340846184262464E-2</v>
      </c>
      <c r="O861" s="1121">
        <f t="shared" si="56"/>
        <v>2.2328932295373576E-2</v>
      </c>
      <c r="P861" s="1122"/>
    </row>
    <row r="862" spans="6:16">
      <c r="F862" s="1121">
        <f t="shared" ref="F862:F925" si="59">J862-$I$19</f>
        <v>1.5573507826228609E-3</v>
      </c>
      <c r="G862" s="1122"/>
      <c r="H862" s="436">
        <v>41680</v>
      </c>
      <c r="I862" s="738">
        <v>1799.84</v>
      </c>
      <c r="J862" s="440">
        <f t="shared" si="58"/>
        <v>1.5692646715117498E-3</v>
      </c>
      <c r="L862" s="436">
        <v>41680</v>
      </c>
      <c r="M862" s="738">
        <v>153.97999999999999</v>
      </c>
      <c r="N862" s="115">
        <f t="shared" si="57"/>
        <v>-7.4131373686585622E-3</v>
      </c>
      <c r="O862" s="1121">
        <f t="shared" ref="O862:O925" si="60">N862-$I$19</f>
        <v>-7.4250512575474515E-3</v>
      </c>
      <c r="P862" s="1122"/>
    </row>
    <row r="863" spans="6:16">
      <c r="F863" s="1121">
        <f t="shared" si="59"/>
        <v>1.105018051950301E-2</v>
      </c>
      <c r="G863" s="1122"/>
      <c r="H863" s="436">
        <v>41681</v>
      </c>
      <c r="I863" s="738">
        <v>1819.75</v>
      </c>
      <c r="J863" s="440">
        <f t="shared" si="58"/>
        <v>1.1062094408391898E-2</v>
      </c>
      <c r="L863" s="436">
        <v>41681</v>
      </c>
      <c r="M863" s="738">
        <v>157.56</v>
      </c>
      <c r="N863" s="115">
        <f t="shared" si="57"/>
        <v>2.3249772697752968E-2</v>
      </c>
      <c r="O863" s="1121">
        <f t="shared" si="60"/>
        <v>2.323785880886408E-2</v>
      </c>
      <c r="P863" s="1122"/>
    </row>
    <row r="864" spans="6:16">
      <c r="F864" s="1121">
        <f t="shared" si="59"/>
        <v>-2.8118164544888767E-4</v>
      </c>
      <c r="G864" s="1122"/>
      <c r="H864" s="436">
        <v>41682</v>
      </c>
      <c r="I864" s="738">
        <v>1819.26</v>
      </c>
      <c r="J864" s="440">
        <f t="shared" si="58"/>
        <v>-2.6926775655999879E-4</v>
      </c>
      <c r="L864" s="436">
        <v>41682</v>
      </c>
      <c r="M864" s="738">
        <v>158.91999999999999</v>
      </c>
      <c r="N864" s="115">
        <f t="shared" si="57"/>
        <v>8.6316323940085482E-3</v>
      </c>
      <c r="O864" s="1121">
        <f t="shared" si="60"/>
        <v>8.6197185051196598E-3</v>
      </c>
      <c r="P864" s="1122"/>
    </row>
    <row r="865" spans="6:16">
      <c r="F865" s="1121">
        <f t="shared" si="59"/>
        <v>5.7981407487109815E-3</v>
      </c>
      <c r="G865" s="1122"/>
      <c r="H865" s="436">
        <v>41683</v>
      </c>
      <c r="I865" s="738">
        <v>1829.83</v>
      </c>
      <c r="J865" s="440">
        <f t="shared" si="58"/>
        <v>5.8100546375998707E-3</v>
      </c>
      <c r="L865" s="436">
        <v>41683</v>
      </c>
      <c r="M865" s="738">
        <v>159.80000000000001</v>
      </c>
      <c r="N865" s="115">
        <f t="shared" si="57"/>
        <v>5.5373772967532986E-3</v>
      </c>
      <c r="O865" s="1121">
        <f t="shared" si="60"/>
        <v>5.5254634078644093E-3</v>
      </c>
      <c r="P865" s="1122"/>
    </row>
    <row r="866" spans="6:16">
      <c r="F866" s="1121">
        <f t="shared" si="59"/>
        <v>4.7972760358582145E-3</v>
      </c>
      <c r="G866" s="1122"/>
      <c r="H866" s="436">
        <v>41684</v>
      </c>
      <c r="I866" s="738">
        <v>1838.63</v>
      </c>
      <c r="J866" s="440">
        <f t="shared" si="58"/>
        <v>4.8091899247471037E-3</v>
      </c>
      <c r="L866" s="436">
        <v>41684</v>
      </c>
      <c r="M866" s="738">
        <v>162.88999999999999</v>
      </c>
      <c r="N866" s="115">
        <f t="shared" si="57"/>
        <v>1.9336670838548065E-2</v>
      </c>
      <c r="O866" s="1121">
        <f t="shared" si="60"/>
        <v>1.9324756949659176E-2</v>
      </c>
      <c r="P866" s="1122"/>
    </row>
    <row r="867" spans="6:16">
      <c r="F867" s="1121">
        <f t="shared" si="59"/>
        <v>-1.1913888888888887E-5</v>
      </c>
      <c r="G867" s="1122"/>
      <c r="H867" s="436">
        <v>41687</v>
      </c>
      <c r="I867" s="738">
        <v>1838.63</v>
      </c>
      <c r="J867" s="440">
        <f t="shared" si="58"/>
        <v>0</v>
      </c>
      <c r="L867" s="436">
        <v>41687</v>
      </c>
      <c r="M867" s="738">
        <v>162.88999999999999</v>
      </c>
      <c r="N867" s="115">
        <f t="shared" si="57"/>
        <v>0</v>
      </c>
      <c r="O867" s="1121">
        <f t="shared" si="60"/>
        <v>-1.1913888888888887E-5</v>
      </c>
      <c r="P867" s="1122"/>
    </row>
    <row r="868" spans="6:16">
      <c r="F868" s="1121">
        <f t="shared" si="59"/>
        <v>1.1465573641636843E-3</v>
      </c>
      <c r="G868" s="1122"/>
      <c r="H868" s="436">
        <v>41688</v>
      </c>
      <c r="I868" s="738">
        <v>1840.76</v>
      </c>
      <c r="J868" s="440">
        <f t="shared" si="58"/>
        <v>1.1584712530525731E-3</v>
      </c>
      <c r="L868" s="436">
        <v>41688</v>
      </c>
      <c r="M868" s="738">
        <v>162.69999999999999</v>
      </c>
      <c r="N868" s="115">
        <f t="shared" si="57"/>
        <v>-1.16643133402905E-3</v>
      </c>
      <c r="O868" s="1121">
        <f t="shared" si="60"/>
        <v>-1.1783452229179388E-3</v>
      </c>
      <c r="P868" s="1122"/>
    </row>
    <row r="869" spans="6:16">
      <c r="F869" s="1121">
        <f t="shared" si="59"/>
        <v>-6.5363929084243455E-3</v>
      </c>
      <c r="G869" s="1122"/>
      <c r="H869" s="436">
        <v>41689</v>
      </c>
      <c r="I869" s="738">
        <v>1828.75</v>
      </c>
      <c r="J869" s="440">
        <f t="shared" si="58"/>
        <v>-6.5244790195354563E-3</v>
      </c>
      <c r="L869" s="436">
        <v>41689</v>
      </c>
      <c r="M869" s="738">
        <v>162.65</v>
      </c>
      <c r="N869" s="115">
        <f t="shared" si="57"/>
        <v>-3.0731407498452157E-4</v>
      </c>
      <c r="O869" s="1121">
        <f t="shared" si="60"/>
        <v>-3.1922796387341045E-4</v>
      </c>
      <c r="P869" s="1122"/>
    </row>
    <row r="870" spans="6:16">
      <c r="F870" s="1121">
        <f t="shared" si="59"/>
        <v>6.0195283530796095E-3</v>
      </c>
      <c r="G870" s="1122"/>
      <c r="H870" s="436">
        <v>41690</v>
      </c>
      <c r="I870" s="738">
        <v>1839.78</v>
      </c>
      <c r="J870" s="440">
        <f t="shared" si="58"/>
        <v>6.0314422419684988E-3</v>
      </c>
      <c r="L870" s="436">
        <v>41690</v>
      </c>
      <c r="M870" s="738">
        <v>164.27</v>
      </c>
      <c r="N870" s="115">
        <f t="shared" si="57"/>
        <v>9.9600368890255808E-3</v>
      </c>
      <c r="O870" s="1121">
        <f t="shared" si="60"/>
        <v>9.9481230001366924E-3</v>
      </c>
      <c r="P870" s="1122"/>
    </row>
    <row r="871" spans="6:16">
      <c r="F871" s="1121">
        <f t="shared" si="59"/>
        <v>-1.9306215604583195E-3</v>
      </c>
      <c r="G871" s="1122"/>
      <c r="H871" s="436">
        <v>41691</v>
      </c>
      <c r="I871" s="738">
        <v>1836.25</v>
      </c>
      <c r="J871" s="440">
        <f t="shared" si="58"/>
        <v>-1.9187076715694307E-3</v>
      </c>
      <c r="L871" s="436">
        <v>41691</v>
      </c>
      <c r="M871" s="738">
        <v>164.33</v>
      </c>
      <c r="N871" s="115">
        <f t="shared" si="57"/>
        <v>3.6525232848361178E-4</v>
      </c>
      <c r="O871" s="1121">
        <f t="shared" si="60"/>
        <v>3.533384395947229E-4</v>
      </c>
      <c r="P871" s="1122"/>
    </row>
    <row r="872" spans="6:16">
      <c r="F872" s="1121">
        <f t="shared" si="59"/>
        <v>6.1746075542695655E-3</v>
      </c>
      <c r="G872" s="1122"/>
      <c r="H872" s="436">
        <v>41694</v>
      </c>
      <c r="I872" s="738">
        <v>1847.61</v>
      </c>
      <c r="J872" s="440">
        <f t="shared" si="58"/>
        <v>6.1865214431584548E-3</v>
      </c>
      <c r="L872" s="436">
        <v>41694</v>
      </c>
      <c r="M872" s="738">
        <v>166.14</v>
      </c>
      <c r="N872" s="115">
        <f t="shared" si="57"/>
        <v>1.1014422199232987E-2</v>
      </c>
      <c r="O872" s="1121">
        <f t="shared" si="60"/>
        <v>1.1002508310344099E-2</v>
      </c>
      <c r="P872" s="1122"/>
    </row>
    <row r="873" spans="6:16">
      <c r="F873" s="1121">
        <f t="shared" si="59"/>
        <v>-1.3596009007582695E-3</v>
      </c>
      <c r="G873" s="1122"/>
      <c r="H873" s="436">
        <v>41695</v>
      </c>
      <c r="I873" s="738">
        <v>1845.12</v>
      </c>
      <c r="J873" s="440">
        <f t="shared" si="58"/>
        <v>-1.3476870118693807E-3</v>
      </c>
      <c r="L873" s="436">
        <v>41695</v>
      </c>
      <c r="M873" s="738">
        <v>163.61000000000001</v>
      </c>
      <c r="N873" s="115">
        <f t="shared" si="57"/>
        <v>-1.5228120861923489E-2</v>
      </c>
      <c r="O873" s="1121">
        <f t="shared" si="60"/>
        <v>-1.5240034750812377E-2</v>
      </c>
      <c r="P873" s="1122"/>
    </row>
    <row r="874" spans="6:16">
      <c r="F874" s="1121">
        <f t="shared" si="59"/>
        <v>9.7649179097084625E-6</v>
      </c>
      <c r="G874" s="1122"/>
      <c r="H874" s="436">
        <v>41696</v>
      </c>
      <c r="I874" s="738">
        <v>1845.16</v>
      </c>
      <c r="J874" s="440">
        <f t="shared" si="58"/>
        <v>2.167880679859735E-5</v>
      </c>
      <c r="L874" s="436">
        <v>41696</v>
      </c>
      <c r="M874" s="738">
        <v>160.83000000000001</v>
      </c>
      <c r="N874" s="115">
        <f t="shared" si="57"/>
        <v>-1.6991626428702444E-2</v>
      </c>
      <c r="O874" s="1121">
        <f t="shared" si="60"/>
        <v>-1.7003540317591333E-2</v>
      </c>
      <c r="P874" s="1122"/>
    </row>
    <row r="875" spans="6:16">
      <c r="F875" s="1121">
        <f t="shared" si="59"/>
        <v>4.93616649438399E-3</v>
      </c>
      <c r="G875" s="1122"/>
      <c r="H875" s="436">
        <v>41697</v>
      </c>
      <c r="I875" s="738">
        <v>1854.29</v>
      </c>
      <c r="J875" s="440">
        <f t="shared" si="58"/>
        <v>4.9480803832728792E-3</v>
      </c>
      <c r="L875" s="436">
        <v>41697</v>
      </c>
      <c r="M875" s="738">
        <v>161.44</v>
      </c>
      <c r="N875" s="115">
        <f t="shared" si="57"/>
        <v>3.7928247217557942E-3</v>
      </c>
      <c r="O875" s="1121">
        <f t="shared" si="60"/>
        <v>3.7809108328669054E-3</v>
      </c>
      <c r="P875" s="1122"/>
    </row>
    <row r="876" spans="6:16">
      <c r="F876" s="1121">
        <f t="shared" si="59"/>
        <v>2.770822360565021E-3</v>
      </c>
      <c r="G876" s="1122"/>
      <c r="H876" s="436">
        <v>41698</v>
      </c>
      <c r="I876" s="738">
        <v>1859.45</v>
      </c>
      <c r="J876" s="440">
        <f t="shared" si="58"/>
        <v>2.7827362494539098E-3</v>
      </c>
      <c r="L876" s="436">
        <v>41698</v>
      </c>
      <c r="M876" s="738">
        <v>162.30000000000001</v>
      </c>
      <c r="N876" s="115">
        <f t="shared" si="57"/>
        <v>5.3270564915759433E-3</v>
      </c>
      <c r="O876" s="1121">
        <f t="shared" si="60"/>
        <v>5.315142602687054E-3</v>
      </c>
      <c r="P876" s="1122"/>
    </row>
    <row r="877" spans="6:16">
      <c r="F877" s="1121">
        <f t="shared" si="59"/>
        <v>-7.3904397970875413E-3</v>
      </c>
      <c r="G877" s="1122"/>
      <c r="H877" s="436">
        <v>41701</v>
      </c>
      <c r="I877" s="738">
        <v>1845.73</v>
      </c>
      <c r="J877" s="440">
        <f t="shared" si="58"/>
        <v>-7.3785259081986521E-3</v>
      </c>
      <c r="L877" s="436">
        <v>41701</v>
      </c>
      <c r="M877" s="738">
        <v>163.55000000000001</v>
      </c>
      <c r="N877" s="115">
        <f t="shared" si="57"/>
        <v>7.701786814541034E-3</v>
      </c>
      <c r="O877" s="1121">
        <f t="shared" si="60"/>
        <v>7.6898729256521447E-3</v>
      </c>
      <c r="P877" s="1122"/>
    </row>
    <row r="878" spans="6:16">
      <c r="F878" s="1121">
        <f t="shared" si="59"/>
        <v>1.5255757980777822E-2</v>
      </c>
      <c r="G878" s="1122"/>
      <c r="H878" s="436">
        <v>41702</v>
      </c>
      <c r="I878" s="738">
        <v>1873.91</v>
      </c>
      <c r="J878" s="440">
        <f t="shared" si="58"/>
        <v>1.526767186966671E-2</v>
      </c>
      <c r="L878" s="436">
        <v>41702</v>
      </c>
      <c r="M878" s="738">
        <v>165.64</v>
      </c>
      <c r="N878" s="115">
        <f t="shared" si="57"/>
        <v>1.2778966676857184E-2</v>
      </c>
      <c r="O878" s="1121">
        <f t="shared" si="60"/>
        <v>1.2767052787968296E-2</v>
      </c>
      <c r="P878" s="1122"/>
    </row>
    <row r="879" spans="6:16">
      <c r="F879" s="1121">
        <f t="shared" si="59"/>
        <v>-6.5278244701157619E-5</v>
      </c>
      <c r="G879" s="1122"/>
      <c r="H879" s="436">
        <v>41703</v>
      </c>
      <c r="I879" s="738">
        <v>1873.81</v>
      </c>
      <c r="J879" s="440">
        <f t="shared" si="58"/>
        <v>-5.3364355812268727E-5</v>
      </c>
      <c r="L879" s="436">
        <v>41703</v>
      </c>
      <c r="M879" s="738">
        <v>166.82</v>
      </c>
      <c r="N879" s="115">
        <f t="shared" si="57"/>
        <v>7.1238831200193253E-3</v>
      </c>
      <c r="O879" s="1121">
        <f t="shared" si="60"/>
        <v>7.1119692311304361E-3</v>
      </c>
      <c r="P879" s="1122"/>
    </row>
    <row r="880" spans="6:16">
      <c r="F880" s="1121">
        <f t="shared" si="59"/>
        <v>1.7065100708509788E-3</v>
      </c>
      <c r="G880" s="1122"/>
      <c r="H880" s="436">
        <v>41704</v>
      </c>
      <c r="I880" s="738">
        <v>1877.03</v>
      </c>
      <c r="J880" s="440">
        <f t="shared" si="58"/>
        <v>1.7184239597398676E-3</v>
      </c>
      <c r="L880" s="436">
        <v>41704</v>
      </c>
      <c r="M880" s="738">
        <v>166.84</v>
      </c>
      <c r="N880" s="115">
        <f t="shared" si="57"/>
        <v>1.198897014746958E-4</v>
      </c>
      <c r="O880" s="1121">
        <f t="shared" si="60"/>
        <v>1.0797581258580691E-4</v>
      </c>
      <c r="P880" s="1122"/>
    </row>
    <row r="881" spans="6:16">
      <c r="F881" s="1121">
        <f t="shared" si="59"/>
        <v>5.2617021205791177E-4</v>
      </c>
      <c r="G881" s="1122"/>
      <c r="H881" s="436">
        <v>41705</v>
      </c>
      <c r="I881" s="738">
        <v>1878.04</v>
      </c>
      <c r="J881" s="440">
        <f t="shared" si="58"/>
        <v>5.380841009468007E-4</v>
      </c>
      <c r="L881" s="436">
        <v>41705</v>
      </c>
      <c r="M881" s="738">
        <v>166.57</v>
      </c>
      <c r="N881" s="115">
        <f t="shared" ref="N881:N944" si="61">M881/M880-1</f>
        <v>-1.6183169503716233E-3</v>
      </c>
      <c r="O881" s="1121">
        <f t="shared" si="60"/>
        <v>-1.6302308392605121E-3</v>
      </c>
      <c r="P881" s="1122"/>
    </row>
    <row r="882" spans="6:16">
      <c r="F882" s="1121">
        <f t="shared" si="59"/>
        <v>-4.7516280797466802E-4</v>
      </c>
      <c r="G882" s="1122"/>
      <c r="H882" s="436">
        <v>41708</v>
      </c>
      <c r="I882" s="738">
        <v>1877.17</v>
      </c>
      <c r="J882" s="440">
        <f t="shared" si="58"/>
        <v>-4.6324891908577914E-4</v>
      </c>
      <c r="L882" s="436">
        <v>41708</v>
      </c>
      <c r="M882" s="738">
        <v>165.48</v>
      </c>
      <c r="N882" s="115">
        <f t="shared" si="61"/>
        <v>-6.5437954013327637E-3</v>
      </c>
      <c r="O882" s="1121">
        <f t="shared" si="60"/>
        <v>-6.555709290221653E-3</v>
      </c>
      <c r="P882" s="1122"/>
    </row>
    <row r="883" spans="6:16">
      <c r="F883" s="1121">
        <f t="shared" si="59"/>
        <v>-5.0940321839819747E-3</v>
      </c>
      <c r="G883" s="1122"/>
      <c r="H883" s="436">
        <v>41709</v>
      </c>
      <c r="I883" s="738">
        <v>1867.63</v>
      </c>
      <c r="J883" s="440">
        <f t="shared" si="58"/>
        <v>-5.0821182950930854E-3</v>
      </c>
      <c r="L883" s="436">
        <v>41709</v>
      </c>
      <c r="M883" s="738">
        <v>163.80000000000001</v>
      </c>
      <c r="N883" s="115">
        <f t="shared" si="61"/>
        <v>-1.015228426395931E-2</v>
      </c>
      <c r="O883" s="1121">
        <f t="shared" si="60"/>
        <v>-1.0164198152848199E-2</v>
      </c>
      <c r="P883" s="1122"/>
    </row>
    <row r="884" spans="6:16">
      <c r="F884" s="1121">
        <f t="shared" si="59"/>
        <v>2.9328574915498485E-4</v>
      </c>
      <c r="G884" s="1122"/>
      <c r="H884" s="436">
        <v>41710</v>
      </c>
      <c r="I884" s="738">
        <v>1868.2</v>
      </c>
      <c r="J884" s="440">
        <f t="shared" si="58"/>
        <v>3.0519963804387373E-4</v>
      </c>
      <c r="L884" s="436">
        <v>41710</v>
      </c>
      <c r="M884" s="738">
        <v>163.86</v>
      </c>
      <c r="N884" s="115">
        <f t="shared" si="61"/>
        <v>3.66300366300365E-4</v>
      </c>
      <c r="O884" s="1121">
        <f t="shared" si="60"/>
        <v>3.5438647741147612E-4</v>
      </c>
      <c r="P884" s="1122"/>
    </row>
    <row r="885" spans="6:16">
      <c r="F885" s="1121">
        <f t="shared" si="59"/>
        <v>-1.1713016554556484E-2</v>
      </c>
      <c r="G885" s="1122"/>
      <c r="H885" s="436">
        <v>41711</v>
      </c>
      <c r="I885" s="738">
        <v>1846.34</v>
      </c>
      <c r="J885" s="440">
        <f t="shared" si="58"/>
        <v>-1.1701102665667595E-2</v>
      </c>
      <c r="L885" s="436">
        <v>41711</v>
      </c>
      <c r="M885" s="738">
        <v>162.83000000000001</v>
      </c>
      <c r="N885" s="115">
        <f t="shared" si="61"/>
        <v>-6.2858537776150358E-3</v>
      </c>
      <c r="O885" s="1121">
        <f t="shared" si="60"/>
        <v>-6.2977676665039251E-3</v>
      </c>
      <c r="P885" s="1122"/>
    </row>
    <row r="886" spans="6:16">
      <c r="F886" s="1121">
        <f t="shared" si="59"/>
        <v>-2.8337126908428785E-3</v>
      </c>
      <c r="G886" s="1122"/>
      <c r="H886" s="436">
        <v>41712</v>
      </c>
      <c r="I886" s="738">
        <v>1841.13</v>
      </c>
      <c r="J886" s="440">
        <f t="shared" si="58"/>
        <v>-2.8217988019539897E-3</v>
      </c>
      <c r="L886" s="436">
        <v>41712</v>
      </c>
      <c r="M886" s="738">
        <v>162.41999999999999</v>
      </c>
      <c r="N886" s="115">
        <f t="shared" si="61"/>
        <v>-2.5179635202360329E-3</v>
      </c>
      <c r="O886" s="1121">
        <f t="shared" si="60"/>
        <v>-2.5298774091249217E-3</v>
      </c>
      <c r="P886" s="1122"/>
    </row>
    <row r="887" spans="6:16">
      <c r="F887" s="1121">
        <f t="shared" si="59"/>
        <v>9.6017472865846873E-3</v>
      </c>
      <c r="G887" s="1122"/>
      <c r="H887" s="436">
        <v>41715</v>
      </c>
      <c r="I887" s="738">
        <v>1858.83</v>
      </c>
      <c r="J887" s="440">
        <f t="shared" si="58"/>
        <v>9.6136611754735757E-3</v>
      </c>
      <c r="L887" s="436">
        <v>41715</v>
      </c>
      <c r="M887" s="738">
        <v>164.07</v>
      </c>
      <c r="N887" s="115">
        <f t="shared" si="61"/>
        <v>1.0158847432582219E-2</v>
      </c>
      <c r="O887" s="1121">
        <f t="shared" si="60"/>
        <v>1.014693354369333E-2</v>
      </c>
      <c r="P887" s="1122"/>
    </row>
    <row r="888" spans="6:16">
      <c r="F888" s="1121">
        <f t="shared" si="59"/>
        <v>7.2076812327735917E-3</v>
      </c>
      <c r="G888" s="1122"/>
      <c r="H888" s="436">
        <v>41716</v>
      </c>
      <c r="I888" s="738">
        <v>1872.25</v>
      </c>
      <c r="J888" s="440">
        <f t="shared" si="58"/>
        <v>7.219595121662481E-3</v>
      </c>
      <c r="L888" s="436">
        <v>41716</v>
      </c>
      <c r="M888" s="738">
        <v>163.98</v>
      </c>
      <c r="N888" s="115">
        <f t="shared" si="61"/>
        <v>-5.4854635216683434E-4</v>
      </c>
      <c r="O888" s="1121">
        <f t="shared" si="60"/>
        <v>-5.6046024105572327E-4</v>
      </c>
      <c r="P888" s="1122"/>
    </row>
    <row r="889" spans="6:16">
      <c r="F889" s="1121">
        <f t="shared" si="59"/>
        <v>-6.1435736565481703E-3</v>
      </c>
      <c r="G889" s="1122"/>
      <c r="H889" s="436">
        <v>41717</v>
      </c>
      <c r="I889" s="738">
        <v>1860.77</v>
      </c>
      <c r="J889" s="440">
        <f t="shared" si="58"/>
        <v>-6.131659767659281E-3</v>
      </c>
      <c r="L889" s="436">
        <v>41717</v>
      </c>
      <c r="M889" s="738">
        <v>160.9</v>
      </c>
      <c r="N889" s="115">
        <f t="shared" si="61"/>
        <v>-1.8782778387608112E-2</v>
      </c>
      <c r="O889" s="1121">
        <f t="shared" si="60"/>
        <v>-1.8794692276497001E-2</v>
      </c>
      <c r="P889" s="1122"/>
    </row>
    <row r="890" spans="6:16">
      <c r="F890" s="1121">
        <f t="shared" si="59"/>
        <v>6.0285962225167166E-3</v>
      </c>
      <c r="G890" s="1122"/>
      <c r="H890" s="436">
        <v>41718</v>
      </c>
      <c r="I890" s="738">
        <v>1872.01</v>
      </c>
      <c r="J890" s="440">
        <f t="shared" si="58"/>
        <v>6.0405101114056059E-3</v>
      </c>
      <c r="L890" s="436">
        <v>41718</v>
      </c>
      <c r="M890" s="738">
        <v>159.93</v>
      </c>
      <c r="N890" s="115">
        <f t="shared" si="61"/>
        <v>-6.0285891858297136E-3</v>
      </c>
      <c r="O890" s="1121">
        <f t="shared" si="60"/>
        <v>-6.0405030747186029E-3</v>
      </c>
      <c r="P890" s="1122"/>
    </row>
    <row r="891" spans="6:16">
      <c r="F891" s="1121">
        <f t="shared" si="59"/>
        <v>-2.9445905305735061E-3</v>
      </c>
      <c r="G891" s="1122"/>
      <c r="H891" s="436">
        <v>41719</v>
      </c>
      <c r="I891" s="738">
        <v>1866.52</v>
      </c>
      <c r="J891" s="440">
        <f t="shared" si="58"/>
        <v>-2.9326766416846173E-3</v>
      </c>
      <c r="L891" s="436">
        <v>41719</v>
      </c>
      <c r="M891" s="738">
        <v>157.4</v>
      </c>
      <c r="N891" s="115">
        <f t="shared" si="61"/>
        <v>-1.5819420996686095E-2</v>
      </c>
      <c r="O891" s="1121">
        <f t="shared" si="60"/>
        <v>-1.5831334885574984E-2</v>
      </c>
      <c r="P891" s="1122"/>
    </row>
    <row r="892" spans="6:16">
      <c r="F892" s="1121">
        <f t="shared" si="59"/>
        <v>-4.8765818270839556E-3</v>
      </c>
      <c r="G892" s="1122"/>
      <c r="H892" s="436">
        <v>41722</v>
      </c>
      <c r="I892" s="738">
        <v>1857.44</v>
      </c>
      <c r="J892" s="440">
        <f t="shared" si="58"/>
        <v>-4.8646679381950664E-3</v>
      </c>
      <c r="L892" s="436">
        <v>41722</v>
      </c>
      <c r="M892" s="738">
        <v>158.19</v>
      </c>
      <c r="N892" s="115">
        <f t="shared" si="61"/>
        <v>5.0190597204573528E-3</v>
      </c>
      <c r="O892" s="1121">
        <f t="shared" si="60"/>
        <v>5.0071458315684636E-3</v>
      </c>
      <c r="P892" s="1122"/>
    </row>
    <row r="893" spans="6:16">
      <c r="F893" s="1121">
        <f t="shared" si="59"/>
        <v>4.3919968700049028E-3</v>
      </c>
      <c r="G893" s="1122"/>
      <c r="H893" s="436">
        <v>41723</v>
      </c>
      <c r="I893" s="738">
        <v>1865.62</v>
      </c>
      <c r="J893" s="440">
        <f t="shared" si="58"/>
        <v>4.403910758893792E-3</v>
      </c>
      <c r="L893" s="436">
        <v>41723</v>
      </c>
      <c r="M893" s="738">
        <v>160.57</v>
      </c>
      <c r="N893" s="115">
        <f t="shared" si="61"/>
        <v>1.5045198811555638E-2</v>
      </c>
      <c r="O893" s="1121">
        <f t="shared" si="60"/>
        <v>1.5033284922666749E-2</v>
      </c>
      <c r="P893" s="1122"/>
    </row>
    <row r="894" spans="6:16">
      <c r="F894" s="1121">
        <f t="shared" si="59"/>
        <v>-7.0122676586812449E-3</v>
      </c>
      <c r="G894" s="1122"/>
      <c r="H894" s="436">
        <v>41724</v>
      </c>
      <c r="I894" s="738">
        <v>1852.56</v>
      </c>
      <c r="J894" s="440">
        <f t="shared" si="58"/>
        <v>-7.0003537697923557E-3</v>
      </c>
      <c r="L894" s="436">
        <v>41724</v>
      </c>
      <c r="M894" s="738">
        <v>159.63999999999999</v>
      </c>
      <c r="N894" s="115">
        <f t="shared" si="61"/>
        <v>-5.7918664756804183E-3</v>
      </c>
      <c r="O894" s="1121">
        <f t="shared" si="60"/>
        <v>-5.8037803645693076E-3</v>
      </c>
      <c r="P894" s="1122"/>
    </row>
    <row r="895" spans="6:16">
      <c r="F895" s="1121">
        <f t="shared" si="59"/>
        <v>-1.9119873008161055E-3</v>
      </c>
      <c r="G895" s="1122"/>
      <c r="H895" s="436">
        <v>41725</v>
      </c>
      <c r="I895" s="738">
        <v>1849.04</v>
      </c>
      <c r="J895" s="440">
        <f t="shared" si="58"/>
        <v>-1.9000734119272167E-3</v>
      </c>
      <c r="L895" s="436">
        <v>41725</v>
      </c>
      <c r="M895" s="738">
        <v>158.88</v>
      </c>
      <c r="N895" s="115">
        <f t="shared" si="61"/>
        <v>-4.7607116011024742E-3</v>
      </c>
      <c r="O895" s="1121">
        <f t="shared" si="60"/>
        <v>-4.7726254899913634E-3</v>
      </c>
      <c r="P895" s="1122"/>
    </row>
    <row r="896" spans="6:16">
      <c r="F896" s="1121">
        <f t="shared" si="59"/>
        <v>4.6283318602565659E-3</v>
      </c>
      <c r="G896" s="1122"/>
      <c r="H896" s="436">
        <v>41726</v>
      </c>
      <c r="I896" s="738">
        <v>1857.62</v>
      </c>
      <c r="J896" s="440">
        <f t="shared" si="58"/>
        <v>4.6402457491454552E-3</v>
      </c>
      <c r="L896" s="436">
        <v>41726</v>
      </c>
      <c r="M896" s="738">
        <v>160.54</v>
      </c>
      <c r="N896" s="115">
        <f t="shared" si="61"/>
        <v>1.0448136958711052E-2</v>
      </c>
      <c r="O896" s="1121">
        <f t="shared" si="60"/>
        <v>1.0436223069822163E-2</v>
      </c>
      <c r="P896" s="1122"/>
    </row>
    <row r="897" spans="6:16">
      <c r="F897" s="1121">
        <f t="shared" si="59"/>
        <v>7.9122040684974568E-3</v>
      </c>
      <c r="G897" s="1122"/>
      <c r="H897" s="436">
        <v>41729</v>
      </c>
      <c r="I897" s="738">
        <v>1872.34</v>
      </c>
      <c r="J897" s="440">
        <f t="shared" si="58"/>
        <v>7.9241179573863452E-3</v>
      </c>
      <c r="L897" s="436">
        <v>41729</v>
      </c>
      <c r="M897" s="738">
        <v>163.24</v>
      </c>
      <c r="N897" s="115">
        <f t="shared" si="61"/>
        <v>1.6818238445247324E-2</v>
      </c>
      <c r="O897" s="1121">
        <f t="shared" si="60"/>
        <v>1.6806324556358436E-2</v>
      </c>
      <c r="P897" s="1122"/>
    </row>
    <row r="898" spans="6:16">
      <c r="F898" s="1121">
        <f t="shared" si="59"/>
        <v>7.0274058927747218E-3</v>
      </c>
      <c r="G898" s="1122"/>
      <c r="H898" s="436">
        <v>41730</v>
      </c>
      <c r="I898" s="738">
        <v>1885.52</v>
      </c>
      <c r="J898" s="440">
        <f t="shared" si="58"/>
        <v>7.0393197816636111E-3</v>
      </c>
      <c r="L898" s="436">
        <v>41730</v>
      </c>
      <c r="M898" s="738">
        <v>163.71</v>
      </c>
      <c r="N898" s="115">
        <f t="shared" si="61"/>
        <v>2.8791962754226574E-3</v>
      </c>
      <c r="O898" s="1121">
        <f t="shared" si="60"/>
        <v>2.8672823865337686E-3</v>
      </c>
      <c r="P898" s="1122"/>
    </row>
    <row r="899" spans="6:16">
      <c r="F899" s="1121">
        <f t="shared" si="59"/>
        <v>2.8414103930068861E-3</v>
      </c>
      <c r="G899" s="1122"/>
      <c r="H899" s="436">
        <v>41731</v>
      </c>
      <c r="I899" s="738">
        <v>1890.9</v>
      </c>
      <c r="J899" s="440">
        <f t="shared" si="58"/>
        <v>2.8533242818957749E-3</v>
      </c>
      <c r="L899" s="436">
        <v>41731</v>
      </c>
      <c r="M899" s="738">
        <v>164.7</v>
      </c>
      <c r="N899" s="115">
        <f t="shared" si="61"/>
        <v>6.0472787245737791E-3</v>
      </c>
      <c r="O899" s="1121">
        <f t="shared" si="60"/>
        <v>6.0353648356848899E-3</v>
      </c>
      <c r="P899" s="1122"/>
    </row>
    <row r="900" spans="6:16">
      <c r="F900" s="1121">
        <f t="shared" si="59"/>
        <v>-1.1383616121952785E-3</v>
      </c>
      <c r="G900" s="1122"/>
      <c r="H900" s="436">
        <v>41732</v>
      </c>
      <c r="I900" s="738">
        <v>1888.77</v>
      </c>
      <c r="J900" s="440">
        <f t="shared" si="58"/>
        <v>-1.1264477233063896E-3</v>
      </c>
      <c r="L900" s="436">
        <v>41732</v>
      </c>
      <c r="M900" s="738">
        <v>163.75</v>
      </c>
      <c r="N900" s="115">
        <f t="shared" si="61"/>
        <v>-5.7680631451122455E-3</v>
      </c>
      <c r="O900" s="1121">
        <f t="shared" si="60"/>
        <v>-5.7799770340011348E-3</v>
      </c>
      <c r="P900" s="1122"/>
    </row>
    <row r="901" spans="6:16">
      <c r="F901" s="1121">
        <f t="shared" si="59"/>
        <v>-1.254917358699937E-2</v>
      </c>
      <c r="G901" s="1122"/>
      <c r="H901" s="436">
        <v>41733</v>
      </c>
      <c r="I901" s="738">
        <v>1865.09</v>
      </c>
      <c r="J901" s="440">
        <f t="shared" si="58"/>
        <v>-1.2537259698110481E-2</v>
      </c>
      <c r="L901" s="436">
        <v>41733</v>
      </c>
      <c r="M901" s="738">
        <v>159.61000000000001</v>
      </c>
      <c r="N901" s="115">
        <f t="shared" si="61"/>
        <v>-2.5282442748091549E-2</v>
      </c>
      <c r="O901" s="1121">
        <f t="shared" si="60"/>
        <v>-2.5294356636980438E-2</v>
      </c>
      <c r="P901" s="1122"/>
    </row>
    <row r="902" spans="6:16">
      <c r="F902" s="1121">
        <f t="shared" si="59"/>
        <v>-1.0762065356110247E-2</v>
      </c>
      <c r="G902" s="1122"/>
      <c r="H902" s="436">
        <v>41736</v>
      </c>
      <c r="I902" s="738">
        <v>1845.04</v>
      </c>
      <c r="J902" s="440">
        <f t="shared" si="58"/>
        <v>-1.0750151467221358E-2</v>
      </c>
      <c r="L902" s="436">
        <v>41736</v>
      </c>
      <c r="M902" s="738">
        <v>157.74</v>
      </c>
      <c r="N902" s="115">
        <f t="shared" si="61"/>
        <v>-1.1716057891109632E-2</v>
      </c>
      <c r="O902" s="1121">
        <f t="shared" si="60"/>
        <v>-1.1727971779998521E-2</v>
      </c>
      <c r="P902" s="1122"/>
    </row>
    <row r="903" spans="6:16">
      <c r="F903" s="1121">
        <f t="shared" si="59"/>
        <v>3.7386823041475263E-3</v>
      </c>
      <c r="G903" s="1122"/>
      <c r="H903" s="436">
        <v>41737</v>
      </c>
      <c r="I903" s="738">
        <v>1851.96</v>
      </c>
      <c r="J903" s="440">
        <f t="shared" si="58"/>
        <v>3.7505961930364151E-3</v>
      </c>
      <c r="L903" s="436">
        <v>41737</v>
      </c>
      <c r="M903" s="738">
        <v>156.65</v>
      </c>
      <c r="N903" s="115">
        <f t="shared" si="61"/>
        <v>-6.9101052364650695E-3</v>
      </c>
      <c r="O903" s="1121">
        <f t="shared" si="60"/>
        <v>-6.9220191253539587E-3</v>
      </c>
      <c r="P903" s="1122"/>
    </row>
    <row r="904" spans="6:16">
      <c r="F904" s="1121">
        <f t="shared" si="59"/>
        <v>1.0906248490428198E-2</v>
      </c>
      <c r="G904" s="1122"/>
      <c r="H904" s="436">
        <v>41738</v>
      </c>
      <c r="I904" s="738">
        <v>1872.18</v>
      </c>
      <c r="J904" s="440">
        <f t="shared" si="58"/>
        <v>1.0918162379317087E-2</v>
      </c>
      <c r="L904" s="436">
        <v>41738</v>
      </c>
      <c r="M904" s="738">
        <v>158.83000000000001</v>
      </c>
      <c r="N904" s="115">
        <f t="shared" si="61"/>
        <v>1.3916374082349137E-2</v>
      </c>
      <c r="O904" s="1121">
        <f t="shared" si="60"/>
        <v>1.3904460193460248E-2</v>
      </c>
      <c r="P904" s="1122"/>
    </row>
    <row r="905" spans="6:16">
      <c r="F905" s="1121">
        <f t="shared" si="59"/>
        <v>-2.0896657877180654E-2</v>
      </c>
      <c r="G905" s="1122"/>
      <c r="H905" s="436">
        <v>41739</v>
      </c>
      <c r="I905" s="738">
        <v>1833.08</v>
      </c>
      <c r="J905" s="440">
        <f t="shared" si="58"/>
        <v>-2.0884743988291765E-2</v>
      </c>
      <c r="L905" s="436">
        <v>41739</v>
      </c>
      <c r="M905" s="738">
        <v>155.43</v>
      </c>
      <c r="N905" s="115">
        <f t="shared" si="61"/>
        <v>-2.140653528930303E-2</v>
      </c>
      <c r="O905" s="1121">
        <f t="shared" si="60"/>
        <v>-2.1418449178191919E-2</v>
      </c>
      <c r="P905" s="1122"/>
    </row>
    <row r="906" spans="6:16">
      <c r="F906" s="1121">
        <f t="shared" si="59"/>
        <v>-9.4986793328411048E-3</v>
      </c>
      <c r="G906" s="1122"/>
      <c r="H906" s="436">
        <v>41740</v>
      </c>
      <c r="I906" s="738">
        <v>1815.69</v>
      </c>
      <c r="J906" s="440">
        <f t="shared" si="58"/>
        <v>-9.4867654439522164E-3</v>
      </c>
      <c r="L906" s="436">
        <v>41740</v>
      </c>
      <c r="M906" s="738">
        <v>153.82</v>
      </c>
      <c r="N906" s="115">
        <f t="shared" si="61"/>
        <v>-1.0358360676832157E-2</v>
      </c>
      <c r="O906" s="1121">
        <f t="shared" si="60"/>
        <v>-1.0370274565721045E-2</v>
      </c>
      <c r="P906" s="1122"/>
    </row>
    <row r="907" spans="6:16">
      <c r="F907" s="1121">
        <f t="shared" si="59"/>
        <v>8.2053478683493594E-3</v>
      </c>
      <c r="G907" s="1122"/>
      <c r="H907" s="436">
        <v>41743</v>
      </c>
      <c r="I907" s="738">
        <v>1830.61</v>
      </c>
      <c r="J907" s="440">
        <f t="shared" si="58"/>
        <v>8.2172617572382478E-3</v>
      </c>
      <c r="L907" s="436">
        <v>41743</v>
      </c>
      <c r="M907" s="738">
        <v>155.82</v>
      </c>
      <c r="N907" s="115">
        <f t="shared" si="61"/>
        <v>1.3002210375763879E-2</v>
      </c>
      <c r="O907" s="1121">
        <f t="shared" si="60"/>
        <v>1.299029648687499E-2</v>
      </c>
      <c r="P907" s="1122"/>
    </row>
    <row r="908" spans="6:16">
      <c r="F908" s="1121">
        <f t="shared" si="59"/>
        <v>6.7453965158396001E-3</v>
      </c>
      <c r="G908" s="1122"/>
      <c r="H908" s="436">
        <v>41744</v>
      </c>
      <c r="I908" s="738">
        <v>1842.98</v>
      </c>
      <c r="J908" s="440">
        <f t="shared" si="58"/>
        <v>6.7573104047284893E-3</v>
      </c>
      <c r="L908" s="436">
        <v>41744</v>
      </c>
      <c r="M908" s="738">
        <v>157.38999999999999</v>
      </c>
      <c r="N908" s="115">
        <f t="shared" si="61"/>
        <v>1.0075728404569384E-2</v>
      </c>
      <c r="O908" s="1121">
        <f t="shared" si="60"/>
        <v>1.0063814515680496E-2</v>
      </c>
      <c r="P908" s="1122"/>
    </row>
    <row r="909" spans="6:16">
      <c r="F909" s="1121">
        <f t="shared" si="59"/>
        <v>1.0476534168062261E-2</v>
      </c>
      <c r="G909" s="1122"/>
      <c r="H909" s="436">
        <v>41745</v>
      </c>
      <c r="I909" s="738">
        <v>1862.31</v>
      </c>
      <c r="J909" s="440">
        <f t="shared" si="58"/>
        <v>1.048844805695115E-2</v>
      </c>
      <c r="L909" s="436">
        <v>41745</v>
      </c>
      <c r="M909" s="738">
        <v>159.44</v>
      </c>
      <c r="N909" s="115">
        <f t="shared" si="61"/>
        <v>1.3024969820191856E-2</v>
      </c>
      <c r="O909" s="1121">
        <f t="shared" si="60"/>
        <v>1.3013055931302968E-2</v>
      </c>
      <c r="P909" s="1122"/>
    </row>
    <row r="910" spans="6:16">
      <c r="F910" s="1121">
        <f t="shared" si="59"/>
        <v>1.3519836362277863E-3</v>
      </c>
      <c r="G910" s="1122"/>
      <c r="H910" s="436">
        <v>41746</v>
      </c>
      <c r="I910" s="738">
        <v>1864.85</v>
      </c>
      <c r="J910" s="440">
        <f t="shared" si="58"/>
        <v>1.3638975251166752E-3</v>
      </c>
      <c r="L910" s="436">
        <v>41746</v>
      </c>
      <c r="M910" s="738">
        <v>160.25</v>
      </c>
      <c r="N910" s="115">
        <f t="shared" si="61"/>
        <v>5.0802809834420426E-3</v>
      </c>
      <c r="O910" s="1121">
        <f t="shared" si="60"/>
        <v>5.0683670945531533E-3</v>
      </c>
      <c r="P910" s="1122"/>
    </row>
    <row r="911" spans="6:16">
      <c r="F911" s="1121">
        <f t="shared" si="59"/>
        <v>-1.1913888888888887E-5</v>
      </c>
      <c r="G911" s="1122"/>
      <c r="H911" s="436">
        <v>41747</v>
      </c>
      <c r="I911" s="738">
        <v>1864.85</v>
      </c>
      <c r="J911" s="440">
        <f t="shared" si="58"/>
        <v>0</v>
      </c>
      <c r="L911" s="436">
        <v>41747</v>
      </c>
      <c r="M911" s="738">
        <v>160.25</v>
      </c>
      <c r="N911" s="115">
        <f t="shared" si="61"/>
        <v>0</v>
      </c>
      <c r="O911" s="1121">
        <f t="shared" si="60"/>
        <v>-1.1913888888888887E-5</v>
      </c>
      <c r="P911" s="1122"/>
    </row>
    <row r="912" spans="6:16">
      <c r="F912" s="1121">
        <f t="shared" si="59"/>
        <v>3.7631886662764439E-3</v>
      </c>
      <c r="G912" s="1122"/>
      <c r="H912" s="436">
        <v>41750</v>
      </c>
      <c r="I912" s="738">
        <v>1871.89</v>
      </c>
      <c r="J912" s="440">
        <f t="shared" si="58"/>
        <v>3.7751025551653328E-3</v>
      </c>
      <c r="L912" s="436">
        <v>41750</v>
      </c>
      <c r="M912" s="738">
        <v>161.49</v>
      </c>
      <c r="N912" s="115">
        <f t="shared" si="61"/>
        <v>7.7379095163807587E-3</v>
      </c>
      <c r="O912" s="1121">
        <f t="shared" si="60"/>
        <v>7.7259956274918695E-3</v>
      </c>
      <c r="P912" s="1122"/>
    </row>
    <row r="913" spans="6:16">
      <c r="F913" s="1121">
        <f t="shared" si="59"/>
        <v>4.0802069088073855E-3</v>
      </c>
      <c r="G913" s="1122"/>
      <c r="H913" s="436">
        <v>41751</v>
      </c>
      <c r="I913" s="738">
        <v>1879.55</v>
      </c>
      <c r="J913" s="440">
        <f t="shared" si="58"/>
        <v>4.0921207976962748E-3</v>
      </c>
      <c r="L913" s="436">
        <v>41751</v>
      </c>
      <c r="M913" s="738">
        <v>156.69</v>
      </c>
      <c r="N913" s="115">
        <f t="shared" si="61"/>
        <v>-2.9723202675088323E-2</v>
      </c>
      <c r="O913" s="1121">
        <f t="shared" si="60"/>
        <v>-2.9735116563977211E-2</v>
      </c>
      <c r="P913" s="1122"/>
    </row>
    <row r="914" spans="6:16">
      <c r="F914" s="1121">
        <f t="shared" si="59"/>
        <v>-2.2252096245701865E-3</v>
      </c>
      <c r="G914" s="1122"/>
      <c r="H914" s="436">
        <v>41752</v>
      </c>
      <c r="I914" s="738">
        <v>1875.39</v>
      </c>
      <c r="J914" s="440">
        <f t="shared" si="58"/>
        <v>-2.2132957356812977E-3</v>
      </c>
      <c r="L914" s="436">
        <v>41752</v>
      </c>
      <c r="M914" s="738">
        <v>161.97999999999999</v>
      </c>
      <c r="N914" s="115">
        <f t="shared" si="61"/>
        <v>3.3760929223307201E-2</v>
      </c>
      <c r="O914" s="1121">
        <f t="shared" si="60"/>
        <v>3.3749015334418313E-2</v>
      </c>
      <c r="P914" s="1122"/>
    </row>
    <row r="915" spans="6:16">
      <c r="F915" s="1121">
        <f t="shared" si="59"/>
        <v>1.7050623133941715E-3</v>
      </c>
      <c r="G915" s="1122"/>
      <c r="H915" s="436">
        <v>41753</v>
      </c>
      <c r="I915" s="738">
        <v>1878.61</v>
      </c>
      <c r="J915" s="440">
        <f t="shared" si="58"/>
        <v>1.7169762022830604E-3</v>
      </c>
      <c r="L915" s="436">
        <v>41753</v>
      </c>
      <c r="M915" s="738">
        <v>160.62</v>
      </c>
      <c r="N915" s="115">
        <f t="shared" si="61"/>
        <v>-8.3960982837386622E-3</v>
      </c>
      <c r="O915" s="1121">
        <f t="shared" si="60"/>
        <v>-8.4080121726275506E-3</v>
      </c>
      <c r="P915" s="1122"/>
    </row>
    <row r="916" spans="6:16">
      <c r="F916" s="1121">
        <f t="shared" si="59"/>
        <v>-8.1083255975457139E-3</v>
      </c>
      <c r="G916" s="1122"/>
      <c r="H916" s="436">
        <v>41754</v>
      </c>
      <c r="I916" s="738">
        <v>1863.4</v>
      </c>
      <c r="J916" s="440">
        <f t="shared" si="58"/>
        <v>-8.0964117086568255E-3</v>
      </c>
      <c r="L916" s="436">
        <v>41754</v>
      </c>
      <c r="M916" s="738">
        <v>161.09</v>
      </c>
      <c r="N916" s="115">
        <f t="shared" si="61"/>
        <v>2.9261611256381492E-3</v>
      </c>
      <c r="O916" s="1121">
        <f t="shared" si="60"/>
        <v>2.9142472367492604E-3</v>
      </c>
      <c r="P916" s="1122"/>
    </row>
    <row r="917" spans="6:16">
      <c r="F917" s="1121">
        <f t="shared" si="59"/>
        <v>3.2241062892800413E-3</v>
      </c>
      <c r="G917" s="1122"/>
      <c r="H917" s="436">
        <v>41757</v>
      </c>
      <c r="I917" s="738">
        <v>1869.43</v>
      </c>
      <c r="J917" s="440">
        <f t="shared" si="58"/>
        <v>3.2360201781689302E-3</v>
      </c>
      <c r="L917" s="436">
        <v>41757</v>
      </c>
      <c r="M917" s="738">
        <v>161.37</v>
      </c>
      <c r="N917" s="115">
        <f t="shared" si="61"/>
        <v>1.7381587932212561E-3</v>
      </c>
      <c r="O917" s="1121">
        <f t="shared" si="60"/>
        <v>1.7262449043323673E-3</v>
      </c>
      <c r="P917" s="1122"/>
    </row>
    <row r="918" spans="6:16">
      <c r="F918" s="1121">
        <f t="shared" si="59"/>
        <v>4.7488955557010082E-3</v>
      </c>
      <c r="G918" s="1122"/>
      <c r="H918" s="436">
        <v>41758</v>
      </c>
      <c r="I918" s="738">
        <v>1878.33</v>
      </c>
      <c r="J918" s="440">
        <f t="shared" si="58"/>
        <v>4.7608094445898974E-3</v>
      </c>
      <c r="L918" s="436">
        <v>41758</v>
      </c>
      <c r="M918" s="738">
        <v>161.99</v>
      </c>
      <c r="N918" s="115">
        <f t="shared" si="61"/>
        <v>3.8421020016112806E-3</v>
      </c>
      <c r="O918" s="1121">
        <f t="shared" si="60"/>
        <v>3.8301881127223917E-3</v>
      </c>
      <c r="P918" s="1122"/>
    </row>
    <row r="919" spans="6:16">
      <c r="F919" s="1121">
        <f t="shared" si="59"/>
        <v>2.9801056178005918E-3</v>
      </c>
      <c r="G919" s="1122"/>
      <c r="H919" s="436">
        <v>41759</v>
      </c>
      <c r="I919" s="738">
        <v>1883.95</v>
      </c>
      <c r="J919" s="440">
        <f t="shared" si="58"/>
        <v>2.9920195066894806E-3</v>
      </c>
      <c r="L919" s="436">
        <v>41759</v>
      </c>
      <c r="M919" s="738">
        <v>164.14</v>
      </c>
      <c r="N919" s="115">
        <f t="shared" si="61"/>
        <v>1.3272424223717438E-2</v>
      </c>
      <c r="O919" s="1121">
        <f t="shared" si="60"/>
        <v>1.326051033482855E-2</v>
      </c>
      <c r="P919" s="1122"/>
    </row>
    <row r="920" spans="6:16">
      <c r="F920" s="1121">
        <f t="shared" si="59"/>
        <v>-1.5522979430038962E-4</v>
      </c>
      <c r="G920" s="1122"/>
      <c r="H920" s="436">
        <v>41760</v>
      </c>
      <c r="I920" s="738">
        <v>1883.68</v>
      </c>
      <c r="J920" s="440">
        <f t="shared" si="58"/>
        <v>-1.4331590541150074E-4</v>
      </c>
      <c r="L920" s="436">
        <v>41760</v>
      </c>
      <c r="M920" s="738">
        <v>162.85</v>
      </c>
      <c r="N920" s="115">
        <f t="shared" si="61"/>
        <v>-7.8591446326305991E-3</v>
      </c>
      <c r="O920" s="1121">
        <f t="shared" si="60"/>
        <v>-7.8710585215194875E-3</v>
      </c>
      <c r="P920" s="1122"/>
    </row>
    <row r="921" spans="6:16">
      <c r="F921" s="1121">
        <f t="shared" si="59"/>
        <v>-1.3603382497144952E-3</v>
      </c>
      <c r="G921" s="1122"/>
      <c r="H921" s="436">
        <v>41761</v>
      </c>
      <c r="I921" s="738">
        <v>1881.14</v>
      </c>
      <c r="J921" s="440">
        <f t="shared" si="58"/>
        <v>-1.3484243608256063E-3</v>
      </c>
      <c r="L921" s="436">
        <v>41761</v>
      </c>
      <c r="M921" s="738">
        <v>163.9</v>
      </c>
      <c r="N921" s="115">
        <f t="shared" si="61"/>
        <v>6.447651212772465E-3</v>
      </c>
      <c r="O921" s="1121">
        <f t="shared" si="60"/>
        <v>6.4357373238835757E-3</v>
      </c>
      <c r="P921" s="1122"/>
    </row>
    <row r="922" spans="6:16">
      <c r="F922" s="1121">
        <f t="shared" si="59"/>
        <v>1.859291869321537E-3</v>
      </c>
      <c r="G922" s="1122"/>
      <c r="H922" s="436">
        <v>41764</v>
      </c>
      <c r="I922" s="738">
        <v>1884.66</v>
      </c>
      <c r="J922" s="440">
        <f t="shared" si="58"/>
        <v>1.8712057582104258E-3</v>
      </c>
      <c r="L922" s="436">
        <v>41764</v>
      </c>
      <c r="M922" s="738">
        <v>165.12</v>
      </c>
      <c r="N922" s="115">
        <f t="shared" si="61"/>
        <v>7.443563148261223E-3</v>
      </c>
      <c r="O922" s="1121">
        <f t="shared" si="60"/>
        <v>7.4316492593723337E-3</v>
      </c>
      <c r="P922" s="1122"/>
    </row>
    <row r="923" spans="6:16">
      <c r="F923" s="1121">
        <f t="shared" si="59"/>
        <v>-9.0002725318271207E-3</v>
      </c>
      <c r="G923" s="1122"/>
      <c r="H923" s="436">
        <v>41765</v>
      </c>
      <c r="I923" s="738">
        <v>1867.72</v>
      </c>
      <c r="J923" s="440">
        <f t="shared" si="58"/>
        <v>-8.9883586429382323E-3</v>
      </c>
      <c r="L923" s="436">
        <v>41765</v>
      </c>
      <c r="M923" s="738">
        <v>163.49</v>
      </c>
      <c r="N923" s="115">
        <f t="shared" si="61"/>
        <v>-9.8716085271317588E-3</v>
      </c>
      <c r="O923" s="1121">
        <f t="shared" si="60"/>
        <v>-9.8835224160206472E-3</v>
      </c>
      <c r="P923" s="1122"/>
    </row>
    <row r="924" spans="6:16">
      <c r="F924" s="1121">
        <f t="shared" si="59"/>
        <v>5.6045596724586455E-3</v>
      </c>
      <c r="G924" s="1122"/>
      <c r="H924" s="436">
        <v>41766</v>
      </c>
      <c r="I924" s="738">
        <v>1878.21</v>
      </c>
      <c r="J924" s="440">
        <f t="shared" si="58"/>
        <v>5.6164735613475347E-3</v>
      </c>
      <c r="L924" s="436">
        <v>41766</v>
      </c>
      <c r="M924" s="738">
        <v>164.2</v>
      </c>
      <c r="N924" s="115">
        <f t="shared" si="61"/>
        <v>4.3427732583032341E-3</v>
      </c>
      <c r="O924" s="1121">
        <f t="shared" si="60"/>
        <v>4.3308593694143449E-3</v>
      </c>
      <c r="P924" s="1122"/>
    </row>
    <row r="925" spans="6:16">
      <c r="F925" s="1121">
        <f t="shared" si="59"/>
        <v>-1.3855622029751509E-3</v>
      </c>
      <c r="G925" s="1122"/>
      <c r="H925" s="436">
        <v>41767</v>
      </c>
      <c r="I925" s="738">
        <v>1875.63</v>
      </c>
      <c r="J925" s="440">
        <f t="shared" ref="J925:J988" si="62">I925/I924-1</f>
        <v>-1.3736483140862621E-3</v>
      </c>
      <c r="L925" s="436">
        <v>41767</v>
      </c>
      <c r="M925" s="738">
        <v>164.39</v>
      </c>
      <c r="N925" s="115">
        <f t="shared" si="61"/>
        <v>1.1571254567599443E-3</v>
      </c>
      <c r="O925" s="1121">
        <f t="shared" si="60"/>
        <v>1.1452115678710554E-3</v>
      </c>
      <c r="P925" s="1122"/>
    </row>
    <row r="926" spans="6:16">
      <c r="F926" s="1121">
        <f t="shared" ref="F926:F989" si="63">J926-$I$19</f>
        <v>1.5075755626553426E-3</v>
      </c>
      <c r="G926" s="1122"/>
      <c r="H926" s="436">
        <v>41768</v>
      </c>
      <c r="I926" s="738">
        <v>1878.48</v>
      </c>
      <c r="J926" s="440">
        <f t="shared" si="62"/>
        <v>1.5194894515442314E-3</v>
      </c>
      <c r="L926" s="436">
        <v>41768</v>
      </c>
      <c r="M926" s="738">
        <v>165.18</v>
      </c>
      <c r="N926" s="115">
        <f t="shared" si="61"/>
        <v>4.8056451122331367E-3</v>
      </c>
      <c r="O926" s="1121">
        <f t="shared" ref="O926:O989" si="64">N926-$I$19</f>
        <v>4.7937312233442475E-3</v>
      </c>
      <c r="P926" s="1122"/>
    </row>
    <row r="927" spans="6:16">
      <c r="F927" s="1121">
        <f t="shared" si="63"/>
        <v>9.6608002203909457E-3</v>
      </c>
      <c r="G927" s="1122"/>
      <c r="H927" s="436">
        <v>41771</v>
      </c>
      <c r="I927" s="738">
        <v>1896.65</v>
      </c>
      <c r="J927" s="440">
        <f t="shared" si="62"/>
        <v>9.6727141092798341E-3</v>
      </c>
      <c r="L927" s="436">
        <v>41771</v>
      </c>
      <c r="M927" s="738">
        <v>166.92</v>
      </c>
      <c r="N927" s="115">
        <f t="shared" si="61"/>
        <v>1.053396294950959E-2</v>
      </c>
      <c r="O927" s="1121">
        <f t="shared" si="64"/>
        <v>1.0522049060620701E-2</v>
      </c>
      <c r="P927" s="1122"/>
    </row>
    <row r="928" spans="6:16">
      <c r="F928" s="1121">
        <f t="shared" si="63"/>
        <v>4.0988243621053279E-4</v>
      </c>
      <c r="G928" s="1122"/>
      <c r="H928" s="436">
        <v>41772</v>
      </c>
      <c r="I928" s="738">
        <v>1897.45</v>
      </c>
      <c r="J928" s="440">
        <f t="shared" si="62"/>
        <v>4.2179632509942167E-4</v>
      </c>
      <c r="L928" s="436">
        <v>41772</v>
      </c>
      <c r="M928" s="738">
        <v>167.64</v>
      </c>
      <c r="N928" s="115">
        <f t="shared" si="61"/>
        <v>4.3134435657801173E-3</v>
      </c>
      <c r="O928" s="1121">
        <f t="shared" si="64"/>
        <v>4.3015296768912281E-3</v>
      </c>
      <c r="P928" s="1122"/>
    </row>
    <row r="929" spans="6:16">
      <c r="F929" s="1121">
        <f t="shared" si="63"/>
        <v>-4.7129600297621888E-3</v>
      </c>
      <c r="G929" s="1122"/>
      <c r="H929" s="436">
        <v>41773</v>
      </c>
      <c r="I929" s="738">
        <v>1888.53</v>
      </c>
      <c r="J929" s="440">
        <f t="shared" si="62"/>
        <v>-4.7010461408732995E-3</v>
      </c>
      <c r="L929" s="436">
        <v>41773</v>
      </c>
      <c r="M929" s="738">
        <v>165.26</v>
      </c>
      <c r="N929" s="115">
        <f t="shared" si="61"/>
        <v>-1.4197089000238527E-2</v>
      </c>
      <c r="O929" s="1121">
        <f t="shared" si="64"/>
        <v>-1.4209002889127416E-2</v>
      </c>
      <c r="P929" s="1122"/>
    </row>
    <row r="930" spans="6:16">
      <c r="F930" s="1121">
        <f t="shared" si="63"/>
        <v>-9.3736926268491796E-3</v>
      </c>
      <c r="G930" s="1122"/>
      <c r="H930" s="436">
        <v>41774</v>
      </c>
      <c r="I930" s="738">
        <v>1870.85</v>
      </c>
      <c r="J930" s="440">
        <f t="shared" si="62"/>
        <v>-9.3617787379602913E-3</v>
      </c>
      <c r="L930" s="436">
        <v>41774</v>
      </c>
      <c r="M930" s="738">
        <v>163.54</v>
      </c>
      <c r="N930" s="115">
        <f t="shared" si="61"/>
        <v>-1.0407842188067229E-2</v>
      </c>
      <c r="O930" s="1121">
        <f t="shared" si="64"/>
        <v>-1.0419756076956117E-2</v>
      </c>
      <c r="P930" s="1122"/>
    </row>
    <row r="931" spans="6:16">
      <c r="F931" s="1121">
        <f t="shared" si="63"/>
        <v>3.7350460491071195E-3</v>
      </c>
      <c r="G931" s="1122"/>
      <c r="H931" s="436">
        <v>41775</v>
      </c>
      <c r="I931" s="738">
        <v>1877.86</v>
      </c>
      <c r="J931" s="440">
        <f t="shared" si="62"/>
        <v>3.7469599379960083E-3</v>
      </c>
      <c r="L931" s="436">
        <v>41775</v>
      </c>
      <c r="M931" s="738">
        <v>162.1</v>
      </c>
      <c r="N931" s="115">
        <f t="shared" si="61"/>
        <v>-8.8051852757734528E-3</v>
      </c>
      <c r="O931" s="1121">
        <f t="shared" si="64"/>
        <v>-8.8170991646623412E-3</v>
      </c>
      <c r="P931" s="1122"/>
    </row>
    <row r="932" spans="6:16">
      <c r="F932" s="1121">
        <f t="shared" si="63"/>
        <v>3.8328881730326152E-3</v>
      </c>
      <c r="G932" s="1122"/>
      <c r="H932" s="436">
        <v>41778</v>
      </c>
      <c r="I932" s="738">
        <v>1885.08</v>
      </c>
      <c r="J932" s="440">
        <f t="shared" si="62"/>
        <v>3.844802061921504E-3</v>
      </c>
      <c r="L932" s="436">
        <v>41778</v>
      </c>
      <c r="M932" s="738">
        <v>162.30000000000001</v>
      </c>
      <c r="N932" s="115">
        <f t="shared" si="61"/>
        <v>1.2338062924122095E-3</v>
      </c>
      <c r="O932" s="1121">
        <f t="shared" si="64"/>
        <v>1.2218924035233207E-3</v>
      </c>
      <c r="P932" s="1122"/>
    </row>
    <row r="933" spans="6:16">
      <c r="F933" s="1121">
        <f t="shared" si="63"/>
        <v>-6.5103118348646205E-3</v>
      </c>
      <c r="G933" s="1122"/>
      <c r="H933" s="436">
        <v>41779</v>
      </c>
      <c r="I933" s="738">
        <v>1872.83</v>
      </c>
      <c r="J933" s="440">
        <f t="shared" si="62"/>
        <v>-6.4983979459757313E-3</v>
      </c>
      <c r="L933" s="436">
        <v>41779</v>
      </c>
      <c r="M933" s="738">
        <v>160.57</v>
      </c>
      <c r="N933" s="115">
        <f t="shared" si="61"/>
        <v>-1.065927295132485E-2</v>
      </c>
      <c r="O933" s="1121">
        <f t="shared" si="64"/>
        <v>-1.0671186840213738E-2</v>
      </c>
      <c r="P933" s="1122"/>
    </row>
    <row r="934" spans="6:16">
      <c r="F934" s="1121">
        <f t="shared" si="63"/>
        <v>8.1041457641496326E-3</v>
      </c>
      <c r="G934" s="1122"/>
      <c r="H934" s="436">
        <v>41780</v>
      </c>
      <c r="I934" s="738">
        <v>1888.03</v>
      </c>
      <c r="J934" s="440">
        <f t="shared" si="62"/>
        <v>8.1160596530385209E-3</v>
      </c>
      <c r="L934" s="436">
        <v>41780</v>
      </c>
      <c r="M934" s="738">
        <v>161.88999999999999</v>
      </c>
      <c r="N934" s="115">
        <f t="shared" si="61"/>
        <v>8.220713707417282E-3</v>
      </c>
      <c r="O934" s="1121">
        <f t="shared" si="64"/>
        <v>8.2087998185283936E-3</v>
      </c>
      <c r="P934" s="1122"/>
    </row>
    <row r="935" spans="6:16">
      <c r="F935" s="1121">
        <f t="shared" si="63"/>
        <v>2.3503367109426391E-3</v>
      </c>
      <c r="G935" s="1122"/>
      <c r="H935" s="436">
        <v>41781</v>
      </c>
      <c r="I935" s="738">
        <v>1892.49</v>
      </c>
      <c r="J935" s="440">
        <f t="shared" si="62"/>
        <v>2.362250599831528E-3</v>
      </c>
      <c r="L935" s="436">
        <v>41781</v>
      </c>
      <c r="M935" s="738">
        <v>161.82</v>
      </c>
      <c r="N935" s="115">
        <f t="shared" si="61"/>
        <v>-4.3239236518621826E-4</v>
      </c>
      <c r="O935" s="1121">
        <f t="shared" si="64"/>
        <v>-4.4430625407510714E-4</v>
      </c>
      <c r="P935" s="1122"/>
    </row>
    <row r="936" spans="6:16">
      <c r="F936" s="1121">
        <f t="shared" si="63"/>
        <v>4.236457304617961E-3</v>
      </c>
      <c r="G936" s="1122"/>
      <c r="H936" s="436">
        <v>41782</v>
      </c>
      <c r="I936" s="738">
        <v>1900.53</v>
      </c>
      <c r="J936" s="440">
        <f t="shared" si="62"/>
        <v>4.2483711935068502E-3</v>
      </c>
      <c r="L936" s="436">
        <v>41782</v>
      </c>
      <c r="M936" s="738">
        <v>162.63999999999999</v>
      </c>
      <c r="N936" s="115">
        <f t="shared" si="61"/>
        <v>5.0673587937213327E-3</v>
      </c>
      <c r="O936" s="1121">
        <f t="shared" si="64"/>
        <v>5.0554449048324434E-3</v>
      </c>
      <c r="P936" s="1122"/>
    </row>
    <row r="937" spans="6:16">
      <c r="F937" s="1121">
        <f t="shared" si="63"/>
        <v>-1.1913888888888887E-5</v>
      </c>
      <c r="G937" s="1122"/>
      <c r="H937" s="436">
        <v>41785</v>
      </c>
      <c r="I937" s="738">
        <v>1900.53</v>
      </c>
      <c r="J937" s="440">
        <f t="shared" si="62"/>
        <v>0</v>
      </c>
      <c r="L937" s="436">
        <v>41785</v>
      </c>
      <c r="M937" s="738">
        <v>162.63999999999999</v>
      </c>
      <c r="N937" s="115">
        <f t="shared" si="61"/>
        <v>0</v>
      </c>
      <c r="O937" s="1121">
        <f t="shared" si="64"/>
        <v>-1.1913888888888887E-5</v>
      </c>
      <c r="P937" s="1122"/>
    </row>
    <row r="938" spans="6:16">
      <c r="F938" s="1121">
        <f t="shared" si="63"/>
        <v>5.9758895133200573E-3</v>
      </c>
      <c r="G938" s="1122"/>
      <c r="H938" s="436">
        <v>41786</v>
      </c>
      <c r="I938" s="738">
        <v>1911.91</v>
      </c>
      <c r="J938" s="440">
        <f t="shared" si="62"/>
        <v>5.9878034022089466E-3</v>
      </c>
      <c r="L938" s="436">
        <v>41786</v>
      </c>
      <c r="M938" s="738">
        <v>162.94999999999999</v>
      </c>
      <c r="N938" s="115">
        <f t="shared" si="61"/>
        <v>1.9060501721592793E-3</v>
      </c>
      <c r="O938" s="1121">
        <f t="shared" si="64"/>
        <v>1.8941362832703905E-3</v>
      </c>
      <c r="P938" s="1122"/>
    </row>
    <row r="939" spans="6:16">
      <c r="F939" s="1121">
        <f t="shared" si="63"/>
        <v>-1.1259830657853816E-3</v>
      </c>
      <c r="G939" s="1122"/>
      <c r="H939" s="436">
        <v>41787</v>
      </c>
      <c r="I939" s="738">
        <v>1909.78</v>
      </c>
      <c r="J939" s="440">
        <f t="shared" si="62"/>
        <v>-1.1140691768964928E-3</v>
      </c>
      <c r="L939" s="436">
        <v>41787</v>
      </c>
      <c r="M939" s="738">
        <v>162.1</v>
      </c>
      <c r="N939" s="115">
        <f t="shared" si="61"/>
        <v>-5.2163240257747656E-3</v>
      </c>
      <c r="O939" s="1121">
        <f t="shared" si="64"/>
        <v>-5.2282379146636549E-3</v>
      </c>
      <c r="P939" s="1122"/>
    </row>
    <row r="940" spans="6:16">
      <c r="F940" s="1121">
        <f t="shared" si="63"/>
        <v>5.3551964588999168E-3</v>
      </c>
      <c r="G940" s="1122"/>
      <c r="H940" s="436">
        <v>41788</v>
      </c>
      <c r="I940" s="738">
        <v>1920.03</v>
      </c>
      <c r="J940" s="440">
        <f t="shared" si="62"/>
        <v>5.367110347788806E-3</v>
      </c>
      <c r="L940" s="436">
        <v>41788</v>
      </c>
      <c r="M940" s="738">
        <v>163.15</v>
      </c>
      <c r="N940" s="115">
        <f t="shared" si="61"/>
        <v>6.4774830351634893E-3</v>
      </c>
      <c r="O940" s="1121">
        <f t="shared" si="64"/>
        <v>6.4655691462746001E-3</v>
      </c>
      <c r="P940" s="1122"/>
    </row>
    <row r="941" spans="6:16">
      <c r="F941" s="1121">
        <f t="shared" si="63"/>
        <v>1.8318073029673847E-3</v>
      </c>
      <c r="G941" s="1122"/>
      <c r="H941" s="436">
        <v>41789</v>
      </c>
      <c r="I941" s="738">
        <v>1923.57</v>
      </c>
      <c r="J941" s="440">
        <f t="shared" si="62"/>
        <v>1.8437211918562735E-3</v>
      </c>
      <c r="L941" s="436">
        <v>41789</v>
      </c>
      <c r="M941" s="738">
        <v>163.65</v>
      </c>
      <c r="N941" s="115">
        <f t="shared" si="61"/>
        <v>3.0646644192460215E-3</v>
      </c>
      <c r="O941" s="1121">
        <f t="shared" si="64"/>
        <v>3.0527505303571327E-3</v>
      </c>
      <c r="P941" s="1122"/>
    </row>
    <row r="942" spans="6:16">
      <c r="F942" s="1121">
        <f t="shared" si="63"/>
        <v>7.1589949975835816E-4</v>
      </c>
      <c r="G942" s="1122"/>
      <c r="H942" s="436">
        <v>41792</v>
      </c>
      <c r="I942" s="738">
        <v>1924.97</v>
      </c>
      <c r="J942" s="440">
        <f t="shared" si="62"/>
        <v>7.2781338864724709E-4</v>
      </c>
      <c r="L942" s="436">
        <v>41792</v>
      </c>
      <c r="M942" s="738">
        <v>164.11</v>
      </c>
      <c r="N942" s="115">
        <f t="shared" si="61"/>
        <v>2.8108768713719368E-3</v>
      </c>
      <c r="O942" s="1121">
        <f t="shared" si="64"/>
        <v>2.7989629824830479E-3</v>
      </c>
      <c r="P942" s="1122"/>
    </row>
    <row r="943" spans="6:16">
      <c r="F943" s="1121">
        <f t="shared" si="63"/>
        <v>-3.911405781360585E-4</v>
      </c>
      <c r="G943" s="1122"/>
      <c r="H943" s="436">
        <v>41793</v>
      </c>
      <c r="I943" s="738">
        <v>1924.24</v>
      </c>
      <c r="J943" s="440">
        <f t="shared" si="62"/>
        <v>-3.7922668924716962E-4</v>
      </c>
      <c r="L943" s="436">
        <v>41793</v>
      </c>
      <c r="M943" s="738">
        <v>163.89</v>
      </c>
      <c r="N943" s="115">
        <f t="shared" si="61"/>
        <v>-1.3405642556822972E-3</v>
      </c>
      <c r="O943" s="1121">
        <f t="shared" si="64"/>
        <v>-1.352478144571186E-3</v>
      </c>
      <c r="P943" s="1122"/>
    </row>
    <row r="944" spans="6:16">
      <c r="F944" s="1121">
        <f t="shared" si="63"/>
        <v>1.8797420376067612E-3</v>
      </c>
      <c r="G944" s="1122"/>
      <c r="H944" s="436">
        <v>41794</v>
      </c>
      <c r="I944" s="738">
        <v>1927.88</v>
      </c>
      <c r="J944" s="440">
        <f t="shared" si="62"/>
        <v>1.8916559264956501E-3</v>
      </c>
      <c r="L944" s="436">
        <v>41794</v>
      </c>
      <c r="M944" s="738">
        <v>164.52</v>
      </c>
      <c r="N944" s="115">
        <f t="shared" si="61"/>
        <v>3.8440417353104994E-3</v>
      </c>
      <c r="O944" s="1121">
        <f t="shared" si="64"/>
        <v>3.8321278464216106E-3</v>
      </c>
      <c r="P944" s="1122"/>
    </row>
    <row r="945" spans="6:16">
      <c r="F945" s="1121">
        <f t="shared" si="63"/>
        <v>6.5133885158251614E-3</v>
      </c>
      <c r="G945" s="1122"/>
      <c r="H945" s="436">
        <v>41795</v>
      </c>
      <c r="I945" s="738">
        <v>1940.46</v>
      </c>
      <c r="J945" s="440">
        <f t="shared" si="62"/>
        <v>6.5253024047140507E-3</v>
      </c>
      <c r="L945" s="436">
        <v>41795</v>
      </c>
      <c r="M945" s="738">
        <v>166.33</v>
      </c>
      <c r="N945" s="115">
        <f t="shared" ref="N945:N1008" si="65">M945/M944-1</f>
        <v>1.1001701920739126E-2</v>
      </c>
      <c r="O945" s="1121">
        <f t="shared" si="64"/>
        <v>1.0989788031850238E-2</v>
      </c>
      <c r="P945" s="1122"/>
    </row>
    <row r="946" spans="6:16">
      <c r="F946" s="1121">
        <f t="shared" si="63"/>
        <v>4.6158547845184172E-3</v>
      </c>
      <c r="G946" s="1122"/>
      <c r="H946" s="436">
        <v>41796</v>
      </c>
      <c r="I946" s="738">
        <v>1949.44</v>
      </c>
      <c r="J946" s="440">
        <f t="shared" si="62"/>
        <v>4.6277686734073065E-3</v>
      </c>
      <c r="L946" s="436">
        <v>41796</v>
      </c>
      <c r="M946" s="738">
        <v>167.17</v>
      </c>
      <c r="N946" s="115">
        <f t="shared" si="65"/>
        <v>5.0502014068416479E-3</v>
      </c>
      <c r="O946" s="1121">
        <f t="shared" si="64"/>
        <v>5.0382875179527586E-3</v>
      </c>
      <c r="P946" s="1122"/>
    </row>
    <row r="947" spans="6:16">
      <c r="F947" s="1121">
        <f t="shared" si="63"/>
        <v>9.268172338950867E-4</v>
      </c>
      <c r="G947" s="1122"/>
      <c r="H947" s="436">
        <v>41799</v>
      </c>
      <c r="I947" s="738">
        <v>1951.27</v>
      </c>
      <c r="J947" s="440">
        <f t="shared" si="62"/>
        <v>9.3873112278397564E-4</v>
      </c>
      <c r="L947" s="436">
        <v>41799</v>
      </c>
      <c r="M947" s="738">
        <v>168.08</v>
      </c>
      <c r="N947" s="115">
        <f t="shared" si="65"/>
        <v>5.4435604474487587E-3</v>
      </c>
      <c r="O947" s="1121">
        <f t="shared" si="64"/>
        <v>5.4316465585598694E-3</v>
      </c>
      <c r="P947" s="1122"/>
    </row>
    <row r="948" spans="6:16">
      <c r="F948" s="1121">
        <f t="shared" si="63"/>
        <v>-2.5790752380362069E-4</v>
      </c>
      <c r="G948" s="1122"/>
      <c r="H948" s="436">
        <v>41800</v>
      </c>
      <c r="I948" s="738">
        <v>1950.79</v>
      </c>
      <c r="J948" s="440">
        <f t="shared" si="62"/>
        <v>-2.4599363491473181E-4</v>
      </c>
      <c r="L948" s="436">
        <v>41800</v>
      </c>
      <c r="M948" s="738">
        <v>167.34</v>
      </c>
      <c r="N948" s="115">
        <f t="shared" si="65"/>
        <v>-4.4026653974298391E-3</v>
      </c>
      <c r="O948" s="1121">
        <f t="shared" si="64"/>
        <v>-4.4145792863187283E-3</v>
      </c>
      <c r="P948" s="1122"/>
    </row>
    <row r="949" spans="6:16">
      <c r="F949" s="1121">
        <f t="shared" si="63"/>
        <v>-3.5489424773068674E-3</v>
      </c>
      <c r="G949" s="1122"/>
      <c r="H949" s="436">
        <v>41801</v>
      </c>
      <c r="I949" s="738">
        <v>1943.89</v>
      </c>
      <c r="J949" s="440">
        <f t="shared" si="62"/>
        <v>-3.5370285884179786E-3</v>
      </c>
      <c r="L949" s="436">
        <v>41801</v>
      </c>
      <c r="M949" s="738">
        <v>164.53</v>
      </c>
      <c r="N949" s="115">
        <f t="shared" si="65"/>
        <v>-1.6792159674913321E-2</v>
      </c>
      <c r="O949" s="1121">
        <f t="shared" si="64"/>
        <v>-1.6804073563802209E-2</v>
      </c>
      <c r="P949" s="1122"/>
    </row>
    <row r="950" spans="6:16">
      <c r="F950" s="1121">
        <f t="shared" si="63"/>
        <v>-7.1007923748115454E-3</v>
      </c>
      <c r="G950" s="1122"/>
      <c r="H950" s="436">
        <v>41802</v>
      </c>
      <c r="I950" s="738">
        <v>1930.11</v>
      </c>
      <c r="J950" s="440">
        <f t="shared" si="62"/>
        <v>-7.0888784859226561E-3</v>
      </c>
      <c r="L950" s="436">
        <v>41802</v>
      </c>
      <c r="M950" s="738">
        <v>162.63999999999999</v>
      </c>
      <c r="N950" s="115">
        <f t="shared" si="65"/>
        <v>-1.1487266759861559E-2</v>
      </c>
      <c r="O950" s="1121">
        <f t="shared" si="64"/>
        <v>-1.1499180648750447E-2</v>
      </c>
      <c r="P950" s="1122"/>
    </row>
    <row r="951" spans="6:16">
      <c r="F951" s="1121">
        <f t="shared" si="63"/>
        <v>3.1226224846857479E-3</v>
      </c>
      <c r="G951" s="1122"/>
      <c r="H951" s="436">
        <v>41803</v>
      </c>
      <c r="I951" s="738">
        <v>1936.16</v>
      </c>
      <c r="J951" s="440">
        <f t="shared" si="62"/>
        <v>3.1345363735746368E-3</v>
      </c>
      <c r="L951" s="436">
        <v>41803</v>
      </c>
      <c r="M951" s="738">
        <v>164.04</v>
      </c>
      <c r="N951" s="115">
        <f t="shared" si="65"/>
        <v>8.6079685194293543E-3</v>
      </c>
      <c r="O951" s="1121">
        <f t="shared" si="64"/>
        <v>8.5960546305404659E-3</v>
      </c>
      <c r="P951" s="1122"/>
    </row>
    <row r="952" spans="6:16">
      <c r="F952" s="1121">
        <f t="shared" si="63"/>
        <v>8.2479382121768781E-4</v>
      </c>
      <c r="G952" s="1122"/>
      <c r="H952" s="436">
        <v>41806</v>
      </c>
      <c r="I952" s="738">
        <v>1937.78</v>
      </c>
      <c r="J952" s="440">
        <f t="shared" si="62"/>
        <v>8.3670771010657674E-4</v>
      </c>
      <c r="L952" s="436">
        <v>41806</v>
      </c>
      <c r="M952" s="738">
        <v>165.14</v>
      </c>
      <c r="N952" s="115">
        <f t="shared" si="65"/>
        <v>6.705681541087527E-3</v>
      </c>
      <c r="O952" s="1121">
        <f t="shared" si="64"/>
        <v>6.6937676521986378E-3</v>
      </c>
      <c r="P952" s="1122"/>
    </row>
    <row r="953" spans="6:16">
      <c r="F953" s="1121">
        <f t="shared" si="63"/>
        <v>2.1606753627288959E-3</v>
      </c>
      <c r="G953" s="1122"/>
      <c r="H953" s="436">
        <v>41807</v>
      </c>
      <c r="I953" s="738">
        <v>1941.99</v>
      </c>
      <c r="J953" s="440">
        <f t="shared" si="62"/>
        <v>2.1725892516177847E-3</v>
      </c>
      <c r="L953" s="436">
        <v>41807</v>
      </c>
      <c r="M953" s="738">
        <v>164.24</v>
      </c>
      <c r="N953" s="115">
        <f t="shared" si="65"/>
        <v>-5.4499212789147489E-3</v>
      </c>
      <c r="O953" s="1121">
        <f t="shared" si="64"/>
        <v>-5.4618351678036381E-3</v>
      </c>
      <c r="P953" s="1122"/>
    </row>
    <row r="954" spans="6:16">
      <c r="F954" s="1121">
        <f t="shared" si="63"/>
        <v>7.706972408156979E-3</v>
      </c>
      <c r="G954" s="1122"/>
      <c r="H954" s="436">
        <v>41808</v>
      </c>
      <c r="I954" s="738">
        <v>1956.98</v>
      </c>
      <c r="J954" s="440">
        <f t="shared" si="62"/>
        <v>7.7188862970458683E-3</v>
      </c>
      <c r="L954" s="436">
        <v>41808</v>
      </c>
      <c r="M954" s="738">
        <v>163.79</v>
      </c>
      <c r="N954" s="115">
        <f t="shared" si="65"/>
        <v>-2.7398928397468492E-3</v>
      </c>
      <c r="O954" s="1121">
        <f t="shared" si="64"/>
        <v>-2.751806728635738E-3</v>
      </c>
      <c r="P954" s="1122"/>
    </row>
    <row r="955" spans="6:16">
      <c r="F955" s="1121">
        <f t="shared" si="63"/>
        <v>1.2655646750209175E-3</v>
      </c>
      <c r="G955" s="1122"/>
      <c r="H955" s="436">
        <v>41809</v>
      </c>
      <c r="I955" s="738">
        <v>1959.48</v>
      </c>
      <c r="J955" s="440">
        <f t="shared" si="62"/>
        <v>1.2774785639098063E-3</v>
      </c>
      <c r="L955" s="436">
        <v>41809</v>
      </c>
      <c r="M955" s="738">
        <v>164.2</v>
      </c>
      <c r="N955" s="115">
        <f t="shared" si="65"/>
        <v>2.5032053238902563E-3</v>
      </c>
      <c r="O955" s="1121">
        <f t="shared" si="64"/>
        <v>2.4912914350013675E-3</v>
      </c>
      <c r="P955" s="1122"/>
    </row>
    <row r="956" spans="6:16">
      <c r="F956" s="1121">
        <f t="shared" si="63"/>
        <v>1.7181369409230355E-3</v>
      </c>
      <c r="G956" s="1122"/>
      <c r="H956" s="436">
        <v>41810</v>
      </c>
      <c r="I956" s="738">
        <v>1962.87</v>
      </c>
      <c r="J956" s="440">
        <f t="shared" si="62"/>
        <v>1.7300508298119244E-3</v>
      </c>
      <c r="L956" s="436">
        <v>41810</v>
      </c>
      <c r="M956" s="738">
        <v>165.4</v>
      </c>
      <c r="N956" s="115">
        <f t="shared" si="65"/>
        <v>7.3081607795373316E-3</v>
      </c>
      <c r="O956" s="1121">
        <f t="shared" si="64"/>
        <v>7.2962468906484423E-3</v>
      </c>
      <c r="P956" s="1122"/>
    </row>
    <row r="957" spans="6:16">
      <c r="F957" s="1121">
        <f t="shared" si="63"/>
        <v>-1.4437299214076958E-4</v>
      </c>
      <c r="G957" s="1122"/>
      <c r="H957" s="436">
        <v>41813</v>
      </c>
      <c r="I957" s="738">
        <v>1962.61</v>
      </c>
      <c r="J957" s="440">
        <f t="shared" si="62"/>
        <v>-1.3245910325188071E-4</v>
      </c>
      <c r="L957" s="436">
        <v>41813</v>
      </c>
      <c r="M957" s="738">
        <v>163.95</v>
      </c>
      <c r="N957" s="115">
        <f t="shared" si="65"/>
        <v>-8.7666263603386474E-3</v>
      </c>
      <c r="O957" s="1121">
        <f t="shared" si="64"/>
        <v>-8.7785402492275358E-3</v>
      </c>
      <c r="P957" s="1122"/>
    </row>
    <row r="958" spans="6:16">
      <c r="F958" s="1121">
        <f t="shared" si="63"/>
        <v>-6.4472219735312109E-3</v>
      </c>
      <c r="G958" s="1122"/>
      <c r="H958" s="436">
        <v>41814</v>
      </c>
      <c r="I958" s="738">
        <v>1949.98</v>
      </c>
      <c r="J958" s="440">
        <f t="shared" si="62"/>
        <v>-6.4353080846423216E-3</v>
      </c>
      <c r="L958" s="436">
        <v>41814</v>
      </c>
      <c r="M958" s="738">
        <v>162.51</v>
      </c>
      <c r="N958" s="115">
        <f t="shared" si="65"/>
        <v>-8.7831655992680613E-3</v>
      </c>
      <c r="O958" s="1121">
        <f t="shared" si="64"/>
        <v>-8.7950794881569497E-3</v>
      </c>
      <c r="P958" s="1122"/>
    </row>
    <row r="959" spans="6:16">
      <c r="F959" s="1121">
        <f t="shared" si="63"/>
        <v>4.8855722391739553E-3</v>
      </c>
      <c r="G959" s="1122"/>
      <c r="H959" s="436">
        <v>41815</v>
      </c>
      <c r="I959" s="738">
        <v>1959.53</v>
      </c>
      <c r="J959" s="440">
        <f t="shared" si="62"/>
        <v>4.8974861280628446E-3</v>
      </c>
      <c r="L959" s="436">
        <v>41815</v>
      </c>
      <c r="M959" s="738">
        <v>162.44999999999999</v>
      </c>
      <c r="N959" s="115">
        <f t="shared" si="65"/>
        <v>-3.6920804873552537E-4</v>
      </c>
      <c r="O959" s="1121">
        <f t="shared" si="64"/>
        <v>-3.8112193762441425E-4</v>
      </c>
      <c r="P959" s="1122"/>
    </row>
    <row r="960" spans="6:16">
      <c r="F960" s="1121">
        <f t="shared" si="63"/>
        <v>-1.1907680018649132E-3</v>
      </c>
      <c r="G960" s="1122"/>
      <c r="H960" s="436">
        <v>41816</v>
      </c>
      <c r="I960" s="738">
        <v>1957.22</v>
      </c>
      <c r="J960" s="440">
        <f t="shared" si="62"/>
        <v>-1.1788541129760244E-3</v>
      </c>
      <c r="L960" s="436">
        <v>41816</v>
      </c>
      <c r="M960" s="738">
        <v>162.05000000000001</v>
      </c>
      <c r="N960" s="115">
        <f t="shared" si="65"/>
        <v>-2.4622960911048208E-3</v>
      </c>
      <c r="O960" s="1121">
        <f t="shared" si="64"/>
        <v>-2.4742099799937097E-3</v>
      </c>
      <c r="P960" s="1122"/>
    </row>
    <row r="961" spans="6:16">
      <c r="F961" s="1121">
        <f t="shared" si="63"/>
        <v>1.8989596971158355E-3</v>
      </c>
      <c r="G961" s="1122"/>
      <c r="H961" s="436">
        <v>41817</v>
      </c>
      <c r="I961" s="738">
        <v>1960.96</v>
      </c>
      <c r="J961" s="440">
        <f t="shared" si="62"/>
        <v>1.9108735860047243E-3</v>
      </c>
      <c r="L961" s="436">
        <v>41817</v>
      </c>
      <c r="M961" s="738">
        <v>162.69999999999999</v>
      </c>
      <c r="N961" s="115">
        <f t="shared" si="65"/>
        <v>4.0111076828137637E-3</v>
      </c>
      <c r="O961" s="1121">
        <f t="shared" si="64"/>
        <v>3.9991937939248745E-3</v>
      </c>
      <c r="P961" s="1122"/>
    </row>
    <row r="962" spans="6:16">
      <c r="F962" s="1121">
        <f t="shared" si="63"/>
        <v>-3.8418053379752536E-4</v>
      </c>
      <c r="G962" s="1122"/>
      <c r="H962" s="436">
        <v>41820</v>
      </c>
      <c r="I962" s="738">
        <v>1960.23</v>
      </c>
      <c r="J962" s="440">
        <f t="shared" si="62"/>
        <v>-3.7226664490863648E-4</v>
      </c>
      <c r="L962" s="436">
        <v>41820</v>
      </c>
      <c r="M962" s="738">
        <v>160.72999999999999</v>
      </c>
      <c r="N962" s="115">
        <f t="shared" si="65"/>
        <v>-1.2108174554394613E-2</v>
      </c>
      <c r="O962" s="1121">
        <f t="shared" si="64"/>
        <v>-1.2120088443283501E-2</v>
      </c>
      <c r="P962" s="1122"/>
    </row>
    <row r="963" spans="6:16">
      <c r="F963" s="1121">
        <f t="shared" si="63"/>
        <v>6.6658739217252327E-3</v>
      </c>
      <c r="G963" s="1122"/>
      <c r="H963" s="436">
        <v>41821</v>
      </c>
      <c r="I963" s="738">
        <v>1973.32</v>
      </c>
      <c r="J963" s="440">
        <f t="shared" si="62"/>
        <v>6.677787810614122E-3</v>
      </c>
      <c r="L963" s="436">
        <v>41821</v>
      </c>
      <c r="M963" s="738">
        <v>160.63999999999999</v>
      </c>
      <c r="N963" s="115">
        <f t="shared" si="65"/>
        <v>-5.599452497978552E-4</v>
      </c>
      <c r="O963" s="1121">
        <f t="shared" si="64"/>
        <v>-5.7185913868674414E-4</v>
      </c>
      <c r="P963" s="1122"/>
    </row>
    <row r="964" spans="6:16">
      <c r="F964" s="1121">
        <f t="shared" si="63"/>
        <v>6.4687434616682944E-4</v>
      </c>
      <c r="G964" s="1122"/>
      <c r="H964" s="436">
        <v>41822</v>
      </c>
      <c r="I964" s="738">
        <v>1974.62</v>
      </c>
      <c r="J964" s="440">
        <f t="shared" si="62"/>
        <v>6.5878823505571837E-4</v>
      </c>
      <c r="L964" s="436">
        <v>41822</v>
      </c>
      <c r="M964" s="738">
        <v>158.97999999999999</v>
      </c>
      <c r="N964" s="115">
        <f t="shared" si="65"/>
        <v>-1.0333665338645437E-2</v>
      </c>
      <c r="O964" s="1121">
        <f t="shared" si="64"/>
        <v>-1.0345579227534325E-2</v>
      </c>
      <c r="P964" s="1122"/>
    </row>
    <row r="965" spans="6:16">
      <c r="F965" s="1121">
        <f t="shared" si="63"/>
        <v>5.4676214141061641E-3</v>
      </c>
      <c r="G965" s="1122"/>
      <c r="H965" s="436">
        <v>41823</v>
      </c>
      <c r="I965" s="738">
        <v>1985.44</v>
      </c>
      <c r="J965" s="440">
        <f t="shared" si="62"/>
        <v>5.4795353029950533E-3</v>
      </c>
      <c r="L965" s="436">
        <v>41823</v>
      </c>
      <c r="M965" s="738">
        <v>159.9</v>
      </c>
      <c r="N965" s="115">
        <f t="shared" si="65"/>
        <v>5.7868914328846888E-3</v>
      </c>
      <c r="O965" s="1121">
        <f t="shared" si="64"/>
        <v>5.7749775439957995E-3</v>
      </c>
      <c r="P965" s="1122"/>
    </row>
    <row r="966" spans="6:16">
      <c r="F966" s="1121">
        <f t="shared" si="63"/>
        <v>-1.1913888888888887E-5</v>
      </c>
      <c r="G966" s="1122"/>
      <c r="H966" s="436">
        <v>41824</v>
      </c>
      <c r="I966" s="738">
        <v>1985.44</v>
      </c>
      <c r="J966" s="440">
        <f t="shared" si="62"/>
        <v>0</v>
      </c>
      <c r="L966" s="436">
        <v>41824</v>
      </c>
      <c r="M966" s="738">
        <v>159.9</v>
      </c>
      <c r="N966" s="115">
        <f t="shared" si="65"/>
        <v>0</v>
      </c>
      <c r="O966" s="1121">
        <f t="shared" si="64"/>
        <v>-1.1913888888888887E-5</v>
      </c>
      <c r="P966" s="1122"/>
    </row>
    <row r="967" spans="6:16">
      <c r="F967" s="1121">
        <f t="shared" si="63"/>
        <v>-3.9354774314789365E-3</v>
      </c>
      <c r="G967" s="1122"/>
      <c r="H967" s="436">
        <v>41827</v>
      </c>
      <c r="I967" s="738">
        <v>1977.65</v>
      </c>
      <c r="J967" s="440">
        <f t="shared" si="62"/>
        <v>-3.9235635425900472E-3</v>
      </c>
      <c r="L967" s="436">
        <v>41827</v>
      </c>
      <c r="M967" s="738">
        <v>158.30000000000001</v>
      </c>
      <c r="N967" s="115">
        <f t="shared" si="65"/>
        <v>-1.0006253908692919E-2</v>
      </c>
      <c r="O967" s="1121">
        <f t="shared" si="64"/>
        <v>-1.0018167797581808E-2</v>
      </c>
      <c r="P967" s="1122"/>
    </row>
    <row r="968" spans="6:16">
      <c r="F968" s="1121">
        <f t="shared" si="63"/>
        <v>-7.0606838936926397E-3</v>
      </c>
      <c r="G968" s="1122"/>
      <c r="H968" s="436">
        <v>41828</v>
      </c>
      <c r="I968" s="738">
        <v>1963.71</v>
      </c>
      <c r="J968" s="440">
        <f t="shared" si="62"/>
        <v>-7.0487700048037505E-3</v>
      </c>
      <c r="L968" s="436">
        <v>41828</v>
      </c>
      <c r="M968" s="738">
        <v>157.21</v>
      </c>
      <c r="N968" s="115">
        <f t="shared" si="65"/>
        <v>-6.8856601389766237E-3</v>
      </c>
      <c r="O968" s="1121">
        <f t="shared" si="64"/>
        <v>-6.8975740278655129E-3</v>
      </c>
      <c r="P968" s="1122"/>
    </row>
    <row r="969" spans="6:16">
      <c r="F969" s="1121">
        <f t="shared" si="63"/>
        <v>4.6323563954199154E-3</v>
      </c>
      <c r="G969" s="1122"/>
      <c r="H969" s="436">
        <v>41829</v>
      </c>
      <c r="I969" s="738">
        <v>1972.83</v>
      </c>
      <c r="J969" s="440">
        <f t="shared" si="62"/>
        <v>4.6442702843088046E-3</v>
      </c>
      <c r="L969" s="436">
        <v>41829</v>
      </c>
      <c r="M969" s="738">
        <v>157.93</v>
      </c>
      <c r="N969" s="115">
        <f t="shared" si="65"/>
        <v>4.5798613319762982E-3</v>
      </c>
      <c r="O969" s="1121">
        <f t="shared" si="64"/>
        <v>4.5679474430874089E-3</v>
      </c>
      <c r="P969" s="1122"/>
    </row>
    <row r="970" spans="6:16">
      <c r="F970" s="1121">
        <f t="shared" si="63"/>
        <v>-4.143035171513273E-3</v>
      </c>
      <c r="G970" s="1122"/>
      <c r="H970" s="436">
        <v>41830</v>
      </c>
      <c r="I970" s="738">
        <v>1964.68</v>
      </c>
      <c r="J970" s="440">
        <f t="shared" si="62"/>
        <v>-4.1311212826243837E-3</v>
      </c>
      <c r="L970" s="436">
        <v>41830</v>
      </c>
      <c r="M970" s="738">
        <v>158.18</v>
      </c>
      <c r="N970" s="115">
        <f t="shared" si="65"/>
        <v>1.5829798011777196E-3</v>
      </c>
      <c r="O970" s="1121">
        <f t="shared" si="64"/>
        <v>1.5710659122888308E-3</v>
      </c>
      <c r="P970" s="1122"/>
    </row>
    <row r="971" spans="6:16">
      <c r="F971" s="1121">
        <f t="shared" si="63"/>
        <v>1.4590635730896621E-3</v>
      </c>
      <c r="G971" s="1122"/>
      <c r="H971" s="436">
        <v>41831</v>
      </c>
      <c r="I971" s="738">
        <v>1967.57</v>
      </c>
      <c r="J971" s="440">
        <f t="shared" si="62"/>
        <v>1.4709774619785509E-3</v>
      </c>
      <c r="L971" s="436">
        <v>41831</v>
      </c>
      <c r="M971" s="738">
        <v>160.31</v>
      </c>
      <c r="N971" s="115">
        <f t="shared" si="65"/>
        <v>1.3465672019218555E-2</v>
      </c>
      <c r="O971" s="1121">
        <f t="shared" si="64"/>
        <v>1.3453758130329667E-2</v>
      </c>
      <c r="P971" s="1122"/>
    </row>
    <row r="972" spans="6:16">
      <c r="F972" s="1121">
        <f t="shared" si="63"/>
        <v>4.8316240792646214E-3</v>
      </c>
      <c r="G972" s="1122"/>
      <c r="H972" s="436">
        <v>41834</v>
      </c>
      <c r="I972" s="738">
        <v>1977.1</v>
      </c>
      <c r="J972" s="440">
        <f t="shared" si="62"/>
        <v>4.8435379681535107E-3</v>
      </c>
      <c r="L972" s="436">
        <v>41834</v>
      </c>
      <c r="M972" s="738">
        <v>161.81</v>
      </c>
      <c r="N972" s="115">
        <f t="shared" si="65"/>
        <v>9.3568710623168627E-3</v>
      </c>
      <c r="O972" s="1121">
        <f t="shared" si="64"/>
        <v>9.3449571734279743E-3</v>
      </c>
      <c r="P972" s="1122"/>
    </row>
    <row r="973" spans="6:16">
      <c r="F973" s="1121">
        <f t="shared" si="63"/>
        <v>-1.9440366950190875E-3</v>
      </c>
      <c r="G973" s="1122"/>
      <c r="H973" s="436">
        <v>41835</v>
      </c>
      <c r="I973" s="738">
        <v>1973.28</v>
      </c>
      <c r="J973" s="440">
        <f t="shared" si="62"/>
        <v>-1.9321228061301987E-3</v>
      </c>
      <c r="L973" s="436">
        <v>41835</v>
      </c>
      <c r="M973" s="738">
        <v>162.62</v>
      </c>
      <c r="N973" s="115">
        <f t="shared" si="65"/>
        <v>5.005871083369362E-3</v>
      </c>
      <c r="O973" s="1121">
        <f t="shared" si="64"/>
        <v>4.9939571944804728E-3</v>
      </c>
      <c r="P973" s="1122"/>
    </row>
    <row r="974" spans="6:16">
      <c r="F974" s="1121">
        <f t="shared" si="63"/>
        <v>4.1892131685990963E-3</v>
      </c>
      <c r="G974" s="1122"/>
      <c r="H974" s="436">
        <v>41836</v>
      </c>
      <c r="I974" s="738">
        <v>1981.57</v>
      </c>
      <c r="J974" s="440">
        <f t="shared" si="62"/>
        <v>4.2011270574879855E-3</v>
      </c>
      <c r="L974" s="436">
        <v>41836</v>
      </c>
      <c r="M974" s="738">
        <v>161.55000000000001</v>
      </c>
      <c r="N974" s="115">
        <f t="shared" si="65"/>
        <v>-6.5797564875168524E-3</v>
      </c>
      <c r="O974" s="1121">
        <f t="shared" si="64"/>
        <v>-6.5916703764057416E-3</v>
      </c>
      <c r="P974" s="1122"/>
    </row>
    <row r="975" spans="6:16">
      <c r="F975" s="1121">
        <f t="shared" si="63"/>
        <v>-1.1845964666807436E-2</v>
      </c>
      <c r="G975" s="1122"/>
      <c r="H975" s="436">
        <v>41837</v>
      </c>
      <c r="I975" s="738">
        <v>1958.12</v>
      </c>
      <c r="J975" s="440">
        <f t="shared" si="62"/>
        <v>-1.1834050777918548E-2</v>
      </c>
      <c r="L975" s="436">
        <v>41837</v>
      </c>
      <c r="M975" s="738">
        <v>161.33000000000001</v>
      </c>
      <c r="N975" s="115">
        <f t="shared" si="65"/>
        <v>-1.3618074899411914E-3</v>
      </c>
      <c r="O975" s="1121">
        <f t="shared" si="64"/>
        <v>-1.3737213788300802E-3</v>
      </c>
      <c r="P975" s="1122"/>
    </row>
    <row r="976" spans="6:16">
      <c r="F976" s="1121">
        <f t="shared" si="63"/>
        <v>1.0253034122469022E-2</v>
      </c>
      <c r="G976" s="1122"/>
      <c r="H976" s="436">
        <v>41838</v>
      </c>
      <c r="I976" s="738">
        <v>1978.22</v>
      </c>
      <c r="J976" s="440">
        <f t="shared" si="62"/>
        <v>1.0264948011357911E-2</v>
      </c>
      <c r="L976" s="436">
        <v>41838</v>
      </c>
      <c r="M976" s="738">
        <v>162.49</v>
      </c>
      <c r="N976" s="115">
        <f t="shared" si="65"/>
        <v>7.190231203124009E-3</v>
      </c>
      <c r="O976" s="1121">
        <f t="shared" si="64"/>
        <v>7.1783173142351197E-3</v>
      </c>
      <c r="P976" s="1122"/>
    </row>
    <row r="977" spans="6:16">
      <c r="F977" s="1121">
        <f t="shared" si="63"/>
        <v>-2.3321816043098205E-3</v>
      </c>
      <c r="G977" s="1122"/>
      <c r="H977" s="436">
        <v>41841</v>
      </c>
      <c r="I977" s="738">
        <v>1973.63</v>
      </c>
      <c r="J977" s="440">
        <f t="shared" si="62"/>
        <v>-2.3202677154209317E-3</v>
      </c>
      <c r="L977" s="436">
        <v>41841</v>
      </c>
      <c r="M977" s="738">
        <v>162.97999999999999</v>
      </c>
      <c r="N977" s="115">
        <f t="shared" si="65"/>
        <v>3.0155701889345021E-3</v>
      </c>
      <c r="O977" s="1121">
        <f t="shared" si="64"/>
        <v>3.0036563000456133E-3</v>
      </c>
      <c r="P977" s="1122"/>
    </row>
    <row r="978" spans="6:16">
      <c r="F978" s="1121">
        <f t="shared" si="63"/>
        <v>5.0042238876953837E-3</v>
      </c>
      <c r="G978" s="1122"/>
      <c r="H978" s="436">
        <v>41842</v>
      </c>
      <c r="I978" s="738">
        <v>1983.53</v>
      </c>
      <c r="J978" s="440">
        <f t="shared" si="62"/>
        <v>5.016137776584273E-3</v>
      </c>
      <c r="L978" s="436">
        <v>41842</v>
      </c>
      <c r="M978" s="738">
        <v>167.87</v>
      </c>
      <c r="N978" s="115">
        <f t="shared" si="65"/>
        <v>3.0003681433304896E-2</v>
      </c>
      <c r="O978" s="1121">
        <f t="shared" si="64"/>
        <v>2.9991767544416008E-2</v>
      </c>
      <c r="P978" s="1122"/>
    </row>
    <row r="979" spans="6:16">
      <c r="F979" s="1121">
        <f t="shared" si="63"/>
        <v>1.7425339893887208E-3</v>
      </c>
      <c r="G979" s="1122"/>
      <c r="H979" s="436">
        <v>41843</v>
      </c>
      <c r="I979" s="738">
        <v>1987.01</v>
      </c>
      <c r="J979" s="440">
        <f t="shared" si="62"/>
        <v>1.7544478782776096E-3</v>
      </c>
      <c r="L979" s="436">
        <v>41843</v>
      </c>
      <c r="M979" s="738">
        <v>168.1</v>
      </c>
      <c r="N979" s="115">
        <f t="shared" si="65"/>
        <v>1.3701078215284657E-3</v>
      </c>
      <c r="O979" s="1121">
        <f t="shared" si="64"/>
        <v>1.3581939326395768E-3</v>
      </c>
      <c r="P979" s="1122"/>
    </row>
    <row r="980" spans="6:16">
      <c r="F980" s="1121">
        <f t="shared" si="63"/>
        <v>4.7625677960293856E-4</v>
      </c>
      <c r="G980" s="1122"/>
      <c r="H980" s="436">
        <v>41844</v>
      </c>
      <c r="I980" s="738">
        <v>1987.98</v>
      </c>
      <c r="J980" s="440">
        <f t="shared" si="62"/>
        <v>4.8817066849182744E-4</v>
      </c>
      <c r="L980" s="436">
        <v>41844</v>
      </c>
      <c r="M980" s="738">
        <v>169.97</v>
      </c>
      <c r="N980" s="115">
        <f t="shared" si="65"/>
        <v>1.1124330755502676E-2</v>
      </c>
      <c r="O980" s="1121">
        <f t="shared" si="64"/>
        <v>1.1112416866613788E-2</v>
      </c>
      <c r="P980" s="1122"/>
    </row>
    <row r="981" spans="6:16">
      <c r="F981" s="1121">
        <f t="shared" si="63"/>
        <v>-4.8610572404317398E-3</v>
      </c>
      <c r="G981" s="1122"/>
      <c r="H981" s="436">
        <v>41845</v>
      </c>
      <c r="I981" s="738">
        <v>1978.34</v>
      </c>
      <c r="J981" s="440">
        <f t="shared" si="62"/>
        <v>-4.8491433515428506E-3</v>
      </c>
      <c r="L981" s="436">
        <v>41845</v>
      </c>
      <c r="M981" s="738">
        <v>170.04</v>
      </c>
      <c r="N981" s="115">
        <f t="shared" si="65"/>
        <v>4.1183738306749262E-4</v>
      </c>
      <c r="O981" s="1121">
        <f t="shared" si="64"/>
        <v>3.9992349417860375E-4</v>
      </c>
      <c r="P981" s="1122"/>
    </row>
    <row r="982" spans="6:16">
      <c r="F982" s="1121">
        <f t="shared" si="63"/>
        <v>2.7620645442937665E-4</v>
      </c>
      <c r="G982" s="1122"/>
      <c r="H982" s="436">
        <v>41848</v>
      </c>
      <c r="I982" s="738">
        <v>1978.91</v>
      </c>
      <c r="J982" s="440">
        <f t="shared" si="62"/>
        <v>2.8812034331826553E-4</v>
      </c>
      <c r="L982" s="436">
        <v>41848</v>
      </c>
      <c r="M982" s="738">
        <v>170</v>
      </c>
      <c r="N982" s="115">
        <f t="shared" si="65"/>
        <v>-2.3523876734876659E-4</v>
      </c>
      <c r="O982" s="1121">
        <f t="shared" si="64"/>
        <v>-2.4715265623765547E-4</v>
      </c>
      <c r="P982" s="1122"/>
    </row>
    <row r="983" spans="6:16">
      <c r="F983" s="1121">
        <f t="shared" si="63"/>
        <v>-4.539658960670886E-3</v>
      </c>
      <c r="G983" s="1122"/>
      <c r="H983" s="436">
        <v>41849</v>
      </c>
      <c r="I983" s="738">
        <v>1969.95</v>
      </c>
      <c r="J983" s="440">
        <f t="shared" si="62"/>
        <v>-4.5277450717819967E-3</v>
      </c>
      <c r="L983" s="436">
        <v>41849</v>
      </c>
      <c r="M983" s="738">
        <v>169.33</v>
      </c>
      <c r="N983" s="115">
        <f t="shared" si="65"/>
        <v>-3.9411764705881147E-3</v>
      </c>
      <c r="O983" s="1121">
        <f t="shared" si="64"/>
        <v>-3.953090359477004E-3</v>
      </c>
      <c r="P983" s="1122"/>
    </row>
    <row r="984" spans="6:16">
      <c r="F984" s="1121">
        <f t="shared" si="63"/>
        <v>4.9001362767079675E-5</v>
      </c>
      <c r="G984" s="1122"/>
      <c r="H984" s="436">
        <v>41850</v>
      </c>
      <c r="I984" s="738">
        <v>1970.07</v>
      </c>
      <c r="J984" s="440">
        <f t="shared" si="62"/>
        <v>6.0915251655968561E-5</v>
      </c>
      <c r="L984" s="436">
        <v>41850</v>
      </c>
      <c r="M984" s="738">
        <v>170.18</v>
      </c>
      <c r="N984" s="115">
        <f t="shared" si="65"/>
        <v>5.0197838540129158E-3</v>
      </c>
      <c r="O984" s="1121">
        <f t="shared" si="64"/>
        <v>5.0078699651240266E-3</v>
      </c>
      <c r="P984" s="1122"/>
    </row>
    <row r="985" spans="6:16">
      <c r="F985" s="1121">
        <f t="shared" si="63"/>
        <v>-2.0011203254241335E-2</v>
      </c>
      <c r="G985" s="1122"/>
      <c r="H985" s="436">
        <v>41851</v>
      </c>
      <c r="I985" s="738">
        <v>1930.67</v>
      </c>
      <c r="J985" s="440">
        <f t="shared" si="62"/>
        <v>-1.9999289365352446E-2</v>
      </c>
      <c r="L985" s="436">
        <v>41851</v>
      </c>
      <c r="M985" s="738">
        <v>166.97</v>
      </c>
      <c r="N985" s="115">
        <f t="shared" si="65"/>
        <v>-1.8862381008344142E-2</v>
      </c>
      <c r="O985" s="1121">
        <f t="shared" si="64"/>
        <v>-1.8874294897233031E-2</v>
      </c>
      <c r="P985" s="1122"/>
    </row>
    <row r="986" spans="6:16">
      <c r="F986" s="1121">
        <f t="shared" si="63"/>
        <v>-2.8710249746777346E-3</v>
      </c>
      <c r="G986" s="1122"/>
      <c r="H986" s="436">
        <v>41852</v>
      </c>
      <c r="I986" s="738">
        <v>1925.15</v>
      </c>
      <c r="J986" s="440">
        <f t="shared" si="62"/>
        <v>-2.8591110857888458E-3</v>
      </c>
      <c r="L986" s="436">
        <v>41852</v>
      </c>
      <c r="M986" s="738">
        <v>167.12</v>
      </c>
      <c r="N986" s="115">
        <f t="shared" si="65"/>
        <v>8.9836497574413698E-4</v>
      </c>
      <c r="O986" s="1121">
        <f t="shared" si="64"/>
        <v>8.8645108685524805E-4</v>
      </c>
      <c r="P986" s="1122"/>
    </row>
    <row r="987" spans="6:16">
      <c r="F987" s="1121">
        <f t="shared" si="63"/>
        <v>7.1771363149913869E-3</v>
      </c>
      <c r="G987" s="1122"/>
      <c r="H987" s="436">
        <v>41855</v>
      </c>
      <c r="I987" s="738">
        <v>1938.99</v>
      </c>
      <c r="J987" s="440">
        <f t="shared" si="62"/>
        <v>7.1890502038802762E-3</v>
      </c>
      <c r="L987" s="436">
        <v>41855</v>
      </c>
      <c r="M987" s="738">
        <v>168.29</v>
      </c>
      <c r="N987" s="115">
        <f t="shared" si="65"/>
        <v>7.0009573958831339E-3</v>
      </c>
      <c r="O987" s="1121">
        <f t="shared" si="64"/>
        <v>6.9890435069942447E-3</v>
      </c>
      <c r="P987" s="1122"/>
    </row>
    <row r="988" spans="6:16">
      <c r="F988" s="1121">
        <f t="shared" si="63"/>
        <v>-9.6973686875211421E-3</v>
      </c>
      <c r="G988" s="1122"/>
      <c r="H988" s="436">
        <v>41856</v>
      </c>
      <c r="I988" s="738">
        <v>1920.21</v>
      </c>
      <c r="J988" s="440">
        <f t="shared" si="62"/>
        <v>-9.6854547986322537E-3</v>
      </c>
      <c r="L988" s="436">
        <v>41856</v>
      </c>
      <c r="M988" s="738">
        <v>166.93</v>
      </c>
      <c r="N988" s="115">
        <f t="shared" si="65"/>
        <v>-8.0812882524213814E-3</v>
      </c>
      <c r="O988" s="1121">
        <f t="shared" si="64"/>
        <v>-8.0932021413102698E-3</v>
      </c>
      <c r="P988" s="1122"/>
    </row>
    <row r="989" spans="6:16">
      <c r="F989" s="1121">
        <f t="shared" si="63"/>
        <v>3.7094023136378139E-6</v>
      </c>
      <c r="G989" s="1122"/>
      <c r="H989" s="436">
        <v>41857</v>
      </c>
      <c r="I989" s="738">
        <v>1920.24</v>
      </c>
      <c r="J989" s="440">
        <f t="shared" ref="J989:J1052" si="66">I989/I988-1</f>
        <v>1.5623291202526701E-5</v>
      </c>
      <c r="L989" s="436">
        <v>41857</v>
      </c>
      <c r="M989" s="738">
        <v>163.05000000000001</v>
      </c>
      <c r="N989" s="115">
        <f t="shared" si="65"/>
        <v>-2.3243275624513227E-2</v>
      </c>
      <c r="O989" s="1121">
        <f t="shared" si="64"/>
        <v>-2.3255189513402115E-2</v>
      </c>
      <c r="P989" s="1122"/>
    </row>
    <row r="990" spans="6:16">
      <c r="F990" s="1121">
        <f t="shared" ref="F990:F1053" si="67">J990-$I$19</f>
        <v>-5.568510980919047E-3</v>
      </c>
      <c r="G990" s="1122"/>
      <c r="H990" s="436">
        <v>41858</v>
      </c>
      <c r="I990" s="738">
        <v>1909.57</v>
      </c>
      <c r="J990" s="440">
        <f t="shared" si="66"/>
        <v>-5.5565970920301577E-3</v>
      </c>
      <c r="L990" s="436">
        <v>41858</v>
      </c>
      <c r="M990" s="738">
        <v>162.94999999999999</v>
      </c>
      <c r="N990" s="115">
        <f t="shared" si="65"/>
        <v>-6.1330880098142693E-4</v>
      </c>
      <c r="O990" s="1121">
        <f t="shared" ref="O990:O1053" si="68">N990-$I$19</f>
        <v>-6.2522268987031586E-4</v>
      </c>
      <c r="P990" s="1122"/>
    </row>
    <row r="991" spans="6:16">
      <c r="F991" s="1121">
        <f t="shared" si="67"/>
        <v>1.1519477995147846E-2</v>
      </c>
      <c r="G991" s="1122"/>
      <c r="H991" s="436">
        <v>41859</v>
      </c>
      <c r="I991" s="738">
        <v>1931.59</v>
      </c>
      <c r="J991" s="440">
        <f t="shared" si="66"/>
        <v>1.1531391884036735E-2</v>
      </c>
      <c r="L991" s="436">
        <v>41859</v>
      </c>
      <c r="M991" s="738">
        <v>165.8</v>
      </c>
      <c r="N991" s="115">
        <f t="shared" si="65"/>
        <v>1.7490027615833181E-2</v>
      </c>
      <c r="O991" s="1121">
        <f t="shared" si="68"/>
        <v>1.7478113726944293E-2</v>
      </c>
      <c r="P991" s="1122"/>
    </row>
    <row r="992" spans="6:16">
      <c r="F992" s="1121">
        <f t="shared" si="67"/>
        <v>2.7474708666753648E-3</v>
      </c>
      <c r="G992" s="1122"/>
      <c r="H992" s="436">
        <v>41862</v>
      </c>
      <c r="I992" s="738">
        <v>1936.92</v>
      </c>
      <c r="J992" s="440">
        <f t="shared" si="66"/>
        <v>2.7593847555642537E-3</v>
      </c>
      <c r="L992" s="436">
        <v>41862</v>
      </c>
      <c r="M992" s="738">
        <v>166.15</v>
      </c>
      <c r="N992" s="115">
        <f t="shared" si="65"/>
        <v>2.1109770808203088E-3</v>
      </c>
      <c r="O992" s="1121">
        <f t="shared" si="68"/>
        <v>2.0990631919314199E-3</v>
      </c>
      <c r="P992" s="1122"/>
    </row>
    <row r="993" spans="6:16">
      <c r="F993" s="1121">
        <f t="shared" si="67"/>
        <v>-1.6485328509524629E-3</v>
      </c>
      <c r="G993" s="1122"/>
      <c r="H993" s="436">
        <v>41863</v>
      </c>
      <c r="I993" s="738">
        <v>1933.75</v>
      </c>
      <c r="J993" s="440">
        <f t="shared" si="66"/>
        <v>-1.636618962063574E-3</v>
      </c>
      <c r="L993" s="436">
        <v>41863</v>
      </c>
      <c r="M993" s="738">
        <v>165.78</v>
      </c>
      <c r="N993" s="115">
        <f t="shared" si="65"/>
        <v>-2.2269034005416577E-3</v>
      </c>
      <c r="O993" s="1121">
        <f t="shared" si="68"/>
        <v>-2.2388172894305465E-3</v>
      </c>
      <c r="P993" s="1122"/>
    </row>
    <row r="994" spans="6:16">
      <c r="F994" s="1121">
        <f t="shared" si="67"/>
        <v>6.6952612888745355E-3</v>
      </c>
      <c r="G994" s="1122"/>
      <c r="H994" s="436">
        <v>41864</v>
      </c>
      <c r="I994" s="738">
        <v>1946.72</v>
      </c>
      <c r="J994" s="440">
        <f t="shared" si="66"/>
        <v>6.7071751777634248E-3</v>
      </c>
      <c r="L994" s="436">
        <v>41864</v>
      </c>
      <c r="M994" s="738">
        <v>169.09</v>
      </c>
      <c r="N994" s="115">
        <f t="shared" si="65"/>
        <v>1.9966220291953274E-2</v>
      </c>
      <c r="O994" s="1121">
        <f t="shared" si="68"/>
        <v>1.9954306403064385E-2</v>
      </c>
      <c r="P994" s="1122"/>
    </row>
    <row r="995" spans="6:16">
      <c r="F995" s="1121">
        <f t="shared" si="67"/>
        <v>4.3338574598413759E-3</v>
      </c>
      <c r="G995" s="1122"/>
      <c r="H995" s="436">
        <v>41865</v>
      </c>
      <c r="I995" s="738">
        <v>1955.18</v>
      </c>
      <c r="J995" s="440">
        <f t="shared" si="66"/>
        <v>4.3457713487302652E-3</v>
      </c>
      <c r="L995" s="436">
        <v>41865</v>
      </c>
      <c r="M995" s="738">
        <v>169.5</v>
      </c>
      <c r="N995" s="115">
        <f t="shared" si="65"/>
        <v>2.4247442190550306E-3</v>
      </c>
      <c r="O995" s="1121">
        <f t="shared" si="68"/>
        <v>2.4128303301661417E-3</v>
      </c>
      <c r="P995" s="1122"/>
    </row>
    <row r="996" spans="6:16">
      <c r="F996" s="1121">
        <f t="shared" si="67"/>
        <v>-7.3289312123588581E-5</v>
      </c>
      <c r="G996" s="1122"/>
      <c r="H996" s="436">
        <v>41866</v>
      </c>
      <c r="I996" s="738">
        <v>1955.06</v>
      </c>
      <c r="J996" s="440">
        <f t="shared" si="66"/>
        <v>-6.1375423234699689E-5</v>
      </c>
      <c r="L996" s="436">
        <v>41866</v>
      </c>
      <c r="M996" s="738">
        <v>169.16</v>
      </c>
      <c r="N996" s="115">
        <f t="shared" si="65"/>
        <v>-2.0058997050147465E-3</v>
      </c>
      <c r="O996" s="1121">
        <f t="shared" si="68"/>
        <v>-2.0178135939036353E-3</v>
      </c>
      <c r="P996" s="1122"/>
    </row>
    <row r="997" spans="6:16">
      <c r="F997" s="1121">
        <f t="shared" si="67"/>
        <v>8.5197935778896713E-3</v>
      </c>
      <c r="G997" s="1122"/>
      <c r="H997" s="436">
        <v>41869</v>
      </c>
      <c r="I997" s="738">
        <v>1971.74</v>
      </c>
      <c r="J997" s="440">
        <f t="shared" si="66"/>
        <v>8.5317074667785597E-3</v>
      </c>
      <c r="L997" s="436">
        <v>41869</v>
      </c>
      <c r="M997" s="738">
        <v>171.52</v>
      </c>
      <c r="N997" s="115">
        <f t="shared" si="65"/>
        <v>1.3951288720737809E-2</v>
      </c>
      <c r="O997" s="1121">
        <f t="shared" si="68"/>
        <v>1.3939374831848921E-2</v>
      </c>
      <c r="P997" s="1122"/>
    </row>
    <row r="998" spans="6:16">
      <c r="F998" s="1121">
        <f t="shared" si="67"/>
        <v>4.9887454272480236E-3</v>
      </c>
      <c r="G998" s="1122"/>
      <c r="H998" s="436">
        <v>41870</v>
      </c>
      <c r="I998" s="738">
        <v>1981.6</v>
      </c>
      <c r="J998" s="440">
        <f t="shared" si="66"/>
        <v>5.0006593161369128E-3</v>
      </c>
      <c r="L998" s="436">
        <v>41870</v>
      </c>
      <c r="M998" s="738">
        <v>172.13</v>
      </c>
      <c r="N998" s="115">
        <f t="shared" si="65"/>
        <v>3.5564365671640896E-3</v>
      </c>
      <c r="O998" s="1121">
        <f t="shared" si="68"/>
        <v>3.5445226782752008E-3</v>
      </c>
      <c r="P998" s="1122"/>
    </row>
    <row r="999" spans="6:16">
      <c r="F999" s="1121">
        <f t="shared" si="67"/>
        <v>2.4658818317410051E-3</v>
      </c>
      <c r="G999" s="1122"/>
      <c r="H999" s="436">
        <v>41871</v>
      </c>
      <c r="I999" s="738">
        <v>1986.51</v>
      </c>
      <c r="J999" s="440">
        <f t="shared" si="66"/>
        <v>2.4777957206298939E-3</v>
      </c>
      <c r="L999" s="436">
        <v>41871</v>
      </c>
      <c r="M999" s="738">
        <v>175.31</v>
      </c>
      <c r="N999" s="115">
        <f t="shared" si="65"/>
        <v>1.8474408877011683E-2</v>
      </c>
      <c r="O999" s="1121">
        <f t="shared" si="68"/>
        <v>1.8462494988122795E-2</v>
      </c>
      <c r="P999" s="1122"/>
    </row>
    <row r="1000" spans="6:16">
      <c r="F1000" s="1121">
        <f t="shared" si="67"/>
        <v>2.937983166751416E-3</v>
      </c>
      <c r="G1000" s="1122"/>
      <c r="H1000" s="436">
        <v>41872</v>
      </c>
      <c r="I1000" s="738">
        <v>1992.37</v>
      </c>
      <c r="J1000" s="440">
        <f t="shared" si="66"/>
        <v>2.9498970556403048E-3</v>
      </c>
      <c r="L1000" s="436">
        <v>41872</v>
      </c>
      <c r="M1000" s="738">
        <v>175.1</v>
      </c>
      <c r="N1000" s="115">
        <f t="shared" si="65"/>
        <v>-1.1978780446066928E-3</v>
      </c>
      <c r="O1000" s="1121">
        <f t="shared" si="68"/>
        <v>-1.2097919334955816E-3</v>
      </c>
      <c r="P1000" s="1122"/>
    </row>
    <row r="1001" spans="6:16">
      <c r="F1001" s="1121">
        <f t="shared" si="67"/>
        <v>-2.0045156646633163E-3</v>
      </c>
      <c r="G1001" s="1122"/>
      <c r="H1001" s="436">
        <v>41873</v>
      </c>
      <c r="I1001" s="738">
        <v>1988.4</v>
      </c>
      <c r="J1001" s="440">
        <f t="shared" si="66"/>
        <v>-1.9926017757744274E-3</v>
      </c>
      <c r="L1001" s="436">
        <v>41873</v>
      </c>
      <c r="M1001" s="738">
        <v>175.15</v>
      </c>
      <c r="N1001" s="115">
        <f t="shared" si="65"/>
        <v>2.8555111364947372E-4</v>
      </c>
      <c r="O1001" s="1121">
        <f t="shared" si="68"/>
        <v>2.7363722476058484E-4</v>
      </c>
      <c r="P1001" s="1122"/>
    </row>
    <row r="1002" spans="6:16">
      <c r="F1002" s="1121">
        <f t="shared" si="67"/>
        <v>4.7758551716622277E-3</v>
      </c>
      <c r="G1002" s="1122"/>
      <c r="H1002" s="436">
        <v>41876</v>
      </c>
      <c r="I1002" s="738">
        <v>1997.92</v>
      </c>
      <c r="J1002" s="440">
        <f t="shared" si="66"/>
        <v>4.787769060551117E-3</v>
      </c>
      <c r="L1002" s="436">
        <v>41876</v>
      </c>
      <c r="M1002" s="738">
        <v>176.53</v>
      </c>
      <c r="N1002" s="115">
        <f t="shared" si="65"/>
        <v>7.8789608906650876E-3</v>
      </c>
      <c r="O1002" s="1121">
        <f t="shared" si="68"/>
        <v>7.8670470017761993E-3</v>
      </c>
      <c r="P1002" s="1122"/>
    </row>
    <row r="1003" spans="6:16">
      <c r="F1003" s="1121">
        <f t="shared" si="67"/>
        <v>1.0391792479734689E-3</v>
      </c>
      <c r="G1003" s="1122"/>
      <c r="H1003" s="436">
        <v>41877</v>
      </c>
      <c r="I1003" s="738">
        <v>2000.02</v>
      </c>
      <c r="J1003" s="440">
        <f t="shared" si="66"/>
        <v>1.0510931368623577E-3</v>
      </c>
      <c r="L1003" s="436">
        <v>41877</v>
      </c>
      <c r="M1003" s="738">
        <v>176.61</v>
      </c>
      <c r="N1003" s="115">
        <f t="shared" si="65"/>
        <v>4.5318076247680139E-4</v>
      </c>
      <c r="O1003" s="1121">
        <f t="shared" si="68"/>
        <v>4.4126687358791251E-4</v>
      </c>
      <c r="P1003" s="1122"/>
    </row>
    <row r="1004" spans="6:16">
      <c r="F1004" s="1121">
        <f t="shared" si="67"/>
        <v>3.8085611116060241E-5</v>
      </c>
      <c r="G1004" s="1122"/>
      <c r="H1004" s="436">
        <v>41878</v>
      </c>
      <c r="I1004" s="738">
        <v>2000.12</v>
      </c>
      <c r="J1004" s="440">
        <f t="shared" si="66"/>
        <v>4.9999500004949127E-5</v>
      </c>
      <c r="L1004" s="436">
        <v>41878</v>
      </c>
      <c r="M1004" s="738">
        <v>176.52</v>
      </c>
      <c r="N1004" s="115">
        <f t="shared" si="65"/>
        <v>-5.0959741803979774E-4</v>
      </c>
      <c r="O1004" s="1121">
        <f t="shared" si="68"/>
        <v>-5.2151130692868668E-4</v>
      </c>
      <c r="P1004" s="1122"/>
    </row>
    <row r="1005" spans="6:16">
      <c r="F1005" s="1121">
        <f t="shared" si="67"/>
        <v>-1.701812494972484E-3</v>
      </c>
      <c r="G1005" s="1122"/>
      <c r="H1005" s="436">
        <v>41879</v>
      </c>
      <c r="I1005" s="738">
        <v>1996.74</v>
      </c>
      <c r="J1005" s="440">
        <f t="shared" si="66"/>
        <v>-1.6898986060835952E-3</v>
      </c>
      <c r="L1005" s="436">
        <v>41879</v>
      </c>
      <c r="M1005" s="738">
        <v>174.1</v>
      </c>
      <c r="N1005" s="115">
        <f t="shared" si="65"/>
        <v>-1.3709494674824518E-2</v>
      </c>
      <c r="O1005" s="1121">
        <f t="shared" si="68"/>
        <v>-1.3721408563713407E-2</v>
      </c>
      <c r="P1005" s="1122"/>
    </row>
    <row r="1006" spans="6:16">
      <c r="F1006" s="1121">
        <f t="shared" si="67"/>
        <v>3.3084983831145258E-3</v>
      </c>
      <c r="G1006" s="1122"/>
      <c r="H1006" s="436">
        <v>41880</v>
      </c>
      <c r="I1006" s="738">
        <v>2003.37</v>
      </c>
      <c r="J1006" s="440">
        <f t="shared" si="66"/>
        <v>3.3204122720034146E-3</v>
      </c>
      <c r="L1006" s="436">
        <v>41880</v>
      </c>
      <c r="M1006" s="738">
        <v>174</v>
      </c>
      <c r="N1006" s="115">
        <f t="shared" si="65"/>
        <v>-5.7438253877073464E-4</v>
      </c>
      <c r="O1006" s="1121">
        <f t="shared" si="68"/>
        <v>-5.8629642765962357E-4</v>
      </c>
      <c r="P1006" s="1122"/>
    </row>
    <row r="1007" spans="6:16">
      <c r="F1007" s="1121">
        <f t="shared" si="67"/>
        <v>-1.1913888888888887E-5</v>
      </c>
      <c r="G1007" s="1122"/>
      <c r="H1007" s="436">
        <v>41883</v>
      </c>
      <c r="I1007" s="738">
        <v>2003.37</v>
      </c>
      <c r="J1007" s="440">
        <f t="shared" si="66"/>
        <v>0</v>
      </c>
      <c r="L1007" s="436">
        <v>41883</v>
      </c>
      <c r="M1007" s="738">
        <v>174</v>
      </c>
      <c r="N1007" s="115">
        <f t="shared" si="65"/>
        <v>0</v>
      </c>
      <c r="O1007" s="1121">
        <f t="shared" si="68"/>
        <v>-1.1913888888888887E-5</v>
      </c>
      <c r="P1007" s="1122"/>
    </row>
    <row r="1008" spans="6:16">
      <c r="F1008" s="1121">
        <f t="shared" si="67"/>
        <v>-5.5599710866350487E-4</v>
      </c>
      <c r="G1008" s="1122"/>
      <c r="H1008" s="436">
        <v>41884</v>
      </c>
      <c r="I1008" s="738">
        <v>2002.28</v>
      </c>
      <c r="J1008" s="440">
        <f t="shared" si="66"/>
        <v>-5.4408321977461593E-4</v>
      </c>
      <c r="L1008" s="436">
        <v>41884</v>
      </c>
      <c r="M1008" s="738">
        <v>173.8</v>
      </c>
      <c r="N1008" s="115">
        <f t="shared" si="65"/>
        <v>-1.1494252873562871E-3</v>
      </c>
      <c r="O1008" s="1121">
        <f t="shared" si="68"/>
        <v>-1.161339176245176E-3</v>
      </c>
      <c r="P1008" s="1122"/>
    </row>
    <row r="1009" spans="6:16">
      <c r="F1009" s="1121">
        <f t="shared" si="67"/>
        <v>-7.910257014225394E-4</v>
      </c>
      <c r="G1009" s="1122"/>
      <c r="H1009" s="436">
        <v>41885</v>
      </c>
      <c r="I1009" s="738">
        <v>2000.72</v>
      </c>
      <c r="J1009" s="440">
        <f t="shared" si="66"/>
        <v>-7.7911181253365047E-4</v>
      </c>
      <c r="L1009" s="436">
        <v>41885</v>
      </c>
      <c r="M1009" s="738">
        <v>173.5</v>
      </c>
      <c r="N1009" s="115">
        <f t="shared" ref="N1009:N1072" si="69">M1009/M1008-1</f>
        <v>-1.7261219792865656E-3</v>
      </c>
      <c r="O1009" s="1121">
        <f t="shared" si="68"/>
        <v>-1.7380358681754545E-3</v>
      </c>
      <c r="P1009" s="1122"/>
    </row>
    <row r="1010" spans="6:16">
      <c r="F1010" s="1121">
        <f t="shared" si="67"/>
        <v>-1.5463614877532302E-3</v>
      </c>
      <c r="G1010" s="1122"/>
      <c r="H1010" s="436">
        <v>41886</v>
      </c>
      <c r="I1010" s="738">
        <v>1997.65</v>
      </c>
      <c r="J1010" s="440">
        <f t="shared" si="66"/>
        <v>-1.5344475988643413E-3</v>
      </c>
      <c r="L1010" s="436">
        <v>41886</v>
      </c>
      <c r="M1010" s="738">
        <v>173.04</v>
      </c>
      <c r="N1010" s="115">
        <f t="shared" si="69"/>
        <v>-2.6512968299712281E-3</v>
      </c>
      <c r="O1010" s="1121">
        <f t="shared" si="68"/>
        <v>-2.6632107188601169E-3</v>
      </c>
      <c r="P1010" s="1122"/>
    </row>
    <row r="1011" spans="6:16">
      <c r="F1011" s="1121">
        <f t="shared" si="67"/>
        <v>5.0240033138243467E-3</v>
      </c>
      <c r="G1011" s="1122"/>
      <c r="H1011" s="436">
        <v>41887</v>
      </c>
      <c r="I1011" s="738">
        <v>2007.71</v>
      </c>
      <c r="J1011" s="440">
        <f t="shared" si="66"/>
        <v>5.035917202713236E-3</v>
      </c>
      <c r="L1011" s="436">
        <v>41887</v>
      </c>
      <c r="M1011" s="738">
        <v>174.58</v>
      </c>
      <c r="N1011" s="115">
        <f t="shared" si="69"/>
        <v>8.8996763754045638E-3</v>
      </c>
      <c r="O1011" s="1121">
        <f t="shared" si="68"/>
        <v>8.8877624865156754E-3</v>
      </c>
      <c r="P1011" s="1122"/>
    </row>
    <row r="1012" spans="6:16">
      <c r="F1012" s="1121">
        <f t="shared" si="67"/>
        <v>-3.0850668840923874E-3</v>
      </c>
      <c r="G1012" s="1122"/>
      <c r="H1012" s="436">
        <v>41890</v>
      </c>
      <c r="I1012" s="738">
        <v>2001.54</v>
      </c>
      <c r="J1012" s="440">
        <f t="shared" si="66"/>
        <v>-3.0731529952034986E-3</v>
      </c>
      <c r="L1012" s="436">
        <v>41890</v>
      </c>
      <c r="M1012" s="738">
        <v>174.77</v>
      </c>
      <c r="N1012" s="115">
        <f t="shared" si="69"/>
        <v>1.0883262687593209E-3</v>
      </c>
      <c r="O1012" s="1121">
        <f t="shared" si="68"/>
        <v>1.0764123798704321E-3</v>
      </c>
      <c r="P1012" s="1122"/>
    </row>
    <row r="1013" spans="6:16">
      <c r="F1013" s="1121">
        <f t="shared" si="67"/>
        <v>-6.5568742693958926E-3</v>
      </c>
      <c r="G1013" s="1122"/>
      <c r="H1013" s="436">
        <v>41891</v>
      </c>
      <c r="I1013" s="738">
        <v>1988.44</v>
      </c>
      <c r="J1013" s="440">
        <f t="shared" si="66"/>
        <v>-6.5449603805070034E-3</v>
      </c>
      <c r="L1013" s="436">
        <v>41891</v>
      </c>
      <c r="M1013" s="738">
        <v>174.94</v>
      </c>
      <c r="N1013" s="115">
        <f t="shared" si="69"/>
        <v>9.7270698632478947E-4</v>
      </c>
      <c r="O1013" s="1121">
        <f t="shared" si="68"/>
        <v>9.6079309743590054E-4</v>
      </c>
      <c r="P1013" s="1122"/>
    </row>
    <row r="1014" spans="6:16">
      <c r="F1014" s="1121">
        <f t="shared" si="67"/>
        <v>3.6341604206201398E-3</v>
      </c>
      <c r="G1014" s="1122"/>
      <c r="H1014" s="436">
        <v>41892</v>
      </c>
      <c r="I1014" s="738">
        <v>1995.69</v>
      </c>
      <c r="J1014" s="440">
        <f t="shared" si="66"/>
        <v>3.6460743095090287E-3</v>
      </c>
      <c r="L1014" s="436">
        <v>41892</v>
      </c>
      <c r="M1014" s="738">
        <v>174.59</v>
      </c>
      <c r="N1014" s="115">
        <f t="shared" si="69"/>
        <v>-2.0006859494683393E-3</v>
      </c>
      <c r="O1014" s="1121">
        <f t="shared" si="68"/>
        <v>-2.0125998383572282E-3</v>
      </c>
      <c r="P1014" s="1122"/>
    </row>
    <row r="1015" spans="6:16">
      <c r="F1015" s="1121">
        <f t="shared" si="67"/>
        <v>8.6998660667913315E-4</v>
      </c>
      <c r="G1015" s="1122"/>
      <c r="H1015" s="436">
        <v>41893</v>
      </c>
      <c r="I1015" s="738">
        <v>1997.45</v>
      </c>
      <c r="J1015" s="440">
        <f t="shared" si="66"/>
        <v>8.8190049556802208E-4</v>
      </c>
      <c r="L1015" s="436">
        <v>41893</v>
      </c>
      <c r="M1015" s="738">
        <v>174.2</v>
      </c>
      <c r="N1015" s="115">
        <f t="shared" si="69"/>
        <v>-2.2338049143708627E-3</v>
      </c>
      <c r="O1015" s="1121">
        <f t="shared" si="68"/>
        <v>-2.2457188032597515E-3</v>
      </c>
      <c r="P1015" s="1122"/>
    </row>
    <row r="1016" spans="6:16">
      <c r="F1016" s="1121">
        <f t="shared" si="67"/>
        <v>-5.9745162068443125E-3</v>
      </c>
      <c r="G1016" s="1122"/>
      <c r="H1016" s="436">
        <v>41894</v>
      </c>
      <c r="I1016" s="738">
        <v>1985.54</v>
      </c>
      <c r="J1016" s="440">
        <f t="shared" si="66"/>
        <v>-5.9626023179554233E-3</v>
      </c>
      <c r="L1016" s="436">
        <v>41894</v>
      </c>
      <c r="M1016" s="738">
        <v>174.43</v>
      </c>
      <c r="N1016" s="115">
        <f t="shared" si="69"/>
        <v>1.3203214695753918E-3</v>
      </c>
      <c r="O1016" s="1121">
        <f t="shared" si="68"/>
        <v>1.3084075806865029E-3</v>
      </c>
      <c r="P1016" s="1122"/>
    </row>
    <row r="1017" spans="6:16">
      <c r="F1017" s="1121">
        <f t="shared" si="67"/>
        <v>-7.2204815966648488E-4</v>
      </c>
      <c r="G1017" s="1122"/>
      <c r="H1017" s="436">
        <v>41897</v>
      </c>
      <c r="I1017" s="738">
        <v>1984.13</v>
      </c>
      <c r="J1017" s="440">
        <f t="shared" si="66"/>
        <v>-7.1013427077759594E-4</v>
      </c>
      <c r="L1017" s="436">
        <v>41897</v>
      </c>
      <c r="M1017" s="738">
        <v>175.6</v>
      </c>
      <c r="N1017" s="115">
        <f t="shared" si="69"/>
        <v>6.7075617726308767E-3</v>
      </c>
      <c r="O1017" s="1121">
        <f t="shared" si="68"/>
        <v>6.6956478837419875E-3</v>
      </c>
      <c r="P1017" s="1122"/>
    </row>
    <row r="1018" spans="6:16">
      <c r="F1018" s="1121">
        <f t="shared" si="67"/>
        <v>7.4724747348403541E-3</v>
      </c>
      <c r="G1018" s="1122"/>
      <c r="H1018" s="436">
        <v>41898</v>
      </c>
      <c r="I1018" s="738">
        <v>1998.98</v>
      </c>
      <c r="J1018" s="440">
        <f t="shared" si="66"/>
        <v>7.4843886237292434E-3</v>
      </c>
      <c r="L1018" s="436">
        <v>41898</v>
      </c>
      <c r="M1018" s="738">
        <v>177.19</v>
      </c>
      <c r="N1018" s="115">
        <f t="shared" si="69"/>
        <v>9.0546697038724755E-3</v>
      </c>
      <c r="O1018" s="1121">
        <f t="shared" si="68"/>
        <v>9.0427558149835871E-3</v>
      </c>
      <c r="P1018" s="1122"/>
    </row>
    <row r="1019" spans="6:16">
      <c r="F1019" s="1121">
        <f t="shared" si="67"/>
        <v>1.2837468981124959E-3</v>
      </c>
      <c r="G1019" s="1122"/>
      <c r="H1019" s="436">
        <v>41899</v>
      </c>
      <c r="I1019" s="738">
        <v>2001.57</v>
      </c>
      <c r="J1019" s="440">
        <f t="shared" si="66"/>
        <v>1.2956607870013848E-3</v>
      </c>
      <c r="L1019" s="436">
        <v>41899</v>
      </c>
      <c r="M1019" s="738">
        <v>178.8</v>
      </c>
      <c r="N1019" s="115">
        <f t="shared" si="69"/>
        <v>9.0862915514420273E-3</v>
      </c>
      <c r="O1019" s="1121">
        <f t="shared" si="68"/>
        <v>9.0743776625531389E-3</v>
      </c>
      <c r="P1019" s="1122"/>
    </row>
    <row r="1020" spans="6:16">
      <c r="F1020" s="1121">
        <f t="shared" si="67"/>
        <v>4.8792465501664639E-3</v>
      </c>
      <c r="G1020" s="1122"/>
      <c r="H1020" s="436">
        <v>41900</v>
      </c>
      <c r="I1020" s="738">
        <v>2011.36</v>
      </c>
      <c r="J1020" s="440">
        <f t="shared" si="66"/>
        <v>4.8911604390553531E-3</v>
      </c>
      <c r="L1020" s="436">
        <v>41900</v>
      </c>
      <c r="M1020" s="738">
        <v>179.57</v>
      </c>
      <c r="N1020" s="115">
        <f t="shared" si="69"/>
        <v>4.3064876957492615E-3</v>
      </c>
      <c r="O1020" s="1121">
        <f t="shared" si="68"/>
        <v>4.2945738068603722E-3</v>
      </c>
      <c r="P1020" s="1122"/>
    </row>
    <row r="1021" spans="6:16">
      <c r="F1021" s="1121">
        <f t="shared" si="67"/>
        <v>-4.8920288737742317E-4</v>
      </c>
      <c r="G1021" s="1122"/>
      <c r="H1021" s="436">
        <v>41901</v>
      </c>
      <c r="I1021" s="738">
        <v>2010.4</v>
      </c>
      <c r="J1021" s="440">
        <f t="shared" si="66"/>
        <v>-4.7728899848853423E-4</v>
      </c>
      <c r="L1021" s="436">
        <v>41901</v>
      </c>
      <c r="M1021" s="738">
        <v>180.74</v>
      </c>
      <c r="N1021" s="115">
        <f t="shared" si="69"/>
        <v>6.5155649607395727E-3</v>
      </c>
      <c r="O1021" s="1121">
        <f t="shared" si="68"/>
        <v>6.5036510718506834E-3</v>
      </c>
      <c r="P1021" s="1122"/>
    </row>
    <row r="1022" spans="6:16">
      <c r="F1022" s="1121">
        <f t="shared" si="67"/>
        <v>-8.0252445693505051E-3</v>
      </c>
      <c r="G1022" s="1122"/>
      <c r="H1022" s="436">
        <v>41904</v>
      </c>
      <c r="I1022" s="738">
        <v>1994.29</v>
      </c>
      <c r="J1022" s="440">
        <f t="shared" si="66"/>
        <v>-8.0133306804616167E-3</v>
      </c>
      <c r="L1022" s="436">
        <v>41904</v>
      </c>
      <c r="M1022" s="738">
        <v>178.99</v>
      </c>
      <c r="N1022" s="115">
        <f t="shared" si="69"/>
        <v>-9.6824167312160592E-3</v>
      </c>
      <c r="O1022" s="1121">
        <f t="shared" si="68"/>
        <v>-9.6943306201049476E-3</v>
      </c>
      <c r="P1022" s="1122"/>
    </row>
    <row r="1023" spans="6:16">
      <c r="F1023" s="1121">
        <f t="shared" si="67"/>
        <v>-5.7884057732186045E-3</v>
      </c>
      <c r="G1023" s="1122"/>
      <c r="H1023" s="436">
        <v>41905</v>
      </c>
      <c r="I1023" s="738">
        <v>1982.77</v>
      </c>
      <c r="J1023" s="440">
        <f t="shared" si="66"/>
        <v>-5.7764918843297153E-3</v>
      </c>
      <c r="L1023" s="436">
        <v>41905</v>
      </c>
      <c r="M1023" s="738">
        <v>176.34</v>
      </c>
      <c r="N1023" s="115">
        <f t="shared" si="69"/>
        <v>-1.4805296385272948E-2</v>
      </c>
      <c r="O1023" s="1121">
        <f t="shared" si="68"/>
        <v>-1.4817210274161836E-2</v>
      </c>
      <c r="P1023" s="1122"/>
    </row>
    <row r="1024" spans="6:16">
      <c r="F1024" s="1121">
        <f t="shared" si="67"/>
        <v>7.8205628986355233E-3</v>
      </c>
      <c r="G1024" s="1122"/>
      <c r="H1024" s="436">
        <v>41906</v>
      </c>
      <c r="I1024" s="738">
        <v>1998.3</v>
      </c>
      <c r="J1024" s="440">
        <f t="shared" si="66"/>
        <v>7.8324767875244117E-3</v>
      </c>
      <c r="L1024" s="436">
        <v>41906</v>
      </c>
      <c r="M1024" s="738">
        <v>178.39</v>
      </c>
      <c r="N1024" s="115">
        <f t="shared" si="69"/>
        <v>1.1625269365997504E-2</v>
      </c>
      <c r="O1024" s="1121">
        <f t="shared" si="68"/>
        <v>1.1613355477108615E-2</v>
      </c>
      <c r="P1024" s="1122"/>
    </row>
    <row r="1025" spans="6:16">
      <c r="F1025" s="1121">
        <f t="shared" si="67"/>
        <v>-1.6180657320805987E-2</v>
      </c>
      <c r="G1025" s="1122"/>
      <c r="H1025" s="436">
        <v>41907</v>
      </c>
      <c r="I1025" s="738">
        <v>1965.99</v>
      </c>
      <c r="J1025" s="440">
        <f t="shared" si="66"/>
        <v>-1.6168743431917099E-2</v>
      </c>
      <c r="L1025" s="436">
        <v>41907</v>
      </c>
      <c r="M1025" s="738">
        <v>177.44</v>
      </c>
      <c r="N1025" s="115">
        <f t="shared" si="69"/>
        <v>-5.3254106171870541E-3</v>
      </c>
      <c r="O1025" s="1121">
        <f t="shared" si="68"/>
        <v>-5.3373245060759434E-3</v>
      </c>
      <c r="P1025" s="1122"/>
    </row>
    <row r="1026" spans="6:16">
      <c r="F1026" s="1121">
        <f t="shared" si="67"/>
        <v>8.563918134671604E-3</v>
      </c>
      <c r="G1026" s="1122"/>
      <c r="H1026" s="436">
        <v>41908</v>
      </c>
      <c r="I1026" s="738">
        <v>1982.85</v>
      </c>
      <c r="J1026" s="440">
        <f t="shared" si="66"/>
        <v>8.5758320235604923E-3</v>
      </c>
      <c r="L1026" s="436">
        <v>41908</v>
      </c>
      <c r="M1026" s="738">
        <v>181.58</v>
      </c>
      <c r="N1026" s="115">
        <f t="shared" si="69"/>
        <v>2.3331830477908211E-2</v>
      </c>
      <c r="O1026" s="1121">
        <f t="shared" si="68"/>
        <v>2.3319916589019322E-2</v>
      </c>
      <c r="P1026" s="1122"/>
    </row>
    <row r="1027" spans="6:16">
      <c r="F1027" s="1121">
        <f t="shared" si="67"/>
        <v>-2.5587530345629957E-3</v>
      </c>
      <c r="G1027" s="1122"/>
      <c r="H1027" s="436">
        <v>41911</v>
      </c>
      <c r="I1027" s="738">
        <v>1977.8</v>
      </c>
      <c r="J1027" s="440">
        <f t="shared" si="66"/>
        <v>-2.5468391456741069E-3</v>
      </c>
      <c r="L1027" s="436">
        <v>41911</v>
      </c>
      <c r="M1027" s="738">
        <v>181.36</v>
      </c>
      <c r="N1027" s="115">
        <f t="shared" si="69"/>
        <v>-1.2115871792047761E-3</v>
      </c>
      <c r="O1027" s="1121">
        <f t="shared" si="68"/>
        <v>-1.2235010680936649E-3</v>
      </c>
      <c r="P1027" s="1122"/>
    </row>
    <row r="1028" spans="6:16">
      <c r="F1028" s="1121">
        <f t="shared" si="67"/>
        <v>-2.7978376425545977E-3</v>
      </c>
      <c r="G1028" s="1122"/>
      <c r="H1028" s="436">
        <v>41912</v>
      </c>
      <c r="I1028" s="738">
        <v>1972.29</v>
      </c>
      <c r="J1028" s="440">
        <f t="shared" si="66"/>
        <v>-2.7859237536657089E-3</v>
      </c>
      <c r="L1028" s="436">
        <v>41912</v>
      </c>
      <c r="M1028" s="738">
        <v>182.78</v>
      </c>
      <c r="N1028" s="115">
        <f t="shared" si="69"/>
        <v>7.8297309219230726E-3</v>
      </c>
      <c r="O1028" s="1121">
        <f t="shared" si="68"/>
        <v>7.8178170330341842E-3</v>
      </c>
      <c r="P1028" s="1122"/>
    </row>
    <row r="1029" spans="6:16">
      <c r="F1029" s="1121">
        <f t="shared" si="67"/>
        <v>-1.3260472670812325E-2</v>
      </c>
      <c r="G1029" s="1122"/>
      <c r="H1029" s="436">
        <v>41913</v>
      </c>
      <c r="I1029" s="738">
        <v>1946.16</v>
      </c>
      <c r="J1029" s="440">
        <f t="shared" si="66"/>
        <v>-1.3248558781923436E-2</v>
      </c>
      <c r="L1029" s="436">
        <v>41913</v>
      </c>
      <c r="M1029" s="738">
        <v>177.89</v>
      </c>
      <c r="N1029" s="115">
        <f t="shared" si="69"/>
        <v>-2.6753474121895215E-2</v>
      </c>
      <c r="O1029" s="1121">
        <f t="shared" si="68"/>
        <v>-2.6765388010784104E-2</v>
      </c>
      <c r="P1029" s="1122"/>
    </row>
    <row r="1030" spans="6:16">
      <c r="F1030" s="1121">
        <f t="shared" si="67"/>
        <v>-6.7755652156739033E-6</v>
      </c>
      <c r="G1030" s="1122"/>
      <c r="H1030" s="436">
        <v>41914</v>
      </c>
      <c r="I1030" s="738">
        <v>1946.17</v>
      </c>
      <c r="J1030" s="440">
        <f t="shared" si="66"/>
        <v>5.138323673214984E-6</v>
      </c>
      <c r="L1030" s="436">
        <v>41914</v>
      </c>
      <c r="M1030" s="738">
        <v>176.35</v>
      </c>
      <c r="N1030" s="115">
        <f t="shared" si="69"/>
        <v>-8.6570352465006328E-3</v>
      </c>
      <c r="O1030" s="1121">
        <f t="shared" si="68"/>
        <v>-8.6689491353895212E-3</v>
      </c>
      <c r="P1030" s="1122"/>
    </row>
    <row r="1031" spans="6:16">
      <c r="F1031" s="1121">
        <f t="shared" si="67"/>
        <v>1.1153606081103377E-2</v>
      </c>
      <c r="G1031" s="1122"/>
      <c r="H1031" s="436">
        <v>41915</v>
      </c>
      <c r="I1031" s="738">
        <v>1967.9</v>
      </c>
      <c r="J1031" s="440">
        <f t="shared" si="66"/>
        <v>1.1165519969992266E-2</v>
      </c>
      <c r="L1031" s="436">
        <v>41915</v>
      </c>
      <c r="M1031" s="738">
        <v>178.34</v>
      </c>
      <c r="N1031" s="115">
        <f t="shared" si="69"/>
        <v>1.1284377658066447E-2</v>
      </c>
      <c r="O1031" s="1121">
        <f t="shared" si="68"/>
        <v>1.1272463769177558E-2</v>
      </c>
      <c r="P1031" s="1122"/>
    </row>
    <row r="1032" spans="6:16">
      <c r="F1032" s="1121">
        <f t="shared" si="67"/>
        <v>-1.5770340677598933E-3</v>
      </c>
      <c r="G1032" s="1122"/>
      <c r="H1032" s="436">
        <v>41918</v>
      </c>
      <c r="I1032" s="738">
        <v>1964.82</v>
      </c>
      <c r="J1032" s="440">
        <f t="shared" si="66"/>
        <v>-1.5651201788710045E-3</v>
      </c>
      <c r="L1032" s="436">
        <v>41918</v>
      </c>
      <c r="M1032" s="738">
        <v>176.92</v>
      </c>
      <c r="N1032" s="115">
        <f t="shared" si="69"/>
        <v>-7.9623191656387204E-3</v>
      </c>
      <c r="O1032" s="1121">
        <f t="shared" si="68"/>
        <v>-7.9742330545276088E-3</v>
      </c>
      <c r="P1032" s="1122"/>
    </row>
    <row r="1033" spans="6:16">
      <c r="F1033" s="1121">
        <f t="shared" si="67"/>
        <v>-1.5137981416703201E-2</v>
      </c>
      <c r="G1033" s="1122"/>
      <c r="H1033" s="436">
        <v>41919</v>
      </c>
      <c r="I1033" s="738">
        <v>1935.1</v>
      </c>
      <c r="J1033" s="440">
        <f t="shared" si="66"/>
        <v>-1.5126067527814313E-2</v>
      </c>
      <c r="L1033" s="436">
        <v>41919</v>
      </c>
      <c r="M1033" s="738">
        <v>173.02</v>
      </c>
      <c r="N1033" s="115">
        <f t="shared" si="69"/>
        <v>-2.2043861632376038E-2</v>
      </c>
      <c r="O1033" s="1121">
        <f t="shared" si="68"/>
        <v>-2.2055775521264927E-2</v>
      </c>
      <c r="P1033" s="1122"/>
    </row>
    <row r="1034" spans="6:16">
      <c r="F1034" s="1121">
        <f t="shared" si="67"/>
        <v>1.7449716001039277E-2</v>
      </c>
      <c r="G1034" s="1122"/>
      <c r="H1034" s="436">
        <v>41920</v>
      </c>
      <c r="I1034" s="738">
        <v>1968.89</v>
      </c>
      <c r="J1034" s="440">
        <f t="shared" si="66"/>
        <v>1.7461629889928165E-2</v>
      </c>
      <c r="L1034" s="436">
        <v>41920</v>
      </c>
      <c r="M1034" s="738">
        <v>176.35</v>
      </c>
      <c r="N1034" s="115">
        <f t="shared" si="69"/>
        <v>1.924632990405728E-2</v>
      </c>
      <c r="O1034" s="1121">
        <f t="shared" si="68"/>
        <v>1.9234416015168392E-2</v>
      </c>
      <c r="P1034" s="1122"/>
    </row>
    <row r="1035" spans="6:16">
      <c r="F1035" s="1121">
        <f t="shared" si="67"/>
        <v>-2.0673301777496163E-2</v>
      </c>
      <c r="G1035" s="1122"/>
      <c r="H1035" s="436">
        <v>41921</v>
      </c>
      <c r="I1035" s="738">
        <v>1928.21</v>
      </c>
      <c r="J1035" s="440">
        <f t="shared" si="66"/>
        <v>-2.0661387888607274E-2</v>
      </c>
      <c r="L1035" s="436">
        <v>41921</v>
      </c>
      <c r="M1035" s="738">
        <v>174.55</v>
      </c>
      <c r="N1035" s="115">
        <f t="shared" si="69"/>
        <v>-1.0206974766090116E-2</v>
      </c>
      <c r="O1035" s="1121">
        <f t="shared" si="68"/>
        <v>-1.0218888654979004E-2</v>
      </c>
      <c r="P1035" s="1122"/>
    </row>
    <row r="1036" spans="6:16">
      <c r="F1036" s="1121">
        <f t="shared" si="67"/>
        <v>-1.1462948786540091E-2</v>
      </c>
      <c r="G1036" s="1122"/>
      <c r="H1036" s="436">
        <v>41922</v>
      </c>
      <c r="I1036" s="738">
        <v>1906.13</v>
      </c>
      <c r="J1036" s="440">
        <f t="shared" si="66"/>
        <v>-1.1451034897651202E-2</v>
      </c>
      <c r="L1036" s="436">
        <v>41922</v>
      </c>
      <c r="M1036" s="738">
        <v>174.47</v>
      </c>
      <c r="N1036" s="115">
        <f t="shared" si="69"/>
        <v>-4.5832139788037907E-4</v>
      </c>
      <c r="O1036" s="1121">
        <f t="shared" si="68"/>
        <v>-4.7023528676926795E-4</v>
      </c>
      <c r="P1036" s="1122"/>
    </row>
    <row r="1037" spans="6:16">
      <c r="F1037" s="1121">
        <f t="shared" si="67"/>
        <v>-1.6479835803973393E-2</v>
      </c>
      <c r="G1037" s="1122"/>
      <c r="H1037" s="436">
        <v>41925</v>
      </c>
      <c r="I1037" s="738">
        <v>1874.74</v>
      </c>
      <c r="J1037" s="440">
        <f t="shared" si="66"/>
        <v>-1.6467921915084505E-2</v>
      </c>
      <c r="L1037" s="436">
        <v>41925</v>
      </c>
      <c r="M1037" s="738">
        <v>172.88</v>
      </c>
      <c r="N1037" s="115">
        <f t="shared" si="69"/>
        <v>-9.1133146099615647E-3</v>
      </c>
      <c r="O1037" s="1121">
        <f t="shared" si="68"/>
        <v>-9.1252284988504531E-3</v>
      </c>
      <c r="P1037" s="1122"/>
    </row>
    <row r="1038" spans="6:16">
      <c r="F1038" s="1121">
        <f t="shared" si="67"/>
        <v>1.5669717165817036E-3</v>
      </c>
      <c r="G1038" s="1122"/>
      <c r="H1038" s="436">
        <v>41926</v>
      </c>
      <c r="I1038" s="738">
        <v>1877.7</v>
      </c>
      <c r="J1038" s="440">
        <f t="shared" si="66"/>
        <v>1.5788856054705924E-3</v>
      </c>
      <c r="L1038" s="436">
        <v>41926</v>
      </c>
      <c r="M1038" s="738">
        <v>176.11</v>
      </c>
      <c r="N1038" s="115">
        <f t="shared" si="69"/>
        <v>1.8683479870430508E-2</v>
      </c>
      <c r="O1038" s="1121">
        <f t="shared" si="68"/>
        <v>1.867156598154162E-2</v>
      </c>
      <c r="P1038" s="1122"/>
    </row>
    <row r="1039" spans="6:16">
      <c r="F1039" s="1121">
        <f t="shared" si="67"/>
        <v>-8.1122494057446273E-3</v>
      </c>
      <c r="G1039" s="1122"/>
      <c r="H1039" s="436">
        <v>41927</v>
      </c>
      <c r="I1039" s="738">
        <v>1862.49</v>
      </c>
      <c r="J1039" s="440">
        <f t="shared" si="66"/>
        <v>-8.1003355168557389E-3</v>
      </c>
      <c r="L1039" s="436">
        <v>41927</v>
      </c>
      <c r="M1039" s="738">
        <v>175.19</v>
      </c>
      <c r="N1039" s="115">
        <f t="shared" si="69"/>
        <v>-5.2240077224462445E-3</v>
      </c>
      <c r="O1039" s="1121">
        <f t="shared" si="68"/>
        <v>-5.2359216113351337E-3</v>
      </c>
      <c r="P1039" s="1122"/>
    </row>
    <row r="1040" spans="6:16">
      <c r="F1040" s="1121">
        <f t="shared" si="67"/>
        <v>1.3305333241164042E-4</v>
      </c>
      <c r="G1040" s="1122"/>
      <c r="H1040" s="436">
        <v>41928</v>
      </c>
      <c r="I1040" s="738">
        <v>1862.76</v>
      </c>
      <c r="J1040" s="440">
        <f t="shared" si="66"/>
        <v>1.449672213005293E-4</v>
      </c>
      <c r="L1040" s="436">
        <v>41928</v>
      </c>
      <c r="M1040" s="738">
        <v>174.72</v>
      </c>
      <c r="N1040" s="115">
        <f t="shared" si="69"/>
        <v>-2.6828015297676311E-3</v>
      </c>
      <c r="O1040" s="1121">
        <f t="shared" si="68"/>
        <v>-2.6947154186565199E-3</v>
      </c>
      <c r="P1040" s="1122"/>
    </row>
    <row r="1041" spans="6:16">
      <c r="F1041" s="1121">
        <f t="shared" si="67"/>
        <v>1.2872193564567362E-2</v>
      </c>
      <c r="G1041" s="1122"/>
      <c r="H1041" s="436">
        <v>41929</v>
      </c>
      <c r="I1041" s="738">
        <v>1886.76</v>
      </c>
      <c r="J1041" s="440">
        <f t="shared" si="66"/>
        <v>1.2884107453456251E-2</v>
      </c>
      <c r="L1041" s="436">
        <v>41929</v>
      </c>
      <c r="M1041" s="738">
        <v>176.24</v>
      </c>
      <c r="N1041" s="115">
        <f t="shared" si="69"/>
        <v>8.6996336996336687E-3</v>
      </c>
      <c r="O1041" s="1121">
        <f t="shared" si="68"/>
        <v>8.6877198107447803E-3</v>
      </c>
      <c r="P1041" s="1122"/>
    </row>
    <row r="1042" spans="6:16">
      <c r="F1042" s="1121">
        <f t="shared" si="67"/>
        <v>9.1307433648158895E-3</v>
      </c>
      <c r="G1042" s="1122"/>
      <c r="H1042" s="436">
        <v>41932</v>
      </c>
      <c r="I1042" s="738">
        <v>1904.01</v>
      </c>
      <c r="J1042" s="440">
        <f t="shared" si="66"/>
        <v>9.1426572537047779E-3</v>
      </c>
      <c r="L1042" s="436">
        <v>41932</v>
      </c>
      <c r="M1042" s="738">
        <v>175.53</v>
      </c>
      <c r="N1042" s="115">
        <f t="shared" si="69"/>
        <v>-4.0285973672266051E-3</v>
      </c>
      <c r="O1042" s="1121">
        <f t="shared" si="68"/>
        <v>-4.0405112561154944E-3</v>
      </c>
      <c r="P1042" s="1122"/>
    </row>
    <row r="1043" spans="6:16">
      <c r="F1043" s="1121">
        <f t="shared" si="67"/>
        <v>1.9562563135916748E-2</v>
      </c>
      <c r="G1043" s="1122"/>
      <c r="H1043" s="436">
        <v>41933</v>
      </c>
      <c r="I1043" s="738">
        <v>1941.28</v>
      </c>
      <c r="J1043" s="440">
        <f t="shared" si="66"/>
        <v>1.9574477024805637E-2</v>
      </c>
      <c r="L1043" s="436">
        <v>41933</v>
      </c>
      <c r="M1043" s="738">
        <v>172.61</v>
      </c>
      <c r="N1043" s="115">
        <f t="shared" si="69"/>
        <v>-1.663533299151132E-2</v>
      </c>
      <c r="O1043" s="1121">
        <f t="shared" si="68"/>
        <v>-1.6647246880400209E-2</v>
      </c>
      <c r="P1043" s="1122"/>
    </row>
    <row r="1044" spans="6:16">
      <c r="F1044" s="1121">
        <f t="shared" si="67"/>
        <v>-7.3112215621766808E-3</v>
      </c>
      <c r="G1044" s="1122"/>
      <c r="H1044" s="436">
        <v>41934</v>
      </c>
      <c r="I1044" s="738">
        <v>1927.11</v>
      </c>
      <c r="J1044" s="440">
        <f t="shared" si="66"/>
        <v>-7.2993076732877915E-3</v>
      </c>
      <c r="L1044" s="436">
        <v>41934</v>
      </c>
      <c r="M1044" s="738">
        <v>176.01</v>
      </c>
      <c r="N1044" s="115">
        <f t="shared" si="69"/>
        <v>1.9697584149237946E-2</v>
      </c>
      <c r="O1044" s="1121">
        <f t="shared" si="68"/>
        <v>1.9685670260349057E-2</v>
      </c>
      <c r="P1044" s="1122"/>
    </row>
    <row r="1045" spans="6:16">
      <c r="F1045" s="1121">
        <f t="shared" si="67"/>
        <v>1.2291483426261844E-2</v>
      </c>
      <c r="G1045" s="1122"/>
      <c r="H1045" s="436">
        <v>41935</v>
      </c>
      <c r="I1045" s="738">
        <v>1950.82</v>
      </c>
      <c r="J1045" s="440">
        <f t="shared" si="66"/>
        <v>1.2303397315150733E-2</v>
      </c>
      <c r="L1045" s="436">
        <v>41935</v>
      </c>
      <c r="M1045" s="738">
        <v>180.67</v>
      </c>
      <c r="N1045" s="115">
        <f t="shared" si="69"/>
        <v>2.6475768422248747E-2</v>
      </c>
      <c r="O1045" s="1121">
        <f t="shared" si="68"/>
        <v>2.6463854533359858E-2</v>
      </c>
      <c r="P1045" s="1122"/>
    </row>
    <row r="1046" spans="6:16">
      <c r="F1046" s="1121">
        <f t="shared" si="67"/>
        <v>7.0415303038094878E-3</v>
      </c>
      <c r="G1046" s="1122"/>
      <c r="H1046" s="436">
        <v>41936</v>
      </c>
      <c r="I1046" s="738">
        <v>1964.58</v>
      </c>
      <c r="J1046" s="440">
        <f t="shared" si="66"/>
        <v>7.0534441926983771E-3</v>
      </c>
      <c r="L1046" s="436">
        <v>41936</v>
      </c>
      <c r="M1046" s="738">
        <v>181.33</v>
      </c>
      <c r="N1046" s="115">
        <f t="shared" si="69"/>
        <v>3.6530691315659336E-3</v>
      </c>
      <c r="O1046" s="1121">
        <f t="shared" si="68"/>
        <v>3.6411552426770448E-3</v>
      </c>
      <c r="P1046" s="1122"/>
    </row>
    <row r="1047" spans="6:16">
      <c r="F1047" s="1121">
        <f t="shared" si="67"/>
        <v>-1.5135071047415257E-3</v>
      </c>
      <c r="G1047" s="1122"/>
      <c r="H1047" s="436">
        <v>41939</v>
      </c>
      <c r="I1047" s="738">
        <v>1961.63</v>
      </c>
      <c r="J1047" s="440">
        <f t="shared" si="66"/>
        <v>-1.5015932158526368E-3</v>
      </c>
      <c r="L1047" s="436">
        <v>41939</v>
      </c>
      <c r="M1047" s="738">
        <v>183</v>
      </c>
      <c r="N1047" s="115">
        <f t="shared" si="69"/>
        <v>9.209728120002092E-3</v>
      </c>
      <c r="O1047" s="1121">
        <f t="shared" si="68"/>
        <v>9.1978142311132036E-3</v>
      </c>
      <c r="P1047" s="1122"/>
    </row>
    <row r="1048" spans="6:16">
      <c r="F1048" s="1121">
        <f t="shared" si="67"/>
        <v>1.1927136798549502E-2</v>
      </c>
      <c r="G1048" s="1122"/>
      <c r="H1048" s="436">
        <v>41940</v>
      </c>
      <c r="I1048" s="738">
        <v>1985.05</v>
      </c>
      <c r="J1048" s="440">
        <f t="shared" si="66"/>
        <v>1.1939050687438391E-2</v>
      </c>
      <c r="L1048" s="436">
        <v>41940</v>
      </c>
      <c r="M1048" s="738">
        <v>185.55</v>
      </c>
      <c r="N1048" s="115">
        <f t="shared" si="69"/>
        <v>1.3934426229508245E-2</v>
      </c>
      <c r="O1048" s="1121">
        <f t="shared" si="68"/>
        <v>1.3922512340619357E-2</v>
      </c>
      <c r="P1048" s="1122"/>
    </row>
    <row r="1049" spans="6:16">
      <c r="F1049" s="1121">
        <f t="shared" si="67"/>
        <v>-1.3972694214951027E-3</v>
      </c>
      <c r="G1049" s="1122"/>
      <c r="H1049" s="436">
        <v>41941</v>
      </c>
      <c r="I1049" s="738">
        <v>1982.3</v>
      </c>
      <c r="J1049" s="440">
        <f t="shared" si="66"/>
        <v>-1.3853555326062139E-3</v>
      </c>
      <c r="L1049" s="436">
        <v>41941</v>
      </c>
      <c r="M1049" s="738">
        <v>186.43</v>
      </c>
      <c r="N1049" s="115">
        <f t="shared" si="69"/>
        <v>4.7426569657773587E-3</v>
      </c>
      <c r="O1049" s="1121">
        <f t="shared" si="68"/>
        <v>4.7307430768884695E-3</v>
      </c>
      <c r="P1049" s="1122"/>
    </row>
    <row r="1050" spans="6:16">
      <c r="F1050" s="1121">
        <f t="shared" si="67"/>
        <v>6.2182228209935941E-3</v>
      </c>
      <c r="G1050" s="1122"/>
      <c r="H1050" s="436">
        <v>41942</v>
      </c>
      <c r="I1050" s="738">
        <v>1994.65</v>
      </c>
      <c r="J1050" s="440">
        <f t="shared" si="66"/>
        <v>6.2301367098824834E-3</v>
      </c>
      <c r="L1050" s="436">
        <v>41942</v>
      </c>
      <c r="M1050" s="738">
        <v>189.29</v>
      </c>
      <c r="N1050" s="115">
        <f t="shared" si="69"/>
        <v>1.5340878613956832E-2</v>
      </c>
      <c r="O1050" s="1121">
        <f t="shared" si="68"/>
        <v>1.5328964725067944E-2</v>
      </c>
      <c r="P1050" s="1122"/>
    </row>
    <row r="1051" spans="6:16">
      <c r="F1051" s="1121">
        <f t="shared" si="67"/>
        <v>1.1719467556477452E-2</v>
      </c>
      <c r="G1051" s="1122"/>
      <c r="H1051" s="436">
        <v>41943</v>
      </c>
      <c r="I1051" s="738">
        <v>2018.05</v>
      </c>
      <c r="J1051" s="440">
        <f t="shared" si="66"/>
        <v>1.173138144536634E-2</v>
      </c>
      <c r="L1051" s="436">
        <v>41943</v>
      </c>
      <c r="M1051" s="738">
        <v>190.57</v>
      </c>
      <c r="N1051" s="115">
        <f t="shared" si="69"/>
        <v>6.7621110465423406E-3</v>
      </c>
      <c r="O1051" s="1121">
        <f t="shared" si="68"/>
        <v>6.7501971576534514E-3</v>
      </c>
      <c r="P1051" s="1122"/>
    </row>
    <row r="1052" spans="6:16">
      <c r="F1052" s="1121">
        <f t="shared" si="67"/>
        <v>-1.3084057554180927E-4</v>
      </c>
      <c r="G1052" s="1122"/>
      <c r="H1052" s="436">
        <v>41946</v>
      </c>
      <c r="I1052" s="738">
        <v>2017.81</v>
      </c>
      <c r="J1052" s="440">
        <f t="shared" si="66"/>
        <v>-1.1892668665292039E-4</v>
      </c>
      <c r="L1052" s="436">
        <v>41946</v>
      </c>
      <c r="M1052" s="738">
        <v>190.75</v>
      </c>
      <c r="N1052" s="115">
        <f t="shared" si="69"/>
        <v>9.4453481660283778E-4</v>
      </c>
      <c r="O1052" s="1121">
        <f t="shared" si="68"/>
        <v>9.3262092771394885E-4</v>
      </c>
      <c r="P1052" s="1122"/>
    </row>
    <row r="1053" spans="6:16">
      <c r="F1053" s="1121">
        <f t="shared" si="67"/>
        <v>-2.8417145143194785E-3</v>
      </c>
      <c r="G1053" s="1122"/>
      <c r="H1053" s="436">
        <v>41947</v>
      </c>
      <c r="I1053" s="738">
        <v>2012.1</v>
      </c>
      <c r="J1053" s="440">
        <f t="shared" ref="J1053:J1116" si="70">I1053/I1052-1</f>
        <v>-2.8298006254305896E-3</v>
      </c>
      <c r="L1053" s="436">
        <v>41947</v>
      </c>
      <c r="M1053" s="738">
        <v>190.79</v>
      </c>
      <c r="N1053" s="115">
        <f t="shared" si="69"/>
        <v>2.0969855832242423E-4</v>
      </c>
      <c r="O1053" s="1121">
        <f t="shared" si="68"/>
        <v>1.9778466943353535E-4</v>
      </c>
      <c r="P1053" s="1122"/>
    </row>
    <row r="1054" spans="6:16">
      <c r="F1054" s="1121">
        <f t="shared" ref="F1054:F1117" si="71">J1054-$I$19</f>
        <v>5.6885980140980374E-3</v>
      </c>
      <c r="G1054" s="1122"/>
      <c r="H1054" s="436">
        <v>41948</v>
      </c>
      <c r="I1054" s="738">
        <v>2023.57</v>
      </c>
      <c r="J1054" s="440">
        <f t="shared" si="70"/>
        <v>5.7005119029869267E-3</v>
      </c>
      <c r="L1054" s="436">
        <v>41948</v>
      </c>
      <c r="M1054" s="738">
        <v>189.73</v>
      </c>
      <c r="N1054" s="115">
        <f t="shared" si="69"/>
        <v>-5.5558467424917657E-3</v>
      </c>
      <c r="O1054" s="1121">
        <f t="shared" ref="O1054:O1117" si="72">N1054-$I$19</f>
        <v>-5.5677606313806549E-3</v>
      </c>
      <c r="P1054" s="1122"/>
    </row>
    <row r="1055" spans="6:16">
      <c r="F1055" s="1121">
        <f t="shared" si="71"/>
        <v>3.763591776840484E-3</v>
      </c>
      <c r="G1055" s="1122"/>
      <c r="H1055" s="436">
        <v>41949</v>
      </c>
      <c r="I1055" s="738">
        <v>2031.21</v>
      </c>
      <c r="J1055" s="440">
        <f t="shared" si="70"/>
        <v>3.7755056657293729E-3</v>
      </c>
      <c r="L1055" s="436">
        <v>41949</v>
      </c>
      <c r="M1055" s="738">
        <v>189.88</v>
      </c>
      <c r="N1055" s="115">
        <f t="shared" si="69"/>
        <v>7.9059716439155991E-4</v>
      </c>
      <c r="O1055" s="1121">
        <f t="shared" si="72"/>
        <v>7.7868327550267098E-4</v>
      </c>
      <c r="P1055" s="1122"/>
    </row>
    <row r="1056" spans="6:16">
      <c r="F1056" s="1121">
        <f t="shared" si="71"/>
        <v>3.3763145600406531E-4</v>
      </c>
      <c r="G1056" s="1122"/>
      <c r="H1056" s="436">
        <v>41950</v>
      </c>
      <c r="I1056" s="738">
        <v>2031.92</v>
      </c>
      <c r="J1056" s="440">
        <f t="shared" si="70"/>
        <v>3.4954534489295419E-4</v>
      </c>
      <c r="L1056" s="436">
        <v>41950</v>
      </c>
      <c r="M1056" s="738">
        <v>186.15</v>
      </c>
      <c r="N1056" s="115">
        <f t="shared" si="69"/>
        <v>-1.9643985675163234E-2</v>
      </c>
      <c r="O1056" s="1121">
        <f t="shared" si="72"/>
        <v>-1.9655899564052122E-2</v>
      </c>
      <c r="P1056" s="1122"/>
    </row>
    <row r="1057" spans="6:16">
      <c r="F1057" s="1121">
        <f t="shared" si="71"/>
        <v>3.1082876938505126E-3</v>
      </c>
      <c r="G1057" s="1122"/>
      <c r="H1057" s="436">
        <v>41953</v>
      </c>
      <c r="I1057" s="738">
        <v>2038.26</v>
      </c>
      <c r="J1057" s="440">
        <f t="shared" si="70"/>
        <v>3.1202015827394014E-3</v>
      </c>
      <c r="L1057" s="436">
        <v>41953</v>
      </c>
      <c r="M1057" s="738">
        <v>186.99</v>
      </c>
      <c r="N1057" s="115">
        <f t="shared" si="69"/>
        <v>4.5124899274777697E-3</v>
      </c>
      <c r="O1057" s="1121">
        <f t="shared" si="72"/>
        <v>4.5005760385888804E-3</v>
      </c>
      <c r="P1057" s="1122"/>
    </row>
    <row r="1058" spans="6:16">
      <c r="F1058" s="1121">
        <f t="shared" si="71"/>
        <v>6.8475876327533187E-4</v>
      </c>
      <c r="G1058" s="1122"/>
      <c r="H1058" s="436">
        <v>41954</v>
      </c>
      <c r="I1058" s="738">
        <v>2039.68</v>
      </c>
      <c r="J1058" s="440">
        <f t="shared" si="70"/>
        <v>6.9667265216422081E-4</v>
      </c>
      <c r="L1058" s="436">
        <v>41954</v>
      </c>
      <c r="M1058" s="738">
        <v>187.12</v>
      </c>
      <c r="N1058" s="115">
        <f t="shared" si="69"/>
        <v>6.9522434354785112E-4</v>
      </c>
      <c r="O1058" s="1121">
        <f t="shared" si="72"/>
        <v>6.8331045465896219E-4</v>
      </c>
      <c r="P1058" s="1122"/>
    </row>
    <row r="1059" spans="6:16">
      <c r="F1059" s="1121">
        <f t="shared" si="71"/>
        <v>-7.1300425600529709E-4</v>
      </c>
      <c r="G1059" s="1122"/>
      <c r="H1059" s="436">
        <v>41955</v>
      </c>
      <c r="I1059" s="738">
        <v>2038.25</v>
      </c>
      <c r="J1059" s="440">
        <f t="shared" si="70"/>
        <v>-7.0109036711640815E-4</v>
      </c>
      <c r="L1059" s="436">
        <v>41955</v>
      </c>
      <c r="M1059" s="738">
        <v>186.87</v>
      </c>
      <c r="N1059" s="115">
        <f t="shared" si="69"/>
        <v>-1.3360410431808578E-3</v>
      </c>
      <c r="O1059" s="1121">
        <f t="shared" si="72"/>
        <v>-1.3479549320697466E-3</v>
      </c>
      <c r="P1059" s="1122"/>
    </row>
    <row r="1060" spans="6:16">
      <c r="F1060" s="1121">
        <f t="shared" si="71"/>
        <v>5.179524179920106E-4</v>
      </c>
      <c r="G1060" s="1122"/>
      <c r="H1060" s="436">
        <v>41956</v>
      </c>
      <c r="I1060" s="738">
        <v>2039.33</v>
      </c>
      <c r="J1060" s="440">
        <f t="shared" si="70"/>
        <v>5.2986630688089953E-4</v>
      </c>
      <c r="L1060" s="436">
        <v>41956</v>
      </c>
      <c r="M1060" s="738">
        <v>187.97</v>
      </c>
      <c r="N1060" s="115">
        <f t="shared" si="69"/>
        <v>5.8864451222775394E-3</v>
      </c>
      <c r="O1060" s="1121">
        <f t="shared" si="72"/>
        <v>5.8745312333886501E-3</v>
      </c>
      <c r="P1060" s="1122"/>
    </row>
    <row r="1061" spans="6:16">
      <c r="F1061" s="1121">
        <f t="shared" si="71"/>
        <v>2.283611033880787E-4</v>
      </c>
      <c r="G1061" s="1122"/>
      <c r="H1061" s="436">
        <v>41957</v>
      </c>
      <c r="I1061" s="738">
        <v>2039.82</v>
      </c>
      <c r="J1061" s="440">
        <f t="shared" si="70"/>
        <v>2.4027499227696758E-4</v>
      </c>
      <c r="L1061" s="436">
        <v>41957</v>
      </c>
      <c r="M1061" s="738">
        <v>186.6</v>
      </c>
      <c r="N1061" s="115">
        <f t="shared" si="69"/>
        <v>-7.2883970846412405E-3</v>
      </c>
      <c r="O1061" s="1121">
        <f t="shared" si="72"/>
        <v>-7.3003109735301297E-3</v>
      </c>
      <c r="P1061" s="1122"/>
    </row>
    <row r="1062" spans="6:16">
      <c r="F1062" s="1121">
        <f t="shared" si="71"/>
        <v>7.2344511337606805E-4</v>
      </c>
      <c r="G1062" s="1122"/>
      <c r="H1062" s="436">
        <v>41960</v>
      </c>
      <c r="I1062" s="738">
        <v>2041.32</v>
      </c>
      <c r="J1062" s="440">
        <f t="shared" si="70"/>
        <v>7.3535900226495698E-4</v>
      </c>
      <c r="L1062" s="436">
        <v>41960</v>
      </c>
      <c r="M1062" s="738">
        <v>185.51</v>
      </c>
      <c r="N1062" s="115">
        <f t="shared" si="69"/>
        <v>-5.8413719185423929E-3</v>
      </c>
      <c r="O1062" s="1121">
        <f t="shared" si="72"/>
        <v>-5.8532858074312822E-3</v>
      </c>
      <c r="P1062" s="1122"/>
    </row>
    <row r="1063" spans="6:16">
      <c r="F1063" s="1121">
        <f t="shared" si="71"/>
        <v>5.1220190564603618E-3</v>
      </c>
      <c r="G1063" s="1122"/>
      <c r="H1063" s="436">
        <v>41961</v>
      </c>
      <c r="I1063" s="738">
        <v>2051.8000000000002</v>
      </c>
      <c r="J1063" s="440">
        <f t="shared" si="70"/>
        <v>5.133932945349251E-3</v>
      </c>
      <c r="L1063" s="436">
        <v>41961</v>
      </c>
      <c r="M1063" s="738">
        <v>186.56</v>
      </c>
      <c r="N1063" s="115">
        <f t="shared" si="69"/>
        <v>5.660072233302893E-3</v>
      </c>
      <c r="O1063" s="1121">
        <f t="shared" si="72"/>
        <v>5.6481583444140037E-3</v>
      </c>
      <c r="P1063" s="1122"/>
    </row>
    <row r="1064" spans="6:16">
      <c r="F1064" s="1121">
        <f t="shared" si="71"/>
        <v>-1.513034855844871E-3</v>
      </c>
      <c r="G1064" s="1122"/>
      <c r="H1064" s="436">
        <v>41962</v>
      </c>
      <c r="I1064" s="738">
        <v>2048.7199999999998</v>
      </c>
      <c r="J1064" s="440">
        <f t="shared" si="70"/>
        <v>-1.5011209669559822E-3</v>
      </c>
      <c r="L1064" s="436">
        <v>41962</v>
      </c>
      <c r="M1064" s="738">
        <v>186</v>
      </c>
      <c r="N1064" s="115">
        <f t="shared" si="69"/>
        <v>-3.0017152658662338E-3</v>
      </c>
      <c r="O1064" s="1121">
        <f t="shared" si="72"/>
        <v>-3.0136291547551227E-3</v>
      </c>
      <c r="P1064" s="1122"/>
    </row>
    <row r="1065" spans="6:16">
      <c r="F1065" s="1121">
        <f t="shared" si="71"/>
        <v>1.9551679963859462E-3</v>
      </c>
      <c r="G1065" s="1122"/>
      <c r="H1065" s="436">
        <v>41963</v>
      </c>
      <c r="I1065" s="738">
        <v>2052.75</v>
      </c>
      <c r="J1065" s="440">
        <f t="shared" si="70"/>
        <v>1.9670818852748351E-3</v>
      </c>
      <c r="L1065" s="436">
        <v>41963</v>
      </c>
      <c r="M1065" s="738">
        <v>185.56</v>
      </c>
      <c r="N1065" s="115">
        <f t="shared" si="69"/>
        <v>-2.3655913978494203E-3</v>
      </c>
      <c r="O1065" s="1121">
        <f t="shared" si="72"/>
        <v>-2.3775052867383091E-3</v>
      </c>
      <c r="P1065" s="1122"/>
    </row>
    <row r="1066" spans="6:16">
      <c r="F1066" s="1121">
        <f t="shared" si="71"/>
        <v>5.2249634707505132E-3</v>
      </c>
      <c r="G1066" s="1122"/>
      <c r="H1066" s="436">
        <v>41964</v>
      </c>
      <c r="I1066" s="738">
        <v>2063.5</v>
      </c>
      <c r="J1066" s="440">
        <f t="shared" si="70"/>
        <v>5.2368773596394025E-3</v>
      </c>
      <c r="L1066" s="436">
        <v>41964</v>
      </c>
      <c r="M1066" s="738">
        <v>187.93</v>
      </c>
      <c r="N1066" s="115">
        <f t="shared" si="69"/>
        <v>1.277214917007985E-2</v>
      </c>
      <c r="O1066" s="1121">
        <f t="shared" si="72"/>
        <v>1.2760235281190961E-2</v>
      </c>
      <c r="P1066" s="1122"/>
    </row>
    <row r="1067" spans="6:16">
      <c r="F1067" s="1121">
        <f t="shared" si="71"/>
        <v>2.8521520185499287E-3</v>
      </c>
      <c r="G1067" s="1122"/>
      <c r="H1067" s="436">
        <v>41967</v>
      </c>
      <c r="I1067" s="738">
        <v>2069.41</v>
      </c>
      <c r="J1067" s="440">
        <f t="shared" si="70"/>
        <v>2.8640659074388175E-3</v>
      </c>
      <c r="L1067" s="436">
        <v>41967</v>
      </c>
      <c r="M1067" s="738">
        <v>188.82</v>
      </c>
      <c r="N1067" s="115">
        <f t="shared" si="69"/>
        <v>4.7358058851698637E-3</v>
      </c>
      <c r="O1067" s="1121">
        <f t="shared" si="72"/>
        <v>4.7238919962809744E-3</v>
      </c>
      <c r="P1067" s="1122"/>
    </row>
    <row r="1068" spans="6:16">
      <c r="F1068" s="1121">
        <f t="shared" si="71"/>
        <v>-1.1620001453579516E-3</v>
      </c>
      <c r="G1068" s="1122"/>
      <c r="H1068" s="436">
        <v>41968</v>
      </c>
      <c r="I1068" s="738">
        <v>2067.0300000000002</v>
      </c>
      <c r="J1068" s="440">
        <f t="shared" si="70"/>
        <v>-1.1500862564690628E-3</v>
      </c>
      <c r="L1068" s="436">
        <v>41968</v>
      </c>
      <c r="M1068" s="738">
        <v>188.67</v>
      </c>
      <c r="N1068" s="115">
        <f t="shared" si="69"/>
        <v>-7.9440737210045853E-4</v>
      </c>
      <c r="O1068" s="1121">
        <f t="shared" si="72"/>
        <v>-8.0632126098934746E-4</v>
      </c>
      <c r="P1068" s="1122"/>
    </row>
    <row r="1069" spans="6:16">
      <c r="F1069" s="1121">
        <f t="shared" si="71"/>
        <v>2.7940444184407702E-3</v>
      </c>
      <c r="G1069" s="1122"/>
      <c r="H1069" s="436">
        <v>41969</v>
      </c>
      <c r="I1069" s="738">
        <v>2072.83</v>
      </c>
      <c r="J1069" s="440">
        <f t="shared" si="70"/>
        <v>2.805958307329659E-3</v>
      </c>
      <c r="L1069" s="436">
        <v>41969</v>
      </c>
      <c r="M1069" s="738">
        <v>189.15</v>
      </c>
      <c r="N1069" s="115">
        <f t="shared" si="69"/>
        <v>2.5441246621085156E-3</v>
      </c>
      <c r="O1069" s="1121">
        <f t="shared" si="72"/>
        <v>2.5322107732196268E-3</v>
      </c>
      <c r="P1069" s="1122"/>
    </row>
    <row r="1070" spans="6:16">
      <c r="F1070" s="1121">
        <f t="shared" si="71"/>
        <v>-1.1913888888888887E-5</v>
      </c>
      <c r="G1070" s="1122"/>
      <c r="H1070" s="436">
        <v>41970</v>
      </c>
      <c r="I1070" s="738">
        <v>2072.83</v>
      </c>
      <c r="J1070" s="440">
        <f t="shared" si="70"/>
        <v>0</v>
      </c>
      <c r="L1070" s="436">
        <v>41970</v>
      </c>
      <c r="M1070" s="738">
        <v>189.15</v>
      </c>
      <c r="N1070" s="115">
        <f t="shared" si="69"/>
        <v>0</v>
      </c>
      <c r="O1070" s="1121">
        <f t="shared" si="72"/>
        <v>-1.1913888888888887E-5</v>
      </c>
      <c r="P1070" s="1122"/>
    </row>
    <row r="1071" spans="6:16">
      <c r="F1071" s="1121">
        <f t="shared" si="71"/>
        <v>-2.554331742740897E-3</v>
      </c>
      <c r="G1071" s="1122"/>
      <c r="H1071" s="436">
        <v>41971</v>
      </c>
      <c r="I1071" s="738">
        <v>2067.56</v>
      </c>
      <c r="J1071" s="440">
        <f t="shared" si="70"/>
        <v>-2.5424178538520081E-3</v>
      </c>
      <c r="L1071" s="436">
        <v>41971</v>
      </c>
      <c r="M1071" s="738">
        <v>191.56</v>
      </c>
      <c r="N1071" s="115">
        <f t="shared" si="69"/>
        <v>1.2741210679354964E-2</v>
      </c>
      <c r="O1071" s="1121">
        <f t="shared" si="72"/>
        <v>1.2729296790466076E-2</v>
      </c>
      <c r="P1071" s="1122"/>
    </row>
    <row r="1072" spans="6:16">
      <c r="F1072" s="1121">
        <f t="shared" si="71"/>
        <v>-6.8412199307933486E-3</v>
      </c>
      <c r="G1072" s="1122"/>
      <c r="H1072" s="436">
        <v>41974</v>
      </c>
      <c r="I1072" s="738">
        <v>2053.44</v>
      </c>
      <c r="J1072" s="440">
        <f t="shared" si="70"/>
        <v>-6.8293060419044593E-3</v>
      </c>
      <c r="L1072" s="436">
        <v>41974</v>
      </c>
      <c r="M1072" s="738">
        <v>191.1</v>
      </c>
      <c r="N1072" s="115">
        <f t="shared" si="69"/>
        <v>-2.4013363959073386E-3</v>
      </c>
      <c r="O1072" s="1121">
        <f t="shared" si="72"/>
        <v>-2.4132502847962274E-3</v>
      </c>
      <c r="P1072" s="1122"/>
    </row>
    <row r="1073" spans="6:16">
      <c r="F1073" s="1121">
        <f t="shared" si="71"/>
        <v>6.372494713261615E-3</v>
      </c>
      <c r="G1073" s="1122"/>
      <c r="H1073" s="436">
        <v>41975</v>
      </c>
      <c r="I1073" s="738">
        <v>2066.5500000000002</v>
      </c>
      <c r="J1073" s="440">
        <f t="shared" si="70"/>
        <v>6.3844086021505042E-3</v>
      </c>
      <c r="L1073" s="436">
        <v>41975</v>
      </c>
      <c r="M1073" s="738">
        <v>190.11</v>
      </c>
      <c r="N1073" s="115">
        <f t="shared" ref="N1073:N1136" si="73">M1073/M1072-1</f>
        <v>-5.1805337519622574E-3</v>
      </c>
      <c r="O1073" s="1121">
        <f t="shared" si="72"/>
        <v>-5.1924476408511467E-3</v>
      </c>
      <c r="P1073" s="1122"/>
    </row>
    <row r="1074" spans="6:16">
      <c r="F1074" s="1121">
        <f t="shared" si="71"/>
        <v>3.7528147651478753E-3</v>
      </c>
      <c r="G1074" s="1122"/>
      <c r="H1074" s="436">
        <v>41976</v>
      </c>
      <c r="I1074" s="738">
        <v>2074.33</v>
      </c>
      <c r="J1074" s="440">
        <f t="shared" si="70"/>
        <v>3.7647286540367642E-3</v>
      </c>
      <c r="L1074" s="436">
        <v>41976</v>
      </c>
      <c r="M1074" s="738">
        <v>189.68</v>
      </c>
      <c r="N1074" s="115">
        <f t="shared" si="73"/>
        <v>-2.2618484035559216E-3</v>
      </c>
      <c r="O1074" s="1121">
        <f t="shared" si="72"/>
        <v>-2.2737622924448105E-3</v>
      </c>
      <c r="P1074" s="1122"/>
    </row>
    <row r="1075" spans="6:16">
      <c r="F1075" s="1121">
        <f t="shared" si="71"/>
        <v>-1.1737348141996969E-3</v>
      </c>
      <c r="G1075" s="1122"/>
      <c r="H1075" s="436">
        <v>41977</v>
      </c>
      <c r="I1075" s="738">
        <v>2071.92</v>
      </c>
      <c r="J1075" s="440">
        <f t="shared" si="70"/>
        <v>-1.1618209253108081E-3</v>
      </c>
      <c r="L1075" s="436">
        <v>41977</v>
      </c>
      <c r="M1075" s="738">
        <v>189.73</v>
      </c>
      <c r="N1075" s="115">
        <f t="shared" si="73"/>
        <v>2.6360185575691197E-4</v>
      </c>
      <c r="O1075" s="1121">
        <f t="shared" si="72"/>
        <v>2.5168796686802309E-4</v>
      </c>
      <c r="P1075" s="1122"/>
    </row>
    <row r="1076" spans="6:16">
      <c r="F1076" s="1121">
        <f t="shared" si="71"/>
        <v>1.6532083166015325E-3</v>
      </c>
      <c r="G1076" s="1122"/>
      <c r="H1076" s="436">
        <v>41978</v>
      </c>
      <c r="I1076" s="738">
        <v>2075.37</v>
      </c>
      <c r="J1076" s="440">
        <f t="shared" si="70"/>
        <v>1.6651222054904213E-3</v>
      </c>
      <c r="L1076" s="436">
        <v>41978</v>
      </c>
      <c r="M1076" s="738">
        <v>189.87</v>
      </c>
      <c r="N1076" s="115">
        <f t="shared" si="73"/>
        <v>7.3789068676544112E-4</v>
      </c>
      <c r="O1076" s="1121">
        <f t="shared" si="72"/>
        <v>7.2597679787655218E-4</v>
      </c>
      <c r="P1076" s="1122"/>
    </row>
    <row r="1077" spans="6:16">
      <c r="F1077" s="1121">
        <f t="shared" si="71"/>
        <v>-7.2684512774027288E-3</v>
      </c>
      <c r="G1077" s="1122"/>
      <c r="H1077" s="436">
        <v>41981</v>
      </c>
      <c r="I1077" s="738">
        <v>2060.31</v>
      </c>
      <c r="J1077" s="440">
        <f t="shared" si="70"/>
        <v>-7.2565373885138396E-3</v>
      </c>
      <c r="L1077" s="436">
        <v>41981</v>
      </c>
      <c r="M1077" s="738">
        <v>189.85</v>
      </c>
      <c r="N1077" s="115">
        <f t="shared" si="73"/>
        <v>-1.0533522936750916E-4</v>
      </c>
      <c r="O1077" s="1121">
        <f t="shared" si="72"/>
        <v>-1.1724911825639806E-4</v>
      </c>
      <c r="P1077" s="1122"/>
    </row>
    <row r="1078" spans="6:16">
      <c r="F1078" s="1121">
        <f t="shared" si="71"/>
        <v>-2.4974217686491628E-4</v>
      </c>
      <c r="G1078" s="1122"/>
      <c r="H1078" s="436">
        <v>41982</v>
      </c>
      <c r="I1078" s="738">
        <v>2059.8200000000002</v>
      </c>
      <c r="J1078" s="440">
        <f t="shared" si="70"/>
        <v>-2.378282879760274E-4</v>
      </c>
      <c r="L1078" s="436">
        <v>41982</v>
      </c>
      <c r="M1078" s="738">
        <v>190.62</v>
      </c>
      <c r="N1078" s="115">
        <f t="shared" si="73"/>
        <v>4.0558335528049216E-3</v>
      </c>
      <c r="O1078" s="1121">
        <f t="shared" si="72"/>
        <v>4.0439196639160324E-3</v>
      </c>
      <c r="P1078" s="1122"/>
    </row>
    <row r="1079" spans="6:16">
      <c r="F1079" s="1121">
        <f t="shared" si="71"/>
        <v>-1.6362857175195485E-2</v>
      </c>
      <c r="G1079" s="1122"/>
      <c r="H1079" s="436">
        <v>41983</v>
      </c>
      <c r="I1079" s="738">
        <v>2026.14</v>
      </c>
      <c r="J1079" s="440">
        <f t="shared" si="70"/>
        <v>-1.6350943286306596E-2</v>
      </c>
      <c r="L1079" s="436">
        <v>41983</v>
      </c>
      <c r="M1079" s="738">
        <v>187.91</v>
      </c>
      <c r="N1079" s="115">
        <f t="shared" si="73"/>
        <v>-1.4216766341412224E-2</v>
      </c>
      <c r="O1079" s="1121">
        <f t="shared" si="72"/>
        <v>-1.4228680230301112E-2</v>
      </c>
      <c r="P1079" s="1122"/>
    </row>
    <row r="1080" spans="6:16">
      <c r="F1080" s="1121">
        <f t="shared" si="71"/>
        <v>4.5238042747127649E-3</v>
      </c>
      <c r="G1080" s="1122"/>
      <c r="H1080" s="436">
        <v>41984</v>
      </c>
      <c r="I1080" s="738">
        <v>2035.33</v>
      </c>
      <c r="J1080" s="440">
        <f t="shared" si="70"/>
        <v>4.5357181636016541E-3</v>
      </c>
      <c r="L1080" s="436">
        <v>41984</v>
      </c>
      <c r="M1080" s="738">
        <v>189.25</v>
      </c>
      <c r="N1080" s="115">
        <f t="shared" si="73"/>
        <v>7.1310733861955633E-3</v>
      </c>
      <c r="O1080" s="1121">
        <f t="shared" si="72"/>
        <v>7.119159497306674E-3</v>
      </c>
      <c r="P1080" s="1122"/>
    </row>
    <row r="1081" spans="6:16">
      <c r="F1081" s="1121">
        <f t="shared" si="71"/>
        <v>-1.6225500874783035E-2</v>
      </c>
      <c r="G1081" s="1122"/>
      <c r="H1081" s="436">
        <v>41985</v>
      </c>
      <c r="I1081" s="738">
        <v>2002.33</v>
      </c>
      <c r="J1081" s="440">
        <f t="shared" si="70"/>
        <v>-1.6213586985894146E-2</v>
      </c>
      <c r="L1081" s="436">
        <v>41985</v>
      </c>
      <c r="M1081" s="738">
        <v>185.18</v>
      </c>
      <c r="N1081" s="115">
        <f t="shared" si="73"/>
        <v>-2.1505944517833497E-2</v>
      </c>
      <c r="O1081" s="1121">
        <f t="shared" si="72"/>
        <v>-2.1517858406722386E-2</v>
      </c>
      <c r="P1081" s="1122"/>
    </row>
    <row r="1082" spans="6:16">
      <c r="F1082" s="1121">
        <f t="shared" si="71"/>
        <v>-6.3545247472388622E-3</v>
      </c>
      <c r="G1082" s="1122"/>
      <c r="H1082" s="436">
        <v>41988</v>
      </c>
      <c r="I1082" s="738">
        <v>1989.63</v>
      </c>
      <c r="J1082" s="440">
        <f t="shared" si="70"/>
        <v>-6.342610858349973E-3</v>
      </c>
      <c r="L1082" s="436">
        <v>41988</v>
      </c>
      <c r="M1082" s="738">
        <v>184.21</v>
      </c>
      <c r="N1082" s="115">
        <f t="shared" si="73"/>
        <v>-5.2381466681067357E-3</v>
      </c>
      <c r="O1082" s="1121">
        <f t="shared" si="72"/>
        <v>-5.2500605569956249E-3</v>
      </c>
      <c r="P1082" s="1122"/>
    </row>
    <row r="1083" spans="6:16">
      <c r="F1083" s="1121">
        <f t="shared" si="71"/>
        <v>-8.5009294344928835E-3</v>
      </c>
      <c r="G1083" s="1122"/>
      <c r="H1083" s="436">
        <v>41989</v>
      </c>
      <c r="I1083" s="738">
        <v>1972.74</v>
      </c>
      <c r="J1083" s="440">
        <f t="shared" si="70"/>
        <v>-8.4890155456039951E-3</v>
      </c>
      <c r="L1083" s="436">
        <v>41989</v>
      </c>
      <c r="M1083" s="738">
        <v>185.39</v>
      </c>
      <c r="N1083" s="115">
        <f t="shared" si="73"/>
        <v>6.4057325878073001E-3</v>
      </c>
      <c r="O1083" s="1121">
        <f t="shared" si="72"/>
        <v>6.3938186989184109E-3</v>
      </c>
      <c r="P1083" s="1122"/>
    </row>
    <row r="1084" spans="6:16">
      <c r="F1084" s="1121">
        <f t="shared" si="71"/>
        <v>2.0340489367495766E-2</v>
      </c>
      <c r="G1084" s="1122"/>
      <c r="H1084" s="436">
        <v>41990</v>
      </c>
      <c r="I1084" s="738">
        <v>2012.89</v>
      </c>
      <c r="J1084" s="440">
        <f t="shared" si="70"/>
        <v>2.0352403256384655E-2</v>
      </c>
      <c r="L1084" s="436">
        <v>41990</v>
      </c>
      <c r="M1084" s="738">
        <v>185.15</v>
      </c>
      <c r="N1084" s="115">
        <f t="shared" si="73"/>
        <v>-1.2945682075623521E-3</v>
      </c>
      <c r="O1084" s="1121">
        <f t="shared" si="72"/>
        <v>-1.306482096451241E-3</v>
      </c>
      <c r="P1084" s="1122"/>
    </row>
    <row r="1085" spans="6:16">
      <c r="F1085" s="1121">
        <f t="shared" si="71"/>
        <v>2.4003308005998585E-2</v>
      </c>
      <c r="G1085" s="1122"/>
      <c r="H1085" s="436">
        <v>41991</v>
      </c>
      <c r="I1085" s="738">
        <v>2061.23</v>
      </c>
      <c r="J1085" s="440">
        <f t="shared" si="70"/>
        <v>2.4015221894887473E-2</v>
      </c>
      <c r="L1085" s="436">
        <v>41991</v>
      </c>
      <c r="M1085" s="738">
        <v>191.64</v>
      </c>
      <c r="N1085" s="115">
        <f t="shared" si="73"/>
        <v>3.505266000540086E-2</v>
      </c>
      <c r="O1085" s="1121">
        <f t="shared" si="72"/>
        <v>3.5040746116511971E-2</v>
      </c>
      <c r="P1085" s="1122"/>
    </row>
    <row r="1086" spans="6:16">
      <c r="F1086" s="1121">
        <f t="shared" si="71"/>
        <v>4.5581729039484353E-3</v>
      </c>
      <c r="G1086" s="1122"/>
      <c r="H1086" s="436">
        <v>41992</v>
      </c>
      <c r="I1086" s="738">
        <v>2070.65</v>
      </c>
      <c r="J1086" s="440">
        <f t="shared" si="70"/>
        <v>4.5700867928373246E-3</v>
      </c>
      <c r="L1086" s="436">
        <v>41992</v>
      </c>
      <c r="M1086" s="738">
        <v>192.85</v>
      </c>
      <c r="N1086" s="115">
        <f t="shared" si="73"/>
        <v>6.3139219369652277E-3</v>
      </c>
      <c r="O1086" s="1121">
        <f t="shared" si="72"/>
        <v>6.3020080480763385E-3</v>
      </c>
      <c r="P1086" s="1122"/>
    </row>
    <row r="1087" spans="6:16">
      <c r="F1087" s="1121">
        <f t="shared" si="71"/>
        <v>3.7984838123160595E-3</v>
      </c>
      <c r="G1087" s="1122"/>
      <c r="H1087" s="436">
        <v>41995</v>
      </c>
      <c r="I1087" s="738">
        <v>2078.54</v>
      </c>
      <c r="J1087" s="440">
        <f t="shared" si="70"/>
        <v>3.8103977012049484E-3</v>
      </c>
      <c r="L1087" s="436">
        <v>41995</v>
      </c>
      <c r="M1087" s="738">
        <v>196.45</v>
      </c>
      <c r="N1087" s="115">
        <f t="shared" si="73"/>
        <v>1.8667358050298066E-2</v>
      </c>
      <c r="O1087" s="1121">
        <f t="shared" si="72"/>
        <v>1.8655444161409178E-2</v>
      </c>
      <c r="P1087" s="1122"/>
    </row>
    <row r="1088" spans="6:16">
      <c r="F1088" s="1121">
        <f t="shared" si="71"/>
        <v>1.7345042700110873E-3</v>
      </c>
      <c r="G1088" s="1122"/>
      <c r="H1088" s="436">
        <v>41996</v>
      </c>
      <c r="I1088" s="738">
        <v>2082.17</v>
      </c>
      <c r="J1088" s="440">
        <f t="shared" si="70"/>
        <v>1.7464181588999761E-3</v>
      </c>
      <c r="L1088" s="436">
        <v>41996</v>
      </c>
      <c r="M1088" s="738">
        <v>195.77</v>
      </c>
      <c r="N1088" s="115">
        <f t="shared" si="73"/>
        <v>-3.461440570119545E-3</v>
      </c>
      <c r="O1088" s="1121">
        <f t="shared" si="72"/>
        <v>-3.4733544590084338E-3</v>
      </c>
      <c r="P1088" s="1122"/>
    </row>
    <row r="1089" spans="6:16">
      <c r="F1089" s="1121">
        <f t="shared" si="71"/>
        <v>-1.5119166159716834E-4</v>
      </c>
      <c r="G1089" s="1122"/>
      <c r="H1089" s="436">
        <v>41997</v>
      </c>
      <c r="I1089" s="738">
        <v>2081.88</v>
      </c>
      <c r="J1089" s="440">
        <f t="shared" si="70"/>
        <v>-1.3927777270827946E-4</v>
      </c>
      <c r="L1089" s="436">
        <v>41997</v>
      </c>
      <c r="M1089" s="738">
        <v>196.43</v>
      </c>
      <c r="N1089" s="115">
        <f t="shared" si="73"/>
        <v>3.3713030597128935E-3</v>
      </c>
      <c r="O1089" s="1121">
        <f t="shared" si="72"/>
        <v>3.3593891708240046E-3</v>
      </c>
      <c r="P1089" s="1122"/>
    </row>
    <row r="1090" spans="6:16">
      <c r="F1090" s="1121">
        <f t="shared" si="71"/>
        <v>-1.1913888888888887E-5</v>
      </c>
      <c r="G1090" s="1122"/>
      <c r="H1090" s="436">
        <v>41998</v>
      </c>
      <c r="I1090" s="738">
        <v>2081.88</v>
      </c>
      <c r="J1090" s="440">
        <f t="shared" si="70"/>
        <v>0</v>
      </c>
      <c r="L1090" s="436">
        <v>41998</v>
      </c>
      <c r="M1090" s="738">
        <v>196.43</v>
      </c>
      <c r="N1090" s="115">
        <f t="shared" si="73"/>
        <v>0</v>
      </c>
      <c r="O1090" s="1121">
        <f t="shared" si="72"/>
        <v>-1.1913888888888887E-5</v>
      </c>
      <c r="P1090" s="1122"/>
    </row>
    <row r="1091" spans="6:16">
      <c r="F1091" s="1121">
        <f t="shared" si="71"/>
        <v>3.2975948243895085E-3</v>
      </c>
      <c r="G1091" s="1122"/>
      <c r="H1091" s="436">
        <v>41999</v>
      </c>
      <c r="I1091" s="738">
        <v>2088.77</v>
      </c>
      <c r="J1091" s="440">
        <f t="shared" si="70"/>
        <v>3.3095087132783974E-3</v>
      </c>
      <c r="L1091" s="436">
        <v>41999</v>
      </c>
      <c r="M1091" s="738">
        <v>196.84</v>
      </c>
      <c r="N1091" s="115">
        <f t="shared" si="73"/>
        <v>2.0872575472177246E-3</v>
      </c>
      <c r="O1091" s="1121">
        <f t="shared" si="72"/>
        <v>2.0753436583288358E-3</v>
      </c>
      <c r="P1091" s="1122"/>
    </row>
    <row r="1092" spans="6:16">
      <c r="F1092" s="1121">
        <f t="shared" si="71"/>
        <v>8.4983728524711617E-4</v>
      </c>
      <c r="G1092" s="1122"/>
      <c r="H1092" s="436">
        <v>42002</v>
      </c>
      <c r="I1092" s="738">
        <v>2090.5700000000002</v>
      </c>
      <c r="J1092" s="440">
        <f t="shared" si="70"/>
        <v>8.617511741360051E-4</v>
      </c>
      <c r="L1092" s="436">
        <v>42002</v>
      </c>
      <c r="M1092" s="738">
        <v>195.64</v>
      </c>
      <c r="N1092" s="115">
        <f t="shared" si="73"/>
        <v>-6.0963218857956747E-3</v>
      </c>
      <c r="O1092" s="1121">
        <f t="shared" si="72"/>
        <v>-6.1082357746845639E-3</v>
      </c>
      <c r="P1092" s="1122"/>
    </row>
    <row r="1093" spans="6:16">
      <c r="F1093" s="1121">
        <f t="shared" si="71"/>
        <v>-4.900532782300856E-3</v>
      </c>
      <c r="G1093" s="1122"/>
      <c r="H1093" s="436">
        <v>42003</v>
      </c>
      <c r="I1093" s="738">
        <v>2080.35</v>
      </c>
      <c r="J1093" s="440">
        <f t="shared" si="70"/>
        <v>-4.8886188934119668E-3</v>
      </c>
      <c r="L1093" s="436">
        <v>42003</v>
      </c>
      <c r="M1093" s="738">
        <v>195.43</v>
      </c>
      <c r="N1093" s="115">
        <f t="shared" si="73"/>
        <v>-1.0734001226742063E-3</v>
      </c>
      <c r="O1093" s="1121">
        <f t="shared" si="72"/>
        <v>-1.0853140115630951E-3</v>
      </c>
      <c r="P1093" s="1122"/>
    </row>
    <row r="1094" spans="6:16">
      <c r="F1094" s="1121">
        <f t="shared" si="71"/>
        <v>-1.0322678904390988E-2</v>
      </c>
      <c r="G1094" s="1122"/>
      <c r="H1094" s="436">
        <v>42004</v>
      </c>
      <c r="I1094" s="738">
        <v>2058.9</v>
      </c>
      <c r="J1094" s="440">
        <f t="shared" si="70"/>
        <v>-1.0310765015502099E-2</v>
      </c>
      <c r="L1094" s="436">
        <v>42004</v>
      </c>
      <c r="M1094" s="738">
        <v>192.57</v>
      </c>
      <c r="N1094" s="115">
        <f t="shared" si="73"/>
        <v>-1.4634395947398127E-2</v>
      </c>
      <c r="O1094" s="1121">
        <f t="shared" si="72"/>
        <v>-1.4646309836287015E-2</v>
      </c>
      <c r="P1094" s="1122"/>
    </row>
    <row r="1095" spans="6:16">
      <c r="F1095" s="1121">
        <f t="shared" si="71"/>
        <v>-1.1913888888888887E-5</v>
      </c>
      <c r="G1095" s="1122"/>
      <c r="H1095" s="436">
        <v>42005</v>
      </c>
      <c r="I1095" s="738">
        <v>2058.9</v>
      </c>
      <c r="J1095" s="440">
        <f t="shared" si="70"/>
        <v>0</v>
      </c>
      <c r="L1095" s="436">
        <v>42005</v>
      </c>
      <c r="M1095" s="738">
        <v>192.57</v>
      </c>
      <c r="N1095" s="115">
        <f t="shared" si="73"/>
        <v>0</v>
      </c>
      <c r="O1095" s="1121">
        <f t="shared" si="72"/>
        <v>-1.1913888888888887E-5</v>
      </c>
      <c r="P1095" s="1122"/>
    </row>
    <row r="1096" spans="6:16">
      <c r="F1096" s="1121">
        <f t="shared" si="71"/>
        <v>-3.5190126078666527E-4</v>
      </c>
      <c r="G1096" s="1122"/>
      <c r="H1096" s="436">
        <v>42006</v>
      </c>
      <c r="I1096" s="738">
        <v>2058.1999999999998</v>
      </c>
      <c r="J1096" s="440">
        <f t="shared" si="70"/>
        <v>-3.3998737189777639E-4</v>
      </c>
      <c r="L1096" s="436">
        <v>42006</v>
      </c>
      <c r="M1096" s="738">
        <v>193.31</v>
      </c>
      <c r="N1096" s="115">
        <f t="shared" si="73"/>
        <v>3.8427584774367585E-3</v>
      </c>
      <c r="O1096" s="1121">
        <f t="shared" si="72"/>
        <v>3.8308445885478696E-3</v>
      </c>
      <c r="P1096" s="1122"/>
    </row>
    <row r="1097" spans="6:16">
      <c r="F1097" s="1121">
        <f t="shared" si="71"/>
        <v>-1.8290020972748573E-2</v>
      </c>
      <c r="G1097" s="1122"/>
      <c r="H1097" s="436">
        <v>42009</v>
      </c>
      <c r="I1097" s="738">
        <v>2020.58</v>
      </c>
      <c r="J1097" s="440">
        <f t="shared" si="70"/>
        <v>-1.8278107083859685E-2</v>
      </c>
      <c r="L1097" s="436">
        <v>42009</v>
      </c>
      <c r="M1097" s="738">
        <v>189.29</v>
      </c>
      <c r="N1097" s="115">
        <f t="shared" si="73"/>
        <v>-2.0795613263669854E-2</v>
      </c>
      <c r="O1097" s="1121">
        <f t="shared" si="72"/>
        <v>-2.0807527152558743E-2</v>
      </c>
      <c r="P1097" s="1122"/>
    </row>
    <row r="1098" spans="6:16">
      <c r="F1098" s="1121">
        <f t="shared" si="71"/>
        <v>-8.9053999176529411E-3</v>
      </c>
      <c r="G1098" s="1122"/>
      <c r="H1098" s="436">
        <v>42010</v>
      </c>
      <c r="I1098" s="738">
        <v>2002.61</v>
      </c>
      <c r="J1098" s="440">
        <f t="shared" si="70"/>
        <v>-8.8934860287640527E-3</v>
      </c>
      <c r="L1098" s="436">
        <v>42010</v>
      </c>
      <c r="M1098" s="738">
        <v>188.4</v>
      </c>
      <c r="N1098" s="115">
        <f t="shared" si="73"/>
        <v>-4.7017803370489331E-3</v>
      </c>
      <c r="O1098" s="1121">
        <f t="shared" si="72"/>
        <v>-4.7136942259378223E-3</v>
      </c>
      <c r="P1098" s="1122"/>
    </row>
    <row r="1099" spans="6:16">
      <c r="F1099" s="1121">
        <f t="shared" si="71"/>
        <v>1.1617909191990676E-2</v>
      </c>
      <c r="G1099" s="1122"/>
      <c r="H1099" s="436">
        <v>42011</v>
      </c>
      <c r="I1099" s="738">
        <v>2025.9</v>
      </c>
      <c r="J1099" s="440">
        <f t="shared" si="70"/>
        <v>1.1629823080879564E-2</v>
      </c>
      <c r="L1099" s="436">
        <v>42011</v>
      </c>
      <c r="M1099" s="738">
        <v>190.83</v>
      </c>
      <c r="N1099" s="115">
        <f t="shared" si="73"/>
        <v>1.2898089171974547E-2</v>
      </c>
      <c r="O1099" s="1121">
        <f t="shared" si="72"/>
        <v>1.2886175283085659E-2</v>
      </c>
      <c r="P1099" s="1122"/>
    </row>
    <row r="1100" spans="6:16">
      <c r="F1100" s="1121">
        <f t="shared" si="71"/>
        <v>1.7876432031442728E-2</v>
      </c>
      <c r="G1100" s="1122"/>
      <c r="H1100" s="436">
        <v>42012</v>
      </c>
      <c r="I1100" s="738">
        <v>2062.14</v>
      </c>
      <c r="J1100" s="440">
        <f t="shared" si="70"/>
        <v>1.7888345920331616E-2</v>
      </c>
      <c r="L1100" s="436">
        <v>42012</v>
      </c>
      <c r="M1100" s="738">
        <v>195.13</v>
      </c>
      <c r="N1100" s="115">
        <f t="shared" si="73"/>
        <v>2.2533144683749784E-2</v>
      </c>
      <c r="O1100" s="1121">
        <f t="shared" si="72"/>
        <v>2.2521230794860896E-2</v>
      </c>
      <c r="P1100" s="1122"/>
    </row>
    <row r="1101" spans="6:16">
      <c r="F1101" s="1121">
        <f t="shared" si="71"/>
        <v>-8.4158049923056602E-3</v>
      </c>
      <c r="G1101" s="1122"/>
      <c r="H1101" s="436">
        <v>42013</v>
      </c>
      <c r="I1101" s="738">
        <v>2044.81</v>
      </c>
      <c r="J1101" s="440">
        <f t="shared" si="70"/>
        <v>-8.4038911034167718E-3</v>
      </c>
      <c r="L1101" s="436">
        <v>42013</v>
      </c>
      <c r="M1101" s="738">
        <v>195.02</v>
      </c>
      <c r="N1101" s="115">
        <f t="shared" si="73"/>
        <v>-5.637267462715867E-4</v>
      </c>
      <c r="O1101" s="1121">
        <f t="shared" si="72"/>
        <v>-5.7564063516047563E-4</v>
      </c>
      <c r="P1101" s="1122"/>
    </row>
    <row r="1102" spans="6:16">
      <c r="F1102" s="1121">
        <f t="shared" si="71"/>
        <v>-8.1055754026725449E-3</v>
      </c>
      <c r="G1102" s="1122"/>
      <c r="H1102" s="436">
        <v>42016</v>
      </c>
      <c r="I1102" s="738">
        <v>2028.26</v>
      </c>
      <c r="J1102" s="440">
        <f t="shared" si="70"/>
        <v>-8.0936615137836565E-3</v>
      </c>
      <c r="L1102" s="436">
        <v>42016</v>
      </c>
      <c r="M1102" s="738">
        <v>194.47</v>
      </c>
      <c r="N1102" s="115">
        <f t="shared" si="73"/>
        <v>-2.8202235668137732E-3</v>
      </c>
      <c r="O1102" s="1121">
        <f t="shared" si="72"/>
        <v>-2.832137455702662E-3</v>
      </c>
      <c r="P1102" s="1122"/>
    </row>
    <row r="1103" spans="6:16">
      <c r="F1103" s="1121">
        <f t="shared" si="71"/>
        <v>-2.5904787671589065E-3</v>
      </c>
      <c r="G1103" s="1122"/>
      <c r="H1103" s="436">
        <v>42017</v>
      </c>
      <c r="I1103" s="738">
        <v>2023.03</v>
      </c>
      <c r="J1103" s="440">
        <f t="shared" si="70"/>
        <v>-2.5785648782700177E-3</v>
      </c>
      <c r="L1103" s="436">
        <v>42017</v>
      </c>
      <c r="M1103" s="738">
        <v>194.35</v>
      </c>
      <c r="N1103" s="115">
        <f t="shared" si="73"/>
        <v>-6.1706175759757009E-4</v>
      </c>
      <c r="O1103" s="1121">
        <f t="shared" si="72"/>
        <v>-6.2897564648645903E-4</v>
      </c>
      <c r="P1103" s="1122"/>
    </row>
    <row r="1104" spans="6:16">
      <c r="F1104" s="1121">
        <f t="shared" si="71"/>
        <v>-5.8249764732302223E-3</v>
      </c>
      <c r="G1104" s="1122"/>
      <c r="H1104" s="436">
        <v>42018</v>
      </c>
      <c r="I1104" s="738">
        <v>2011.27</v>
      </c>
      <c r="J1104" s="440">
        <f t="shared" si="70"/>
        <v>-5.8130625843413331E-3</v>
      </c>
      <c r="L1104" s="436">
        <v>42018</v>
      </c>
      <c r="M1104" s="738">
        <v>193.23</v>
      </c>
      <c r="N1104" s="115">
        <f t="shared" si="73"/>
        <v>-5.7627990738359225E-3</v>
      </c>
      <c r="O1104" s="1121">
        <f t="shared" si="72"/>
        <v>-5.7747129627248118E-3</v>
      </c>
      <c r="P1104" s="1122"/>
    </row>
    <row r="1105" spans="6:16">
      <c r="F1105" s="1121">
        <f t="shared" si="71"/>
        <v>-9.2598020391621086E-3</v>
      </c>
      <c r="G1105" s="1122"/>
      <c r="H1105" s="436">
        <v>42019</v>
      </c>
      <c r="I1105" s="738">
        <v>1992.67</v>
      </c>
      <c r="J1105" s="440">
        <f t="shared" si="70"/>
        <v>-9.2478881502732202E-3</v>
      </c>
      <c r="L1105" s="436">
        <v>42019</v>
      </c>
      <c r="M1105" s="738">
        <v>192.37</v>
      </c>
      <c r="N1105" s="115">
        <f t="shared" si="73"/>
        <v>-4.450654660249409E-3</v>
      </c>
      <c r="O1105" s="1121">
        <f t="shared" si="72"/>
        <v>-4.4625685491382983E-3</v>
      </c>
      <c r="P1105" s="1122"/>
    </row>
    <row r="1106" spans="6:16">
      <c r="F1106" s="1121">
        <f t="shared" si="71"/>
        <v>1.3412285802981809E-2</v>
      </c>
      <c r="G1106" s="1122"/>
      <c r="H1106" s="436">
        <v>42020</v>
      </c>
      <c r="I1106" s="738">
        <v>2019.42</v>
      </c>
      <c r="J1106" s="440">
        <f t="shared" si="70"/>
        <v>1.3424199691870697E-2</v>
      </c>
      <c r="L1106" s="436">
        <v>42020</v>
      </c>
      <c r="M1106" s="738">
        <v>194.71</v>
      </c>
      <c r="N1106" s="115">
        <f t="shared" si="73"/>
        <v>1.2164058844934322E-2</v>
      </c>
      <c r="O1106" s="1121">
        <f t="shared" si="72"/>
        <v>1.2152144956045434E-2</v>
      </c>
      <c r="P1106" s="1122"/>
    </row>
    <row r="1107" spans="6:16">
      <c r="F1107" s="1121">
        <f t="shared" si="71"/>
        <v>-1.1913888888888887E-5</v>
      </c>
      <c r="G1107" s="1122"/>
      <c r="H1107" s="436">
        <v>42023</v>
      </c>
      <c r="I1107" s="738">
        <v>2019.42</v>
      </c>
      <c r="J1107" s="440">
        <f t="shared" si="70"/>
        <v>0</v>
      </c>
      <c r="L1107" s="436">
        <v>42023</v>
      </c>
      <c r="M1107" s="738">
        <v>194.71</v>
      </c>
      <c r="N1107" s="115">
        <f t="shared" si="73"/>
        <v>0</v>
      </c>
      <c r="O1107" s="1121">
        <f t="shared" si="72"/>
        <v>-1.1913888888888887E-5</v>
      </c>
      <c r="P1107" s="1122"/>
    </row>
    <row r="1108" spans="6:16">
      <c r="F1108" s="1121">
        <f t="shared" si="71"/>
        <v>1.5380360967503985E-3</v>
      </c>
      <c r="G1108" s="1122"/>
      <c r="H1108" s="436">
        <v>42024</v>
      </c>
      <c r="I1108" s="738">
        <v>2022.55</v>
      </c>
      <c r="J1108" s="440">
        <f t="shared" si="70"/>
        <v>1.5499499856392873E-3</v>
      </c>
      <c r="L1108" s="436">
        <v>42024</v>
      </c>
      <c r="M1108" s="738">
        <v>195.75</v>
      </c>
      <c r="N1108" s="115">
        <f t="shared" si="73"/>
        <v>5.3412767705818265E-3</v>
      </c>
      <c r="O1108" s="1121">
        <f t="shared" si="72"/>
        <v>5.3293628816929372E-3</v>
      </c>
      <c r="P1108" s="1122"/>
    </row>
    <row r="1109" spans="6:16">
      <c r="F1109" s="1121">
        <f t="shared" si="71"/>
        <v>4.7197367501557929E-3</v>
      </c>
      <c r="G1109" s="1122"/>
      <c r="H1109" s="436">
        <v>42025</v>
      </c>
      <c r="I1109" s="738">
        <v>2032.12</v>
      </c>
      <c r="J1109" s="440">
        <f t="shared" si="70"/>
        <v>4.7316506390446822E-3</v>
      </c>
      <c r="L1109" s="436">
        <v>42025</v>
      </c>
      <c r="M1109" s="738">
        <v>195.5</v>
      </c>
      <c r="N1109" s="115">
        <f t="shared" si="73"/>
        <v>-1.2771392081737387E-3</v>
      </c>
      <c r="O1109" s="1121">
        <f t="shared" si="72"/>
        <v>-1.2890530970626275E-3</v>
      </c>
      <c r="P1109" s="1122"/>
    </row>
    <row r="1110" spans="6:16">
      <c r="F1110" s="1121">
        <f t="shared" si="71"/>
        <v>1.5257853644524581E-2</v>
      </c>
      <c r="G1110" s="1122"/>
      <c r="H1110" s="436">
        <v>42026</v>
      </c>
      <c r="I1110" s="738">
        <v>2063.15</v>
      </c>
      <c r="J1110" s="440">
        <f t="shared" si="70"/>
        <v>1.526976753341347E-2</v>
      </c>
      <c r="L1110" s="436">
        <v>42026</v>
      </c>
      <c r="M1110" s="738">
        <v>198.09</v>
      </c>
      <c r="N1110" s="115">
        <f t="shared" si="73"/>
        <v>1.3248081841432224E-2</v>
      </c>
      <c r="O1110" s="1121">
        <f t="shared" si="72"/>
        <v>1.3236167952543336E-2</v>
      </c>
      <c r="P1110" s="1122"/>
    </row>
    <row r="1111" spans="6:16">
      <c r="F1111" s="1121">
        <f t="shared" si="71"/>
        <v>-5.503516535327554E-3</v>
      </c>
      <c r="G1111" s="1122"/>
      <c r="H1111" s="436">
        <v>42027</v>
      </c>
      <c r="I1111" s="738">
        <v>2051.8200000000002</v>
      </c>
      <c r="J1111" s="440">
        <f t="shared" si="70"/>
        <v>-5.4916026464386647E-3</v>
      </c>
      <c r="L1111" s="436">
        <v>42027</v>
      </c>
      <c r="M1111" s="738">
        <v>197.44</v>
      </c>
      <c r="N1111" s="115">
        <f t="shared" si="73"/>
        <v>-3.2813367661164161E-3</v>
      </c>
      <c r="O1111" s="1121">
        <f t="shared" si="72"/>
        <v>-3.2932506550053049E-3</v>
      </c>
      <c r="P1111" s="1122"/>
    </row>
    <row r="1112" spans="6:16">
      <c r="F1112" s="1121">
        <f t="shared" si="71"/>
        <v>2.5565375347252821E-3</v>
      </c>
      <c r="G1112" s="1122"/>
      <c r="H1112" s="436">
        <v>42030</v>
      </c>
      <c r="I1112" s="738">
        <v>2057.09</v>
      </c>
      <c r="J1112" s="440">
        <f t="shared" si="70"/>
        <v>2.5684514236141709E-3</v>
      </c>
      <c r="L1112" s="436">
        <v>42030</v>
      </c>
      <c r="M1112" s="738">
        <v>195.68</v>
      </c>
      <c r="N1112" s="115">
        <f t="shared" si="73"/>
        <v>-8.9141004862236528E-3</v>
      </c>
      <c r="O1112" s="1121">
        <f t="shared" si="72"/>
        <v>-8.9260143751125412E-3</v>
      </c>
      <c r="P1112" s="1122"/>
    </row>
    <row r="1113" spans="6:16">
      <c r="F1113" s="1121">
        <f t="shared" si="71"/>
        <v>-1.3399757882102688E-2</v>
      </c>
      <c r="G1113" s="1122"/>
      <c r="H1113" s="436">
        <v>42031</v>
      </c>
      <c r="I1113" s="738">
        <v>2029.55</v>
      </c>
      <c r="J1113" s="440">
        <f t="shared" si="70"/>
        <v>-1.3387843993213799E-2</v>
      </c>
      <c r="L1113" s="436">
        <v>42031</v>
      </c>
      <c r="M1113" s="738">
        <v>190.55</v>
      </c>
      <c r="N1113" s="115">
        <f t="shared" si="73"/>
        <v>-2.6216271463614049E-2</v>
      </c>
      <c r="O1113" s="1121">
        <f t="shared" si="72"/>
        <v>-2.6228185352502938E-2</v>
      </c>
      <c r="P1113" s="1122"/>
    </row>
    <row r="1114" spans="6:16">
      <c r="F1114" s="1121">
        <f t="shared" si="71"/>
        <v>-1.3507516362343493E-2</v>
      </c>
      <c r="G1114" s="1122"/>
      <c r="H1114" s="436">
        <v>42032</v>
      </c>
      <c r="I1114" s="738">
        <v>2002.16</v>
      </c>
      <c r="J1114" s="440">
        <f t="shared" si="70"/>
        <v>-1.3495602473454604E-2</v>
      </c>
      <c r="L1114" s="436">
        <v>42032</v>
      </c>
      <c r="M1114" s="738">
        <v>189.25</v>
      </c>
      <c r="N1114" s="115">
        <f t="shared" si="73"/>
        <v>-6.8223563369195217E-3</v>
      </c>
      <c r="O1114" s="1121">
        <f t="shared" si="72"/>
        <v>-6.834270225808411E-3</v>
      </c>
      <c r="P1114" s="1122"/>
    </row>
    <row r="1115" spans="6:16">
      <c r="F1115" s="1121">
        <f t="shared" si="71"/>
        <v>9.5227886323881947E-3</v>
      </c>
      <c r="G1115" s="1122"/>
      <c r="H1115" s="436">
        <v>42033</v>
      </c>
      <c r="I1115" s="738">
        <v>2021.25</v>
      </c>
      <c r="J1115" s="440">
        <f t="shared" si="70"/>
        <v>9.5347025212770831E-3</v>
      </c>
      <c r="L1115" s="436">
        <v>42033</v>
      </c>
      <c r="M1115" s="738">
        <v>192.5</v>
      </c>
      <c r="N1115" s="115">
        <f t="shared" si="73"/>
        <v>1.7173051519154603E-2</v>
      </c>
      <c r="O1115" s="1121">
        <f t="shared" si="72"/>
        <v>1.7161137630265715E-2</v>
      </c>
      <c r="P1115" s="1122"/>
    </row>
    <row r="1116" spans="6:16">
      <c r="F1116" s="1121">
        <f t="shared" si="71"/>
        <v>-1.3003874309420745E-2</v>
      </c>
      <c r="G1116" s="1122"/>
      <c r="H1116" s="436">
        <v>42034</v>
      </c>
      <c r="I1116" s="738">
        <v>1994.99</v>
      </c>
      <c r="J1116" s="440">
        <f t="shared" si="70"/>
        <v>-1.2991960420531856E-2</v>
      </c>
      <c r="L1116" s="436">
        <v>42034</v>
      </c>
      <c r="M1116" s="738">
        <v>188.37</v>
      </c>
      <c r="N1116" s="115">
        <f t="shared" si="73"/>
        <v>-2.1454545454545393E-2</v>
      </c>
      <c r="O1116" s="1121">
        <f t="shared" si="72"/>
        <v>-2.1466459343434281E-2</v>
      </c>
      <c r="P1116" s="1122"/>
    </row>
    <row r="1117" spans="6:16">
      <c r="F1117" s="1121">
        <f t="shared" si="71"/>
        <v>1.2950557100940611E-2</v>
      </c>
      <c r="G1117" s="1122"/>
      <c r="H1117" s="436">
        <v>42037</v>
      </c>
      <c r="I1117" s="738">
        <v>2020.85</v>
      </c>
      <c r="J1117" s="440">
        <f t="shared" ref="J1117:J1180" si="74">I1117/I1116-1</f>
        <v>1.29624709898295E-2</v>
      </c>
      <c r="L1117" s="436">
        <v>42037</v>
      </c>
      <c r="M1117" s="738">
        <v>189.33</v>
      </c>
      <c r="N1117" s="115">
        <f t="shared" si="73"/>
        <v>5.0963529224399284E-3</v>
      </c>
      <c r="O1117" s="1121">
        <f t="shared" si="72"/>
        <v>5.0844390335510392E-3</v>
      </c>
      <c r="P1117" s="1122"/>
    </row>
    <row r="1118" spans="6:16">
      <c r="F1118" s="1121">
        <f t="shared" ref="F1118:F1181" si="75">J1118-$I$19</f>
        <v>1.4427554651576961E-2</v>
      </c>
      <c r="G1118" s="1122"/>
      <c r="H1118" s="436">
        <v>42038</v>
      </c>
      <c r="I1118" s="738">
        <v>2050.0300000000002</v>
      </c>
      <c r="J1118" s="440">
        <f t="shared" si="74"/>
        <v>1.443946854046585E-2</v>
      </c>
      <c r="L1118" s="436">
        <v>42038</v>
      </c>
      <c r="M1118" s="738">
        <v>192</v>
      </c>
      <c r="N1118" s="115">
        <f t="shared" si="73"/>
        <v>1.4102360957058968E-2</v>
      </c>
      <c r="O1118" s="1121">
        <f t="shared" ref="O1118:O1181" si="76">N1118-$I$19</f>
        <v>1.409044706817008E-2</v>
      </c>
      <c r="P1118" s="1122"/>
    </row>
    <row r="1119" spans="6:16">
      <c r="F1119" s="1121">
        <f t="shared" si="75"/>
        <v>-4.167950629814684E-3</v>
      </c>
      <c r="G1119" s="1122"/>
      <c r="H1119" s="436">
        <v>42039</v>
      </c>
      <c r="I1119" s="738">
        <v>2041.51</v>
      </c>
      <c r="J1119" s="440">
        <f t="shared" si="74"/>
        <v>-4.1560367409257948E-3</v>
      </c>
      <c r="L1119" s="436">
        <v>42039</v>
      </c>
      <c r="M1119" s="738">
        <v>192.28</v>
      </c>
      <c r="N1119" s="115">
        <f t="shared" si="73"/>
        <v>1.4583333333333393E-3</v>
      </c>
      <c r="O1119" s="1121">
        <f t="shared" si="76"/>
        <v>1.4464194444444504E-3</v>
      </c>
      <c r="P1119" s="1122"/>
    </row>
    <row r="1120" spans="6:16">
      <c r="F1120" s="1121">
        <f t="shared" si="75"/>
        <v>1.0279488063587354E-2</v>
      </c>
      <c r="G1120" s="1122"/>
      <c r="H1120" s="436">
        <v>42040</v>
      </c>
      <c r="I1120" s="738">
        <v>2062.52</v>
      </c>
      <c r="J1120" s="440">
        <f t="shared" si="74"/>
        <v>1.0291401952476242E-2</v>
      </c>
      <c r="L1120" s="436">
        <v>42040</v>
      </c>
      <c r="M1120" s="738">
        <v>194.06</v>
      </c>
      <c r="N1120" s="115">
        <f t="shared" si="73"/>
        <v>9.2573330559599931E-3</v>
      </c>
      <c r="O1120" s="1121">
        <f t="shared" si="76"/>
        <v>9.2454191670711047E-3</v>
      </c>
      <c r="P1120" s="1122"/>
    </row>
    <row r="1121" spans="6:16">
      <c r="F1121" s="1121">
        <f t="shared" si="75"/>
        <v>-3.4300625613866782E-3</v>
      </c>
      <c r="G1121" s="1122"/>
      <c r="H1121" s="436">
        <v>42041</v>
      </c>
      <c r="I1121" s="738">
        <v>2055.4699999999998</v>
      </c>
      <c r="J1121" s="440">
        <f t="shared" si="74"/>
        <v>-3.4181486724977894E-3</v>
      </c>
      <c r="L1121" s="436">
        <v>42041</v>
      </c>
      <c r="M1121" s="738">
        <v>195.24</v>
      </c>
      <c r="N1121" s="115">
        <f t="shared" si="73"/>
        <v>6.0805936308359065E-3</v>
      </c>
      <c r="O1121" s="1121">
        <f t="shared" si="76"/>
        <v>6.0686797419470173E-3</v>
      </c>
      <c r="P1121" s="1122"/>
    </row>
    <row r="1122" spans="6:16">
      <c r="F1122" s="1121">
        <f t="shared" si="75"/>
        <v>-4.2591176914254037E-3</v>
      </c>
      <c r="G1122" s="1122"/>
      <c r="H1122" s="436">
        <v>42044</v>
      </c>
      <c r="I1122" s="738">
        <v>2046.74</v>
      </c>
      <c r="J1122" s="440">
        <f t="shared" si="74"/>
        <v>-4.2472038025365144E-3</v>
      </c>
      <c r="L1122" s="436">
        <v>42044</v>
      </c>
      <c r="M1122" s="738">
        <v>193.02</v>
      </c>
      <c r="N1122" s="115">
        <f t="shared" si="73"/>
        <v>-1.1370620774431517E-2</v>
      </c>
      <c r="O1122" s="1121">
        <f t="shared" si="76"/>
        <v>-1.1382534663320405E-2</v>
      </c>
      <c r="P1122" s="1122"/>
    </row>
    <row r="1123" spans="6:16">
      <c r="F1123" s="1121">
        <f t="shared" si="75"/>
        <v>1.0663599366336533E-2</v>
      </c>
      <c r="G1123" s="1122"/>
      <c r="H1123" s="436">
        <v>42045</v>
      </c>
      <c r="I1123" s="738">
        <v>2068.59</v>
      </c>
      <c r="J1123" s="440">
        <f t="shared" si="74"/>
        <v>1.0675513255225422E-2</v>
      </c>
      <c r="L1123" s="436">
        <v>42045</v>
      </c>
      <c r="M1123" s="738">
        <v>195.67</v>
      </c>
      <c r="N1123" s="115">
        <f t="shared" si="73"/>
        <v>1.3729147238628059E-2</v>
      </c>
      <c r="O1123" s="1121">
        <f t="shared" si="76"/>
        <v>1.371723334973917E-2</v>
      </c>
      <c r="P1123" s="1122"/>
    </row>
    <row r="1124" spans="6:16">
      <c r="F1124" s="1121">
        <f t="shared" si="75"/>
        <v>-4.0919153344372789E-5</v>
      </c>
      <c r="G1124" s="1122"/>
      <c r="H1124" s="436">
        <v>42046</v>
      </c>
      <c r="I1124" s="738">
        <v>2068.5300000000002</v>
      </c>
      <c r="J1124" s="440">
        <f t="shared" si="74"/>
        <v>-2.9005264455483903E-5</v>
      </c>
      <c r="L1124" s="436">
        <v>42046</v>
      </c>
      <c r="M1124" s="738">
        <v>196.31</v>
      </c>
      <c r="N1124" s="115">
        <f t="shared" si="73"/>
        <v>3.2708131036951471E-3</v>
      </c>
      <c r="O1124" s="1121">
        <f t="shared" si="76"/>
        <v>3.2588992148062583E-3</v>
      </c>
      <c r="P1124" s="1122"/>
    </row>
    <row r="1125" spans="6:16">
      <c r="F1125" s="1121">
        <f t="shared" si="75"/>
        <v>9.6326162847125626E-3</v>
      </c>
      <c r="G1125" s="1122"/>
      <c r="H1125" s="436">
        <v>42047</v>
      </c>
      <c r="I1125" s="738">
        <v>2088.48</v>
      </c>
      <c r="J1125" s="440">
        <f t="shared" si="74"/>
        <v>9.644530173601451E-3</v>
      </c>
      <c r="L1125" s="436">
        <v>42047</v>
      </c>
      <c r="M1125" s="738">
        <v>197.48</v>
      </c>
      <c r="N1125" s="115">
        <f t="shared" si="73"/>
        <v>5.9599612857215156E-3</v>
      </c>
      <c r="O1125" s="1121">
        <f t="shared" si="76"/>
        <v>5.9480473968326264E-3</v>
      </c>
      <c r="P1125" s="1122"/>
    </row>
    <row r="1126" spans="6:16">
      <c r="F1126" s="1121">
        <f t="shared" si="75"/>
        <v>4.0628198887865319E-3</v>
      </c>
      <c r="G1126" s="1122"/>
      <c r="H1126" s="436">
        <v>42048</v>
      </c>
      <c r="I1126" s="738">
        <v>2096.9899999999998</v>
      </c>
      <c r="J1126" s="440">
        <f t="shared" si="74"/>
        <v>4.0747337776754211E-3</v>
      </c>
      <c r="L1126" s="436">
        <v>42048</v>
      </c>
      <c r="M1126" s="738">
        <v>196.95</v>
      </c>
      <c r="N1126" s="115">
        <f t="shared" si="73"/>
        <v>-2.6838160826412327E-3</v>
      </c>
      <c r="O1126" s="1121">
        <f t="shared" si="76"/>
        <v>-2.6957299715301215E-3</v>
      </c>
      <c r="P1126" s="1122"/>
    </row>
    <row r="1127" spans="6:16">
      <c r="F1127" s="1121">
        <f t="shared" si="75"/>
        <v>-1.1913888888888887E-5</v>
      </c>
      <c r="G1127" s="1122"/>
      <c r="H1127" s="436">
        <v>42051</v>
      </c>
      <c r="I1127" s="738">
        <v>2096.9899999999998</v>
      </c>
      <c r="J1127" s="440">
        <f t="shared" si="74"/>
        <v>0</v>
      </c>
      <c r="L1127" s="436">
        <v>42051</v>
      </c>
      <c r="M1127" s="738">
        <v>196.95</v>
      </c>
      <c r="N1127" s="115">
        <f t="shared" si="73"/>
        <v>0</v>
      </c>
      <c r="O1127" s="1121">
        <f t="shared" si="76"/>
        <v>-1.1913888888888887E-5</v>
      </c>
      <c r="P1127" s="1122"/>
    </row>
    <row r="1128" spans="6:16">
      <c r="F1128" s="1121">
        <f t="shared" si="75"/>
        <v>1.585613996318284E-3</v>
      </c>
      <c r="G1128" s="1122"/>
      <c r="H1128" s="436">
        <v>42052</v>
      </c>
      <c r="I1128" s="738">
        <v>2100.34</v>
      </c>
      <c r="J1128" s="440">
        <f t="shared" si="74"/>
        <v>1.5975278852071728E-3</v>
      </c>
      <c r="L1128" s="436">
        <v>42052</v>
      </c>
      <c r="M1128" s="738">
        <v>197.57</v>
      </c>
      <c r="N1128" s="115">
        <f t="shared" si="73"/>
        <v>3.148007108403128E-3</v>
      </c>
      <c r="O1128" s="1121">
        <f t="shared" si="76"/>
        <v>3.1360932195142392E-3</v>
      </c>
      <c r="P1128" s="1122"/>
    </row>
    <row r="1129" spans="6:16">
      <c r="F1129" s="1121">
        <f t="shared" si="75"/>
        <v>-3.2614872705805841E-4</v>
      </c>
      <c r="G1129" s="1122"/>
      <c r="H1129" s="436">
        <v>42053</v>
      </c>
      <c r="I1129" s="738">
        <v>2099.6799999999998</v>
      </c>
      <c r="J1129" s="440">
        <f t="shared" si="74"/>
        <v>-3.1423483816916953E-4</v>
      </c>
      <c r="L1129" s="436">
        <v>42053</v>
      </c>
      <c r="M1129" s="738">
        <v>198.57</v>
      </c>
      <c r="N1129" s="115">
        <f t="shared" si="73"/>
        <v>5.0614971908691242E-3</v>
      </c>
      <c r="O1129" s="1121">
        <f t="shared" si="76"/>
        <v>5.0495833019802349E-3</v>
      </c>
      <c r="P1129" s="1122"/>
    </row>
    <row r="1130" spans="6:16">
      <c r="F1130" s="1121">
        <f t="shared" si="75"/>
        <v>-1.0739804895138001E-3</v>
      </c>
      <c r="G1130" s="1122"/>
      <c r="H1130" s="436">
        <v>42054</v>
      </c>
      <c r="I1130" s="738">
        <v>2097.4499999999998</v>
      </c>
      <c r="J1130" s="440">
        <f t="shared" si="74"/>
        <v>-1.0620666006249113E-3</v>
      </c>
      <c r="L1130" s="436">
        <v>42054</v>
      </c>
      <c r="M1130" s="738">
        <v>201.71</v>
      </c>
      <c r="N1130" s="115">
        <f t="shared" si="73"/>
        <v>1.5813063403333993E-2</v>
      </c>
      <c r="O1130" s="1121">
        <f t="shared" si="76"/>
        <v>1.5801149514445105E-2</v>
      </c>
      <c r="P1130" s="1122"/>
    </row>
    <row r="1131" spans="6:16">
      <c r="F1131" s="1121">
        <f t="shared" si="75"/>
        <v>6.1145730357102723E-3</v>
      </c>
      <c r="G1131" s="1122"/>
      <c r="H1131" s="436">
        <v>42055</v>
      </c>
      <c r="I1131" s="738">
        <v>2110.3000000000002</v>
      </c>
      <c r="J1131" s="440">
        <f t="shared" si="74"/>
        <v>6.1264869245991616E-3</v>
      </c>
      <c r="L1131" s="436">
        <v>42055</v>
      </c>
      <c r="M1131" s="738">
        <v>203.99</v>
      </c>
      <c r="N1131" s="115">
        <f t="shared" si="73"/>
        <v>1.1303356303604239E-2</v>
      </c>
      <c r="O1131" s="1121">
        <f t="shared" si="76"/>
        <v>1.1291442414715351E-2</v>
      </c>
      <c r="P1131" s="1122"/>
    </row>
    <row r="1132" spans="6:16">
      <c r="F1132" s="1121">
        <f t="shared" si="75"/>
        <v>-3.1518830484889758E-4</v>
      </c>
      <c r="G1132" s="1122"/>
      <c r="H1132" s="436">
        <v>42058</v>
      </c>
      <c r="I1132" s="738">
        <v>2109.66</v>
      </c>
      <c r="J1132" s="440">
        <f t="shared" si="74"/>
        <v>-3.032744159600087E-4</v>
      </c>
      <c r="L1132" s="436">
        <v>42058</v>
      </c>
      <c r="M1132" s="738">
        <v>205.59</v>
      </c>
      <c r="N1132" s="115">
        <f t="shared" si="73"/>
        <v>7.8435217412617941E-3</v>
      </c>
      <c r="O1132" s="1121">
        <f t="shared" si="76"/>
        <v>7.8316078523729057E-3</v>
      </c>
      <c r="P1132" s="1122"/>
    </row>
    <row r="1133" spans="6:16">
      <c r="F1133" s="1121">
        <f t="shared" si="75"/>
        <v>2.7468244860152573E-3</v>
      </c>
      <c r="G1133" s="1122"/>
      <c r="H1133" s="436">
        <v>42059</v>
      </c>
      <c r="I1133" s="738">
        <v>2115.48</v>
      </c>
      <c r="J1133" s="440">
        <f t="shared" si="74"/>
        <v>2.7587383749041461E-3</v>
      </c>
      <c r="L1133" s="436">
        <v>42059</v>
      </c>
      <c r="M1133" s="738">
        <v>206.62</v>
      </c>
      <c r="N1133" s="115">
        <f t="shared" si="73"/>
        <v>5.0099713021061199E-3</v>
      </c>
      <c r="O1133" s="1121">
        <f t="shared" si="76"/>
        <v>4.9980574132172306E-3</v>
      </c>
      <c r="P1133" s="1122"/>
    </row>
    <row r="1134" spans="6:16">
      <c r="F1134" s="1121">
        <f t="shared" si="75"/>
        <v>-7.776975408260242E-4</v>
      </c>
      <c r="G1134" s="1122"/>
      <c r="H1134" s="436">
        <v>42060</v>
      </c>
      <c r="I1134" s="738">
        <v>2113.86</v>
      </c>
      <c r="J1134" s="440">
        <f t="shared" si="74"/>
        <v>-7.6578365193713527E-4</v>
      </c>
      <c r="L1134" s="436">
        <v>42060</v>
      </c>
      <c r="M1134" s="738">
        <v>204.86</v>
      </c>
      <c r="N1134" s="115">
        <f t="shared" si="73"/>
        <v>-8.5180524634594912E-3</v>
      </c>
      <c r="O1134" s="1121">
        <f t="shared" si="76"/>
        <v>-8.5299663523483796E-3</v>
      </c>
      <c r="P1134" s="1122"/>
    </row>
    <row r="1135" spans="6:16">
      <c r="F1135" s="1121">
        <f t="shared" si="75"/>
        <v>-1.4878867536956071E-3</v>
      </c>
      <c r="G1135" s="1122"/>
      <c r="H1135" s="436">
        <v>42061</v>
      </c>
      <c r="I1135" s="738">
        <v>2110.7399999999998</v>
      </c>
      <c r="J1135" s="440">
        <f t="shared" si="74"/>
        <v>-1.4759728648067183E-3</v>
      </c>
      <c r="L1135" s="436">
        <v>42061</v>
      </c>
      <c r="M1135" s="738">
        <v>201.33</v>
      </c>
      <c r="N1135" s="115">
        <f t="shared" si="73"/>
        <v>-1.7231279898467289E-2</v>
      </c>
      <c r="O1135" s="1121">
        <f t="shared" si="76"/>
        <v>-1.7243193787356177E-2</v>
      </c>
      <c r="P1135" s="1122"/>
    </row>
    <row r="1136" spans="6:16">
      <c r="F1136" s="1121">
        <f t="shared" si="75"/>
        <v>-2.968223050604631E-3</v>
      </c>
      <c r="G1136" s="1122"/>
      <c r="H1136" s="436">
        <v>42062</v>
      </c>
      <c r="I1136" s="738">
        <v>2104.5</v>
      </c>
      <c r="J1136" s="440">
        <f t="shared" si="74"/>
        <v>-2.9563091617157422E-3</v>
      </c>
      <c r="L1136" s="436">
        <v>42062</v>
      </c>
      <c r="M1136" s="738">
        <v>200.05</v>
      </c>
      <c r="N1136" s="115">
        <f t="shared" si="73"/>
        <v>-6.3577211543237588E-3</v>
      </c>
      <c r="O1136" s="1121">
        <f t="shared" si="76"/>
        <v>-6.3696350432126481E-3</v>
      </c>
      <c r="P1136" s="1122"/>
    </row>
    <row r="1137" spans="6:16">
      <c r="F1137" s="1121">
        <f t="shared" si="75"/>
        <v>6.1130564128454223E-3</v>
      </c>
      <c r="G1137" s="1122"/>
      <c r="H1137" s="436">
        <v>42065</v>
      </c>
      <c r="I1137" s="738">
        <v>2117.39</v>
      </c>
      <c r="J1137" s="440">
        <f t="shared" si="74"/>
        <v>6.1249703017343116E-3</v>
      </c>
      <c r="L1137" s="436">
        <v>42065</v>
      </c>
      <c r="M1137" s="738">
        <v>203.02</v>
      </c>
      <c r="N1137" s="115">
        <f t="shared" ref="N1137:N1200" si="77">M1137/M1136-1</f>
        <v>1.484628842789304E-2</v>
      </c>
      <c r="O1137" s="1121">
        <f t="shared" si="76"/>
        <v>1.4834374539004151E-2</v>
      </c>
      <c r="P1137" s="1122"/>
    </row>
    <row r="1138" spans="6:16">
      <c r="F1138" s="1121">
        <f t="shared" si="75"/>
        <v>-4.550520380843478E-3</v>
      </c>
      <c r="G1138" s="1122"/>
      <c r="H1138" s="436">
        <v>42066</v>
      </c>
      <c r="I1138" s="738">
        <v>2107.7800000000002</v>
      </c>
      <c r="J1138" s="440">
        <f t="shared" si="74"/>
        <v>-4.5386064919545888E-3</v>
      </c>
      <c r="L1138" s="436">
        <v>42066</v>
      </c>
      <c r="M1138" s="738">
        <v>199.93</v>
      </c>
      <c r="N1138" s="115">
        <f t="shared" si="77"/>
        <v>-1.5220175352182119E-2</v>
      </c>
      <c r="O1138" s="1121">
        <f t="shared" si="76"/>
        <v>-1.5232089241071008E-2</v>
      </c>
      <c r="P1138" s="1122"/>
    </row>
    <row r="1139" spans="6:16">
      <c r="F1139" s="1121">
        <f t="shared" si="75"/>
        <v>-4.4004174329019896E-3</v>
      </c>
      <c r="G1139" s="1122"/>
      <c r="H1139" s="436">
        <v>42067</v>
      </c>
      <c r="I1139" s="738">
        <v>2098.5300000000002</v>
      </c>
      <c r="J1139" s="440">
        <f t="shared" si="74"/>
        <v>-4.3885035440131004E-3</v>
      </c>
      <c r="L1139" s="436">
        <v>42067</v>
      </c>
      <c r="M1139" s="738">
        <v>198.97</v>
      </c>
      <c r="N1139" s="115">
        <f t="shared" si="77"/>
        <v>-4.8016805882059588E-3</v>
      </c>
      <c r="O1139" s="1121">
        <f t="shared" si="76"/>
        <v>-4.813594477094848E-3</v>
      </c>
      <c r="P1139" s="1122"/>
    </row>
    <row r="1140" spans="6:16">
      <c r="F1140" s="1121">
        <f t="shared" si="75"/>
        <v>1.1841614590927178E-3</v>
      </c>
      <c r="G1140" s="1122"/>
      <c r="H1140" s="436">
        <v>42068</v>
      </c>
      <c r="I1140" s="738">
        <v>2101.04</v>
      </c>
      <c r="J1140" s="440">
        <f t="shared" si="74"/>
        <v>1.1960753479816066E-3</v>
      </c>
      <c r="L1140" s="436">
        <v>42068</v>
      </c>
      <c r="M1140" s="738">
        <v>199.1</v>
      </c>
      <c r="N1140" s="115">
        <f t="shared" si="77"/>
        <v>6.5336482886868552E-4</v>
      </c>
      <c r="O1140" s="1121">
        <f t="shared" si="76"/>
        <v>6.4145093997979659E-4</v>
      </c>
      <c r="P1140" s="1122"/>
    </row>
    <row r="1141" spans="6:16">
      <c r="F1141" s="1121">
        <f t="shared" si="75"/>
        <v>-1.4185846798305042E-2</v>
      </c>
      <c r="G1141" s="1122"/>
      <c r="H1141" s="436">
        <v>42069</v>
      </c>
      <c r="I1141" s="738">
        <v>2071.2600000000002</v>
      </c>
      <c r="J1141" s="440">
        <f t="shared" si="74"/>
        <v>-1.4173932909416154E-2</v>
      </c>
      <c r="L1141" s="436">
        <v>42069</v>
      </c>
      <c r="M1141" s="738">
        <v>197.66</v>
      </c>
      <c r="N1141" s="115">
        <f t="shared" si="77"/>
        <v>-7.2325464590657917E-3</v>
      </c>
      <c r="O1141" s="1121">
        <f t="shared" si="76"/>
        <v>-7.244460347954681E-3</v>
      </c>
      <c r="P1141" s="1122"/>
    </row>
    <row r="1142" spans="6:16">
      <c r="F1142" s="1121">
        <f t="shared" si="75"/>
        <v>3.9325450394925776E-3</v>
      </c>
      <c r="G1142" s="1122"/>
      <c r="H1142" s="436">
        <v>42072</v>
      </c>
      <c r="I1142" s="738">
        <v>2079.4299999999998</v>
      </c>
      <c r="J1142" s="440">
        <f t="shared" si="74"/>
        <v>3.9444589283814668E-3</v>
      </c>
      <c r="L1142" s="436">
        <v>42072</v>
      </c>
      <c r="M1142" s="738">
        <v>199.74</v>
      </c>
      <c r="N1142" s="115">
        <f t="shared" si="77"/>
        <v>1.0523120509966732E-2</v>
      </c>
      <c r="O1142" s="1121">
        <f t="shared" si="76"/>
        <v>1.0511206621077844E-2</v>
      </c>
      <c r="P1142" s="1122"/>
    </row>
    <row r="1143" spans="6:16">
      <c r="F1143" s="1121">
        <f t="shared" si="75"/>
        <v>-1.6973292728282303E-2</v>
      </c>
      <c r="G1143" s="1122"/>
      <c r="H1143" s="436">
        <v>42073</v>
      </c>
      <c r="I1143" s="738">
        <v>2044.16</v>
      </c>
      <c r="J1143" s="440">
        <f t="shared" si="74"/>
        <v>-1.6961378839393415E-2</v>
      </c>
      <c r="L1143" s="436">
        <v>42073</v>
      </c>
      <c r="M1143" s="738">
        <v>197.58</v>
      </c>
      <c r="N1143" s="115">
        <f t="shared" si="77"/>
        <v>-1.0814058275758431E-2</v>
      </c>
      <c r="O1143" s="1121">
        <f t="shared" si="76"/>
        <v>-1.082597216464732E-2</v>
      </c>
      <c r="P1143" s="1122"/>
    </row>
    <row r="1144" spans="6:16">
      <c r="F1144" s="1121">
        <f t="shared" si="75"/>
        <v>-1.9295719978431676E-3</v>
      </c>
      <c r="G1144" s="1122"/>
      <c r="H1144" s="436">
        <v>42074</v>
      </c>
      <c r="I1144" s="738">
        <v>2040.24</v>
      </c>
      <c r="J1144" s="440">
        <f t="shared" si="74"/>
        <v>-1.9176581089542788E-3</v>
      </c>
      <c r="L1144" s="436">
        <v>42074</v>
      </c>
      <c r="M1144" s="738">
        <v>197.21</v>
      </c>
      <c r="N1144" s="115">
        <f t="shared" si="77"/>
        <v>-1.8726591760299671E-3</v>
      </c>
      <c r="O1144" s="1121">
        <f t="shared" si="76"/>
        <v>-1.8845730649188559E-3</v>
      </c>
      <c r="P1144" s="1122"/>
    </row>
    <row r="1145" spans="6:16">
      <c r="F1145" s="1121">
        <f t="shared" si="75"/>
        <v>1.2589544763034304E-2</v>
      </c>
      <c r="G1145" s="1122"/>
      <c r="H1145" s="436">
        <v>42075</v>
      </c>
      <c r="I1145" s="738">
        <v>2065.9499999999998</v>
      </c>
      <c r="J1145" s="440">
        <f t="shared" si="74"/>
        <v>1.2601458651923192E-2</v>
      </c>
      <c r="L1145" s="436">
        <v>42075</v>
      </c>
      <c r="M1145" s="738">
        <v>198.78</v>
      </c>
      <c r="N1145" s="115">
        <f t="shared" si="77"/>
        <v>7.9610567415444589E-3</v>
      </c>
      <c r="O1145" s="1121">
        <f t="shared" si="76"/>
        <v>7.9491428526555705E-3</v>
      </c>
      <c r="P1145" s="1122"/>
    </row>
    <row r="1146" spans="6:16">
      <c r="F1146" s="1121">
        <f t="shared" si="75"/>
        <v>-6.0866010788014424E-3</v>
      </c>
      <c r="G1146" s="1122"/>
      <c r="H1146" s="436">
        <v>42076</v>
      </c>
      <c r="I1146" s="738">
        <v>2053.4</v>
      </c>
      <c r="J1146" s="440">
        <f t="shared" si="74"/>
        <v>-6.0746871899125532E-3</v>
      </c>
      <c r="L1146" s="436">
        <v>42076</v>
      </c>
      <c r="M1146" s="738">
        <v>197.11</v>
      </c>
      <c r="N1146" s="115">
        <f t="shared" si="77"/>
        <v>-8.4012476104234901E-3</v>
      </c>
      <c r="O1146" s="1121">
        <f t="shared" si="76"/>
        <v>-8.4131614993123785E-3</v>
      </c>
      <c r="P1146" s="1122"/>
    </row>
    <row r="1147" spans="6:16">
      <c r="F1147" s="1121">
        <f t="shared" si="75"/>
        <v>1.3521737615932332E-2</v>
      </c>
      <c r="G1147" s="1122"/>
      <c r="H1147" s="436">
        <v>42079</v>
      </c>
      <c r="I1147" s="738">
        <v>2081.19</v>
      </c>
      <c r="J1147" s="440">
        <f t="shared" si="74"/>
        <v>1.353365150482122E-2</v>
      </c>
      <c r="L1147" s="436">
        <v>42079</v>
      </c>
      <c r="M1147" s="738">
        <v>202.11</v>
      </c>
      <c r="N1147" s="115">
        <f t="shared" si="77"/>
        <v>2.536654659834614E-2</v>
      </c>
      <c r="O1147" s="1121">
        <f t="shared" si="76"/>
        <v>2.5354632709457252E-2</v>
      </c>
      <c r="P1147" s="1122"/>
    </row>
    <row r="1148" spans="6:16">
      <c r="F1148" s="1121">
        <f t="shared" si="75"/>
        <v>-3.3321297269429746E-3</v>
      </c>
      <c r="G1148" s="1122"/>
      <c r="H1148" s="436">
        <v>42080</v>
      </c>
      <c r="I1148" s="738">
        <v>2074.2800000000002</v>
      </c>
      <c r="J1148" s="440">
        <f t="shared" si="74"/>
        <v>-3.3202158380540858E-3</v>
      </c>
      <c r="L1148" s="436">
        <v>42080</v>
      </c>
      <c r="M1148" s="738">
        <v>200.67</v>
      </c>
      <c r="N1148" s="115">
        <f t="shared" si="77"/>
        <v>-7.1248330117263947E-3</v>
      </c>
      <c r="O1148" s="1121">
        <f t="shared" si="76"/>
        <v>-7.136746900615284E-3</v>
      </c>
      <c r="P1148" s="1122"/>
    </row>
    <row r="1149" spans="6:16">
      <c r="F1149" s="1121">
        <f t="shared" si="75"/>
        <v>1.214652180928099E-2</v>
      </c>
      <c r="G1149" s="1122"/>
      <c r="H1149" s="436">
        <v>42081</v>
      </c>
      <c r="I1149" s="738">
        <v>2099.5</v>
      </c>
      <c r="J1149" s="440">
        <f t="shared" si="74"/>
        <v>1.2158435698169878E-2</v>
      </c>
      <c r="L1149" s="436">
        <v>42081</v>
      </c>
      <c r="M1149" s="738">
        <v>202.6</v>
      </c>
      <c r="N1149" s="115">
        <f t="shared" si="77"/>
        <v>9.6177804355410679E-3</v>
      </c>
      <c r="O1149" s="1121">
        <f t="shared" si="76"/>
        <v>9.6058665466521795E-3</v>
      </c>
      <c r="P1149" s="1122"/>
    </row>
    <row r="1150" spans="6:16">
      <c r="F1150" s="1121">
        <f t="shared" si="75"/>
        <v>-4.884502600486903E-3</v>
      </c>
      <c r="G1150" s="1122"/>
      <c r="H1150" s="436">
        <v>42082</v>
      </c>
      <c r="I1150" s="738">
        <v>2089.27</v>
      </c>
      <c r="J1150" s="440">
        <f t="shared" si="74"/>
        <v>-4.8725887115980138E-3</v>
      </c>
      <c r="L1150" s="436">
        <v>42082</v>
      </c>
      <c r="M1150" s="738">
        <v>202.19</v>
      </c>
      <c r="N1150" s="115">
        <f t="shared" si="77"/>
        <v>-2.0236920039486961E-3</v>
      </c>
      <c r="O1150" s="1121">
        <f t="shared" si="76"/>
        <v>-2.0356058928375849E-3</v>
      </c>
      <c r="P1150" s="1122"/>
    </row>
    <row r="1151" spans="6:16">
      <c r="F1151" s="1121">
        <f t="shared" si="75"/>
        <v>9.0008034717202687E-3</v>
      </c>
      <c r="G1151" s="1122"/>
      <c r="H1151" s="436">
        <v>42083</v>
      </c>
      <c r="I1151" s="738">
        <v>2108.1</v>
      </c>
      <c r="J1151" s="440">
        <f t="shared" si="74"/>
        <v>9.0127173606091571E-3</v>
      </c>
      <c r="L1151" s="436">
        <v>42083</v>
      </c>
      <c r="M1151" s="738">
        <v>203.77</v>
      </c>
      <c r="N1151" s="115">
        <f t="shared" si="77"/>
        <v>7.8144319699293696E-3</v>
      </c>
      <c r="O1151" s="1121">
        <f t="shared" si="76"/>
        <v>7.8025180810404804E-3</v>
      </c>
      <c r="P1151" s="1122"/>
    </row>
    <row r="1152" spans="6:16">
      <c r="F1152" s="1121">
        <f t="shared" si="75"/>
        <v>-1.7575616285595637E-3</v>
      </c>
      <c r="G1152" s="1122"/>
      <c r="H1152" s="436">
        <v>42086</v>
      </c>
      <c r="I1152" s="738">
        <v>2104.42</v>
      </c>
      <c r="J1152" s="440">
        <f t="shared" si="74"/>
        <v>-1.7456477396706749E-3</v>
      </c>
      <c r="L1152" s="436">
        <v>42086</v>
      </c>
      <c r="M1152" s="738">
        <v>202.92</v>
      </c>
      <c r="N1152" s="115">
        <f t="shared" si="77"/>
        <v>-4.1713696815037782E-3</v>
      </c>
      <c r="O1152" s="1121">
        <f t="shared" si="76"/>
        <v>-4.1832835703926674E-3</v>
      </c>
      <c r="P1152" s="1122"/>
    </row>
    <row r="1153" spans="6:16">
      <c r="F1153" s="1121">
        <f t="shared" si="75"/>
        <v>-6.1513727421596076E-3</v>
      </c>
      <c r="G1153" s="1122"/>
      <c r="H1153" s="436">
        <v>42087</v>
      </c>
      <c r="I1153" s="738">
        <v>2091.5</v>
      </c>
      <c r="J1153" s="440">
        <f t="shared" si="74"/>
        <v>-6.1394588532707184E-3</v>
      </c>
      <c r="L1153" s="436">
        <v>42087</v>
      </c>
      <c r="M1153" s="738">
        <v>203.3</v>
      </c>
      <c r="N1153" s="115">
        <f t="shared" si="77"/>
        <v>1.8726591760300781E-3</v>
      </c>
      <c r="O1153" s="1121">
        <f t="shared" si="76"/>
        <v>1.8607452871411893E-3</v>
      </c>
      <c r="P1153" s="1122"/>
    </row>
    <row r="1154" spans="6:16">
      <c r="F1154" s="1121">
        <f t="shared" si="75"/>
        <v>-1.4570842887215336E-2</v>
      </c>
      <c r="G1154" s="1122"/>
      <c r="H1154" s="436">
        <v>42088</v>
      </c>
      <c r="I1154" s="738">
        <v>2061.0500000000002</v>
      </c>
      <c r="J1154" s="440">
        <f t="shared" si="74"/>
        <v>-1.4558928998326448E-2</v>
      </c>
      <c r="L1154" s="436">
        <v>42088</v>
      </c>
      <c r="M1154" s="738">
        <v>199.02</v>
      </c>
      <c r="N1154" s="115">
        <f t="shared" si="77"/>
        <v>-2.1052631578947323E-2</v>
      </c>
      <c r="O1154" s="1121">
        <f t="shared" si="76"/>
        <v>-2.1064545467836211E-2</v>
      </c>
      <c r="P1154" s="1122"/>
    </row>
    <row r="1155" spans="6:16">
      <c r="F1155" s="1121">
        <f t="shared" si="75"/>
        <v>-2.3893428692629633E-3</v>
      </c>
      <c r="G1155" s="1122"/>
      <c r="H1155" s="436">
        <v>42089</v>
      </c>
      <c r="I1155" s="738">
        <v>2056.15</v>
      </c>
      <c r="J1155" s="440">
        <f t="shared" si="74"/>
        <v>-2.3774289803740745E-3</v>
      </c>
      <c r="L1155" s="436">
        <v>42089</v>
      </c>
      <c r="M1155" s="738">
        <v>200.56</v>
      </c>
      <c r="N1155" s="115">
        <f t="shared" si="77"/>
        <v>7.7379157873580517E-3</v>
      </c>
      <c r="O1155" s="1121">
        <f t="shared" si="76"/>
        <v>7.7260018984691625E-3</v>
      </c>
      <c r="P1155" s="1122"/>
    </row>
    <row r="1156" spans="6:16">
      <c r="F1156" s="1121">
        <f t="shared" si="75"/>
        <v>2.356590354478542E-3</v>
      </c>
      <c r="G1156" s="1122"/>
      <c r="H1156" s="436">
        <v>42090</v>
      </c>
      <c r="I1156" s="738">
        <v>2061.02</v>
      </c>
      <c r="J1156" s="440">
        <f t="shared" si="74"/>
        <v>2.3685042433674308E-3</v>
      </c>
      <c r="L1156" s="436">
        <v>42090</v>
      </c>
      <c r="M1156" s="738">
        <v>202.23</v>
      </c>
      <c r="N1156" s="115">
        <f t="shared" si="77"/>
        <v>8.3266852812124981E-3</v>
      </c>
      <c r="O1156" s="1121">
        <f t="shared" si="76"/>
        <v>8.3147713923236097E-3</v>
      </c>
      <c r="P1156" s="1122"/>
    </row>
    <row r="1157" spans="6:16">
      <c r="F1157" s="1121">
        <f t="shared" si="75"/>
        <v>1.22247456292136E-2</v>
      </c>
      <c r="G1157" s="1122"/>
      <c r="H1157" s="436">
        <v>42093</v>
      </c>
      <c r="I1157" s="738">
        <v>2086.2399999999998</v>
      </c>
      <c r="J1157" s="440">
        <f t="shared" si="74"/>
        <v>1.2236659518102488E-2</v>
      </c>
      <c r="L1157" s="436">
        <v>42093</v>
      </c>
      <c r="M1157" s="738">
        <v>204.89</v>
      </c>
      <c r="N1157" s="115">
        <f t="shared" si="77"/>
        <v>1.3153340256143897E-2</v>
      </c>
      <c r="O1157" s="1121">
        <f t="shared" si="76"/>
        <v>1.3141426367255009E-2</v>
      </c>
      <c r="P1157" s="1122"/>
    </row>
    <row r="1158" spans="6:16">
      <c r="F1158" s="1121">
        <f t="shared" si="75"/>
        <v>-8.8076420889041732E-3</v>
      </c>
      <c r="G1158" s="1122"/>
      <c r="H1158" s="436">
        <v>42094</v>
      </c>
      <c r="I1158" s="738">
        <v>2067.89</v>
      </c>
      <c r="J1158" s="440">
        <f t="shared" si="74"/>
        <v>-8.7957282000152848E-3</v>
      </c>
      <c r="L1158" s="436">
        <v>42094</v>
      </c>
      <c r="M1158" s="738">
        <v>202.96</v>
      </c>
      <c r="N1158" s="115">
        <f t="shared" si="77"/>
        <v>-9.4196886134022551E-3</v>
      </c>
      <c r="O1158" s="1121">
        <f t="shared" si="76"/>
        <v>-9.4316025022911434E-3</v>
      </c>
      <c r="P1158" s="1122"/>
    </row>
    <row r="1159" spans="6:16">
      <c r="F1159" s="1121">
        <f t="shared" si="75"/>
        <v>-3.9773085665554342E-3</v>
      </c>
      <c r="G1159" s="1122"/>
      <c r="H1159" s="436">
        <v>42095</v>
      </c>
      <c r="I1159" s="738">
        <v>2059.69</v>
      </c>
      <c r="J1159" s="440">
        <f t="shared" si="74"/>
        <v>-3.965394677666545E-3</v>
      </c>
      <c r="L1159" s="436">
        <v>42095</v>
      </c>
      <c r="M1159" s="738">
        <v>198.76</v>
      </c>
      <c r="N1159" s="115">
        <f t="shared" si="77"/>
        <v>-2.0693732755222793E-2</v>
      </c>
      <c r="O1159" s="1121">
        <f t="shared" si="76"/>
        <v>-2.0705646644111682E-2</v>
      </c>
      <c r="P1159" s="1122"/>
    </row>
    <row r="1160" spans="6:16">
      <c r="F1160" s="1121">
        <f t="shared" si="75"/>
        <v>3.5177434867356065E-3</v>
      </c>
      <c r="G1160" s="1122"/>
      <c r="H1160" s="436">
        <v>42096</v>
      </c>
      <c r="I1160" s="738">
        <v>2066.96</v>
      </c>
      <c r="J1160" s="440">
        <f t="shared" si="74"/>
        <v>3.5296573756244953E-3</v>
      </c>
      <c r="L1160" s="436">
        <v>42096</v>
      </c>
      <c r="M1160" s="738">
        <v>198.72</v>
      </c>
      <c r="N1160" s="115">
        <f t="shared" si="77"/>
        <v>-2.0124773596297274E-4</v>
      </c>
      <c r="O1160" s="1121">
        <f t="shared" si="76"/>
        <v>-2.1316162485186162E-4</v>
      </c>
      <c r="P1160" s="1122"/>
    </row>
    <row r="1161" spans="6:16">
      <c r="F1161" s="1121">
        <f t="shared" si="75"/>
        <v>-1.1913888888888887E-5</v>
      </c>
      <c r="G1161" s="1122"/>
      <c r="H1161" s="436">
        <v>42097</v>
      </c>
      <c r="I1161" s="738">
        <v>2066.96</v>
      </c>
      <c r="J1161" s="440">
        <f t="shared" si="74"/>
        <v>0</v>
      </c>
      <c r="L1161" s="436">
        <v>42097</v>
      </c>
      <c r="M1161" s="738">
        <v>198.72</v>
      </c>
      <c r="N1161" s="115">
        <f t="shared" si="77"/>
        <v>0</v>
      </c>
      <c r="O1161" s="1121">
        <f t="shared" si="76"/>
        <v>-1.1913888888888887E-5</v>
      </c>
      <c r="P1161" s="1122"/>
    </row>
    <row r="1162" spans="6:16">
      <c r="F1162" s="1121">
        <f t="shared" si="75"/>
        <v>6.596825515840724E-3</v>
      </c>
      <c r="G1162" s="1122"/>
      <c r="H1162" s="436">
        <v>42100</v>
      </c>
      <c r="I1162" s="738">
        <v>2080.62</v>
      </c>
      <c r="J1162" s="440">
        <f t="shared" si="74"/>
        <v>6.6087394047296133E-3</v>
      </c>
      <c r="L1162" s="436">
        <v>42100</v>
      </c>
      <c r="M1162" s="738">
        <v>200.53</v>
      </c>
      <c r="N1162" s="115">
        <f t="shared" si="77"/>
        <v>9.1082930756842817E-3</v>
      </c>
      <c r="O1162" s="1121">
        <f t="shared" si="76"/>
        <v>9.0963791867953933E-3</v>
      </c>
      <c r="P1162" s="1122"/>
    </row>
    <row r="1163" spans="6:16">
      <c r="F1163" s="1121">
        <f t="shared" si="75"/>
        <v>-2.0737992884332164E-3</v>
      </c>
      <c r="G1163" s="1122"/>
      <c r="H1163" s="436">
        <v>42101</v>
      </c>
      <c r="I1163" s="738">
        <v>2076.33</v>
      </c>
      <c r="J1163" s="440">
        <f t="shared" si="74"/>
        <v>-2.0618853995443276E-3</v>
      </c>
      <c r="L1163" s="436">
        <v>42101</v>
      </c>
      <c r="M1163" s="738">
        <v>200.15</v>
      </c>
      <c r="N1163" s="115">
        <f t="shared" si="77"/>
        <v>-1.8949783074851956E-3</v>
      </c>
      <c r="O1163" s="1121">
        <f t="shared" si="76"/>
        <v>-1.9068921963740844E-3</v>
      </c>
      <c r="P1163" s="1122"/>
    </row>
    <row r="1164" spans="6:16">
      <c r="F1164" s="1121">
        <f t="shared" si="75"/>
        <v>2.6707039994043817E-3</v>
      </c>
      <c r="G1164" s="1122"/>
      <c r="H1164" s="436">
        <v>42102</v>
      </c>
      <c r="I1164" s="738">
        <v>2081.9</v>
      </c>
      <c r="J1164" s="440">
        <f t="shared" si="74"/>
        <v>2.6826178882932705E-3</v>
      </c>
      <c r="L1164" s="436">
        <v>42102</v>
      </c>
      <c r="M1164" s="738">
        <v>200.81</v>
      </c>
      <c r="N1164" s="115">
        <f t="shared" si="77"/>
        <v>3.2975268548587344E-3</v>
      </c>
      <c r="O1164" s="1121">
        <f t="shared" si="76"/>
        <v>3.2856129659698456E-3</v>
      </c>
      <c r="P1164" s="1122"/>
    </row>
    <row r="1165" spans="6:16">
      <c r="F1165" s="1121">
        <f t="shared" si="75"/>
        <v>4.445552848226223E-3</v>
      </c>
      <c r="G1165" s="1122"/>
      <c r="H1165" s="436">
        <v>42103</v>
      </c>
      <c r="I1165" s="738">
        <v>2091.1799999999998</v>
      </c>
      <c r="J1165" s="440">
        <f t="shared" si="74"/>
        <v>4.4574667371151122E-3</v>
      </c>
      <c r="L1165" s="436">
        <v>42103</v>
      </c>
      <c r="M1165" s="738">
        <v>201.44</v>
      </c>
      <c r="N1165" s="115">
        <f t="shared" si="77"/>
        <v>3.1372939594640492E-3</v>
      </c>
      <c r="O1165" s="1121">
        <f t="shared" si="76"/>
        <v>3.1253800705751604E-3</v>
      </c>
      <c r="P1165" s="1122"/>
    </row>
    <row r="1166" spans="6:16">
      <c r="F1166" s="1121">
        <f t="shared" si="75"/>
        <v>5.1908902695288949E-3</v>
      </c>
      <c r="G1166" s="1122"/>
      <c r="H1166" s="436">
        <v>42104</v>
      </c>
      <c r="I1166" s="738">
        <v>2102.06</v>
      </c>
      <c r="J1166" s="440">
        <f t="shared" si="74"/>
        <v>5.2028041584177842E-3</v>
      </c>
      <c r="L1166" s="436">
        <v>42104</v>
      </c>
      <c r="M1166" s="738">
        <v>200.4</v>
      </c>
      <c r="N1166" s="115">
        <f t="shared" si="77"/>
        <v>-5.1628276409848572E-3</v>
      </c>
      <c r="O1166" s="1121">
        <f t="shared" si="76"/>
        <v>-5.1747415298737465E-3</v>
      </c>
      <c r="P1166" s="1122"/>
    </row>
    <row r="1167" spans="6:16">
      <c r="F1167" s="1121">
        <f t="shared" si="75"/>
        <v>-4.5931342156160316E-3</v>
      </c>
      <c r="G1167" s="1122"/>
      <c r="H1167" s="436">
        <v>42107</v>
      </c>
      <c r="I1167" s="738">
        <v>2092.4299999999998</v>
      </c>
      <c r="J1167" s="440">
        <f t="shared" si="74"/>
        <v>-4.5812203267271423E-3</v>
      </c>
      <c r="L1167" s="436">
        <v>42107</v>
      </c>
      <c r="M1167" s="738">
        <v>197.05</v>
      </c>
      <c r="N1167" s="115">
        <f t="shared" si="77"/>
        <v>-1.6716566866267435E-2</v>
      </c>
      <c r="O1167" s="1121">
        <f t="shared" si="76"/>
        <v>-1.6728480755156323E-2</v>
      </c>
      <c r="P1167" s="1122"/>
    </row>
    <row r="1168" spans="6:16">
      <c r="F1168" s="1121">
        <f t="shared" si="75"/>
        <v>1.6177702582512647E-3</v>
      </c>
      <c r="G1168" s="1122"/>
      <c r="H1168" s="436">
        <v>42108</v>
      </c>
      <c r="I1168" s="738">
        <v>2095.84</v>
      </c>
      <c r="J1168" s="440">
        <f t="shared" si="74"/>
        <v>1.6296841471401535E-3</v>
      </c>
      <c r="L1168" s="436">
        <v>42108</v>
      </c>
      <c r="M1168" s="738">
        <v>197.34</v>
      </c>
      <c r="N1168" s="115">
        <f t="shared" si="77"/>
        <v>1.4717076884038782E-3</v>
      </c>
      <c r="O1168" s="1121">
        <f t="shared" si="76"/>
        <v>1.4597937995149894E-3</v>
      </c>
      <c r="P1168" s="1122"/>
    </row>
    <row r="1169" spans="6:16">
      <c r="F1169" s="1121">
        <f t="shared" si="75"/>
        <v>5.1363798739937272E-3</v>
      </c>
      <c r="G1169" s="1122"/>
      <c r="H1169" s="436">
        <v>42109</v>
      </c>
      <c r="I1169" s="738">
        <v>2106.63</v>
      </c>
      <c r="J1169" s="440">
        <f t="shared" si="74"/>
        <v>5.1482937628826164E-3</v>
      </c>
      <c r="L1169" s="436">
        <v>42109</v>
      </c>
      <c r="M1169" s="738">
        <v>197.21</v>
      </c>
      <c r="N1169" s="115">
        <f t="shared" si="77"/>
        <v>-6.587615283266679E-4</v>
      </c>
      <c r="O1169" s="1121">
        <f t="shared" si="76"/>
        <v>-6.7067541721555683E-4</v>
      </c>
      <c r="P1169" s="1122"/>
    </row>
    <row r="1170" spans="6:16">
      <c r="F1170" s="1121">
        <f t="shared" si="75"/>
        <v>-7.9040845129441843E-4</v>
      </c>
      <c r="G1170" s="1122"/>
      <c r="H1170" s="436">
        <v>42110</v>
      </c>
      <c r="I1170" s="738">
        <v>2104.9899999999998</v>
      </c>
      <c r="J1170" s="440">
        <f t="shared" si="74"/>
        <v>-7.784945624055295E-4</v>
      </c>
      <c r="L1170" s="436">
        <v>42110</v>
      </c>
      <c r="M1170" s="738">
        <v>197.12</v>
      </c>
      <c r="N1170" s="115">
        <f t="shared" si="77"/>
        <v>-4.5636631002488048E-4</v>
      </c>
      <c r="O1170" s="1121">
        <f t="shared" si="76"/>
        <v>-4.6828019891376936E-4</v>
      </c>
      <c r="P1170" s="1122"/>
    </row>
    <row r="1171" spans="6:16">
      <c r="F1171" s="1121">
        <f t="shared" si="75"/>
        <v>-1.1323131519376368E-2</v>
      </c>
      <c r="G1171" s="1122"/>
      <c r="H1171" s="436">
        <v>42111</v>
      </c>
      <c r="I1171" s="738">
        <v>2081.1799999999998</v>
      </c>
      <c r="J1171" s="440">
        <f t="shared" si="74"/>
        <v>-1.131121763048748E-2</v>
      </c>
      <c r="L1171" s="436">
        <v>42111</v>
      </c>
      <c r="M1171" s="738">
        <v>194.82</v>
      </c>
      <c r="N1171" s="115">
        <f t="shared" si="77"/>
        <v>-1.1668019480519543E-2</v>
      </c>
      <c r="O1171" s="1121">
        <f t="shared" si="76"/>
        <v>-1.1679933369408431E-2</v>
      </c>
      <c r="P1171" s="1122"/>
    </row>
    <row r="1172" spans="6:16">
      <c r="F1172" s="1121">
        <f t="shared" si="75"/>
        <v>9.2232315574446375E-3</v>
      </c>
      <c r="G1172" s="1122"/>
      <c r="H1172" s="436">
        <v>42114</v>
      </c>
      <c r="I1172" s="738">
        <v>2100.4</v>
      </c>
      <c r="J1172" s="440">
        <f t="shared" si="74"/>
        <v>9.2351454463335259E-3</v>
      </c>
      <c r="L1172" s="436">
        <v>42114</v>
      </c>
      <c r="M1172" s="738">
        <v>196.8</v>
      </c>
      <c r="N1172" s="115">
        <f t="shared" si="77"/>
        <v>1.0163227594703006E-2</v>
      </c>
      <c r="O1172" s="1121">
        <f t="shared" si="76"/>
        <v>1.0151313705814118E-2</v>
      </c>
      <c r="P1172" s="1122"/>
    </row>
    <row r="1173" spans="6:16">
      <c r="F1173" s="1121">
        <f t="shared" si="75"/>
        <v>-1.4925842373939642E-3</v>
      </c>
      <c r="G1173" s="1122"/>
      <c r="H1173" s="436">
        <v>42115</v>
      </c>
      <c r="I1173" s="738">
        <v>2097.29</v>
      </c>
      <c r="J1173" s="440">
        <f t="shared" si="74"/>
        <v>-1.4806703485050754E-3</v>
      </c>
      <c r="L1173" s="436">
        <v>42115</v>
      </c>
      <c r="M1173" s="738">
        <v>196.29</v>
      </c>
      <c r="N1173" s="115">
        <f t="shared" si="77"/>
        <v>-2.5914634146342319E-3</v>
      </c>
      <c r="O1173" s="1121">
        <f t="shared" si="76"/>
        <v>-2.6033773035231207E-3</v>
      </c>
      <c r="P1173" s="1122"/>
    </row>
    <row r="1174" spans="6:16">
      <c r="F1174" s="1121">
        <f t="shared" si="75"/>
        <v>5.0756038125258007E-3</v>
      </c>
      <c r="G1174" s="1122"/>
      <c r="H1174" s="436">
        <v>42116</v>
      </c>
      <c r="I1174" s="738">
        <v>2107.96</v>
      </c>
      <c r="J1174" s="440">
        <f t="shared" si="74"/>
        <v>5.08751770141469E-3</v>
      </c>
      <c r="L1174" s="436">
        <v>42116</v>
      </c>
      <c r="M1174" s="738">
        <v>197.63</v>
      </c>
      <c r="N1174" s="115">
        <f t="shared" si="77"/>
        <v>6.8266340618472476E-3</v>
      </c>
      <c r="O1174" s="1121">
        <f t="shared" si="76"/>
        <v>6.8147201729583584E-3</v>
      </c>
      <c r="P1174" s="1122"/>
    </row>
    <row r="1175" spans="6:16">
      <c r="F1175" s="1121">
        <f t="shared" si="75"/>
        <v>2.3458158593035942E-3</v>
      </c>
      <c r="G1175" s="1122"/>
      <c r="H1175" s="436">
        <v>42117</v>
      </c>
      <c r="I1175" s="738">
        <v>2112.9299999999998</v>
      </c>
      <c r="J1175" s="440">
        <f t="shared" si="74"/>
        <v>2.357729748192483E-3</v>
      </c>
      <c r="L1175" s="436">
        <v>42117</v>
      </c>
      <c r="M1175" s="738">
        <v>197.2</v>
      </c>
      <c r="N1175" s="115">
        <f t="shared" si="77"/>
        <v>-2.1757830288924307E-3</v>
      </c>
      <c r="O1175" s="1121">
        <f t="shared" si="76"/>
        <v>-2.1876969177813195E-3</v>
      </c>
      <c r="P1175" s="1122"/>
    </row>
    <row r="1176" spans="6:16">
      <c r="F1176" s="1121">
        <f t="shared" si="75"/>
        <v>2.240881991713121E-3</v>
      </c>
      <c r="G1176" s="1122"/>
      <c r="H1176" s="436">
        <v>42118</v>
      </c>
      <c r="I1176" s="738">
        <v>2117.69</v>
      </c>
      <c r="J1176" s="440">
        <f t="shared" si="74"/>
        <v>2.2527958806020099E-3</v>
      </c>
      <c r="L1176" s="436">
        <v>42118</v>
      </c>
      <c r="M1176" s="738">
        <v>195.37</v>
      </c>
      <c r="N1176" s="115">
        <f t="shared" si="77"/>
        <v>-9.2799188640972918E-3</v>
      </c>
      <c r="O1176" s="1121">
        <f t="shared" si="76"/>
        <v>-9.2918327529861802E-3</v>
      </c>
      <c r="P1176" s="1122"/>
    </row>
    <row r="1177" spans="6:16">
      <c r="F1177" s="1121">
        <f t="shared" si="75"/>
        <v>-4.1532188013170346E-3</v>
      </c>
      <c r="G1177" s="1122"/>
      <c r="H1177" s="436">
        <v>42121</v>
      </c>
      <c r="I1177" s="738">
        <v>2108.92</v>
      </c>
      <c r="J1177" s="440">
        <f t="shared" si="74"/>
        <v>-4.1413049124281454E-3</v>
      </c>
      <c r="L1177" s="436">
        <v>42121</v>
      </c>
      <c r="M1177" s="738">
        <v>193.84</v>
      </c>
      <c r="N1177" s="115">
        <f t="shared" si="77"/>
        <v>-7.8312944669090001E-3</v>
      </c>
      <c r="O1177" s="1121">
        <f t="shared" si="76"/>
        <v>-7.8432083557978885E-3</v>
      </c>
      <c r="P1177" s="1122"/>
    </row>
    <row r="1178" spans="6:16">
      <c r="F1178" s="1121">
        <f t="shared" si="75"/>
        <v>2.7572760282251678E-3</v>
      </c>
      <c r="G1178" s="1122"/>
      <c r="H1178" s="436">
        <v>42122</v>
      </c>
      <c r="I1178" s="738">
        <v>2114.7600000000002</v>
      </c>
      <c r="J1178" s="440">
        <f t="shared" si="74"/>
        <v>2.7691899171140566E-3</v>
      </c>
      <c r="L1178" s="436">
        <v>42122</v>
      </c>
      <c r="M1178" s="738">
        <v>194.02</v>
      </c>
      <c r="N1178" s="115">
        <f t="shared" si="77"/>
        <v>9.2860090796542671E-4</v>
      </c>
      <c r="O1178" s="1121">
        <f t="shared" si="76"/>
        <v>9.1668701907653778E-4</v>
      </c>
      <c r="P1178" s="1122"/>
    </row>
    <row r="1179" spans="6:16">
      <c r="F1179" s="1121">
        <f t="shared" si="75"/>
        <v>-3.7522910475263978E-3</v>
      </c>
      <c r="G1179" s="1122"/>
      <c r="H1179" s="436">
        <v>42123</v>
      </c>
      <c r="I1179" s="738">
        <v>2106.85</v>
      </c>
      <c r="J1179" s="440">
        <f t="shared" si="74"/>
        <v>-3.740377158637509E-3</v>
      </c>
      <c r="L1179" s="436">
        <v>42123</v>
      </c>
      <c r="M1179" s="738">
        <v>191.29</v>
      </c>
      <c r="N1179" s="115">
        <f t="shared" si="77"/>
        <v>-1.4070714359344483E-2</v>
      </c>
      <c r="O1179" s="1121">
        <f t="shared" si="76"/>
        <v>-1.4082628248233371E-2</v>
      </c>
      <c r="P1179" s="1122"/>
    </row>
    <row r="1180" spans="6:16">
      <c r="F1180" s="1121">
        <f t="shared" si="75"/>
        <v>-1.0140779256617834E-2</v>
      </c>
      <c r="G1180" s="1122"/>
      <c r="H1180" s="436">
        <v>42124</v>
      </c>
      <c r="I1180" s="738">
        <v>2085.5100000000002</v>
      </c>
      <c r="J1180" s="440">
        <f t="shared" si="74"/>
        <v>-1.0128865367728945E-2</v>
      </c>
      <c r="L1180" s="436">
        <v>42124</v>
      </c>
      <c r="M1180" s="738">
        <v>186.6</v>
      </c>
      <c r="N1180" s="115">
        <f t="shared" si="77"/>
        <v>-2.451774792200323E-2</v>
      </c>
      <c r="O1180" s="1121">
        <f t="shared" si="76"/>
        <v>-2.4529661810892119E-2</v>
      </c>
      <c r="P1180" s="1122"/>
    </row>
    <row r="1181" spans="6:16">
      <c r="F1181" s="1121">
        <f t="shared" si="75"/>
        <v>1.0911073773601225E-2</v>
      </c>
      <c r="G1181" s="1122"/>
      <c r="H1181" s="436">
        <v>42125</v>
      </c>
      <c r="I1181" s="738">
        <v>2108.29</v>
      </c>
      <c r="J1181" s="440">
        <f t="shared" ref="J1181:J1244" si="78">I1181/I1180-1</f>
        <v>1.0922987662490113E-2</v>
      </c>
      <c r="L1181" s="436">
        <v>42125</v>
      </c>
      <c r="M1181" s="738">
        <v>189</v>
      </c>
      <c r="N1181" s="115">
        <f t="shared" si="77"/>
        <v>1.2861736334405238E-2</v>
      </c>
      <c r="O1181" s="1121">
        <f t="shared" si="76"/>
        <v>1.284982244551635E-2</v>
      </c>
      <c r="P1181" s="1122"/>
    </row>
    <row r="1182" spans="6:16">
      <c r="F1182" s="1121">
        <f t="shared" ref="F1182:F1245" si="79">J1182-$I$19</f>
        <v>2.9288580163043735E-3</v>
      </c>
      <c r="G1182" s="1122"/>
      <c r="H1182" s="436">
        <v>42128</v>
      </c>
      <c r="I1182" s="738">
        <v>2114.4899999999998</v>
      </c>
      <c r="J1182" s="440">
        <f t="shared" si="78"/>
        <v>2.9407719051932624E-3</v>
      </c>
      <c r="L1182" s="436">
        <v>42128</v>
      </c>
      <c r="M1182" s="738">
        <v>189.69</v>
      </c>
      <c r="N1182" s="115">
        <f t="shared" si="77"/>
        <v>3.6507936507936822E-3</v>
      </c>
      <c r="O1182" s="1121">
        <f t="shared" ref="O1182:O1245" si="80">N1182-$I$19</f>
        <v>3.6388797619047934E-3</v>
      </c>
      <c r="P1182" s="1122"/>
    </row>
    <row r="1183" spans="6:16">
      <c r="F1183" s="1121">
        <f t="shared" si="79"/>
        <v>-1.1849283656539596E-2</v>
      </c>
      <c r="G1183" s="1122"/>
      <c r="H1183" s="436">
        <v>42129</v>
      </c>
      <c r="I1183" s="738">
        <v>2089.46</v>
      </c>
      <c r="J1183" s="440">
        <f t="shared" si="78"/>
        <v>-1.1837369767650707E-2</v>
      </c>
      <c r="L1183" s="436">
        <v>42129</v>
      </c>
      <c r="M1183" s="738">
        <v>187.35</v>
      </c>
      <c r="N1183" s="115">
        <f t="shared" si="77"/>
        <v>-1.2335916495334498E-2</v>
      </c>
      <c r="O1183" s="1121">
        <f t="shared" si="80"/>
        <v>-1.2347830384223386E-2</v>
      </c>
      <c r="P1183" s="1122"/>
    </row>
    <row r="1184" spans="6:16">
      <c r="F1184" s="1121">
        <f t="shared" si="79"/>
        <v>-4.4676105760711538E-3</v>
      </c>
      <c r="G1184" s="1122"/>
      <c r="H1184" s="436">
        <v>42130</v>
      </c>
      <c r="I1184" s="738">
        <v>2080.15</v>
      </c>
      <c r="J1184" s="440">
        <f t="shared" si="78"/>
        <v>-4.4556966871822645E-3</v>
      </c>
      <c r="L1184" s="436">
        <v>42130</v>
      </c>
      <c r="M1184" s="738">
        <v>186.83</v>
      </c>
      <c r="N1184" s="115">
        <f t="shared" si="77"/>
        <v>-2.7755537763543003E-3</v>
      </c>
      <c r="O1184" s="1121">
        <f t="shared" si="80"/>
        <v>-2.7874676652431892E-3</v>
      </c>
      <c r="P1184" s="1122"/>
    </row>
    <row r="1185" spans="6:16">
      <c r="F1185" s="1121">
        <f t="shared" si="79"/>
        <v>3.7618524260402057E-3</v>
      </c>
      <c r="G1185" s="1122"/>
      <c r="H1185" s="436">
        <v>42131</v>
      </c>
      <c r="I1185" s="738">
        <v>2088</v>
      </c>
      <c r="J1185" s="440">
        <f t="shared" si="78"/>
        <v>3.7737663149290945E-3</v>
      </c>
      <c r="L1185" s="436">
        <v>42131</v>
      </c>
      <c r="M1185" s="738">
        <v>188.21</v>
      </c>
      <c r="N1185" s="115">
        <f t="shared" si="77"/>
        <v>7.3863940480649593E-3</v>
      </c>
      <c r="O1185" s="1121">
        <f t="shared" si="80"/>
        <v>7.37448015917607E-3</v>
      </c>
      <c r="P1185" s="1122"/>
    </row>
    <row r="1186" spans="6:16">
      <c r="F1186" s="1121">
        <f t="shared" si="79"/>
        <v>1.3445940517241232E-2</v>
      </c>
      <c r="G1186" s="1122"/>
      <c r="H1186" s="436">
        <v>42132</v>
      </c>
      <c r="I1186" s="738">
        <v>2116.1</v>
      </c>
      <c r="J1186" s="440">
        <f t="shared" si="78"/>
        <v>1.3457854406130121E-2</v>
      </c>
      <c r="L1186" s="436">
        <v>42132</v>
      </c>
      <c r="M1186" s="738">
        <v>190.48</v>
      </c>
      <c r="N1186" s="115">
        <f t="shared" si="77"/>
        <v>1.2060995696296484E-2</v>
      </c>
      <c r="O1186" s="1121">
        <f t="shared" si="80"/>
        <v>1.2049081807407595E-2</v>
      </c>
      <c r="P1186" s="1122"/>
    </row>
    <row r="1187" spans="6:16">
      <c r="F1187" s="1121">
        <f t="shared" si="79"/>
        <v>-5.1014654223703404E-3</v>
      </c>
      <c r="G1187" s="1122"/>
      <c r="H1187" s="436">
        <v>42135</v>
      </c>
      <c r="I1187" s="738">
        <v>2105.33</v>
      </c>
      <c r="J1187" s="440">
        <f t="shared" si="78"/>
        <v>-5.0895515334814512E-3</v>
      </c>
      <c r="L1187" s="436">
        <v>42135</v>
      </c>
      <c r="M1187" s="738">
        <v>190.47</v>
      </c>
      <c r="N1187" s="115">
        <f t="shared" si="77"/>
        <v>-5.2498950020907209E-5</v>
      </c>
      <c r="O1187" s="1121">
        <f t="shared" si="80"/>
        <v>-6.4412838909796101E-5</v>
      </c>
      <c r="P1187" s="1122"/>
    </row>
    <row r="1188" spans="6:16">
      <c r="F1188" s="1121">
        <f t="shared" si="79"/>
        <v>-2.9615702372998228E-3</v>
      </c>
      <c r="G1188" s="1122"/>
      <c r="H1188" s="436">
        <v>42136</v>
      </c>
      <c r="I1188" s="738">
        <v>2099.12</v>
      </c>
      <c r="J1188" s="440">
        <f t="shared" si="78"/>
        <v>-2.9496563484109339E-3</v>
      </c>
      <c r="L1188" s="436">
        <v>42136</v>
      </c>
      <c r="M1188" s="738">
        <v>190.61</v>
      </c>
      <c r="N1188" s="115">
        <f t="shared" si="77"/>
        <v>7.350238882763982E-4</v>
      </c>
      <c r="O1188" s="1121">
        <f t="shared" si="80"/>
        <v>7.2310999938750926E-4</v>
      </c>
      <c r="P1188" s="1122"/>
    </row>
    <row r="1189" spans="6:16">
      <c r="F1189" s="1121">
        <f t="shared" si="79"/>
        <v>-3.1680355694020023E-4</v>
      </c>
      <c r="G1189" s="1122"/>
      <c r="H1189" s="436">
        <v>42137</v>
      </c>
      <c r="I1189" s="738">
        <v>2098.48</v>
      </c>
      <c r="J1189" s="440">
        <f t="shared" si="78"/>
        <v>-3.0488966805131135E-4</v>
      </c>
      <c r="L1189" s="436">
        <v>42137</v>
      </c>
      <c r="M1189" s="738">
        <v>191</v>
      </c>
      <c r="N1189" s="115">
        <f t="shared" si="77"/>
        <v>2.0460626409946059E-3</v>
      </c>
      <c r="O1189" s="1121">
        <f t="shared" si="80"/>
        <v>2.0341487521057171E-3</v>
      </c>
      <c r="P1189" s="1122"/>
    </row>
    <row r="1190" spans="6:16">
      <c r="F1190" s="1121">
        <f t="shared" si="79"/>
        <v>1.076731679236597E-2</v>
      </c>
      <c r="G1190" s="1122"/>
      <c r="H1190" s="436">
        <v>42138</v>
      </c>
      <c r="I1190" s="738">
        <v>2121.1</v>
      </c>
      <c r="J1190" s="440">
        <f t="shared" si="78"/>
        <v>1.0779230681254859E-2</v>
      </c>
      <c r="L1190" s="436">
        <v>42138</v>
      </c>
      <c r="M1190" s="738">
        <v>193.05</v>
      </c>
      <c r="N1190" s="115">
        <f t="shared" si="77"/>
        <v>1.0732984293193804E-2</v>
      </c>
      <c r="O1190" s="1121">
        <f t="shared" si="80"/>
        <v>1.0721070404304915E-2</v>
      </c>
      <c r="P1190" s="1122"/>
    </row>
    <row r="1191" spans="6:16">
      <c r="F1191" s="1121">
        <f t="shared" si="79"/>
        <v>7.5655530162543146E-4</v>
      </c>
      <c r="G1191" s="1122"/>
      <c r="H1191" s="436">
        <v>42139</v>
      </c>
      <c r="I1191" s="738">
        <v>2122.73</v>
      </c>
      <c r="J1191" s="440">
        <f t="shared" si="78"/>
        <v>7.6846919051432039E-4</v>
      </c>
      <c r="L1191" s="436">
        <v>42139</v>
      </c>
      <c r="M1191" s="738">
        <v>192.36</v>
      </c>
      <c r="N1191" s="115">
        <f t="shared" si="77"/>
        <v>-3.5742035742035716E-3</v>
      </c>
      <c r="O1191" s="1121">
        <f t="shared" si="80"/>
        <v>-3.5861174630924604E-3</v>
      </c>
      <c r="P1191" s="1122"/>
    </row>
    <row r="1192" spans="6:16">
      <c r="F1192" s="1121">
        <f t="shared" si="79"/>
        <v>3.0360479338581363E-3</v>
      </c>
      <c r="G1192" s="1122"/>
      <c r="H1192" s="436">
        <v>42142</v>
      </c>
      <c r="I1192" s="738">
        <v>2129.1999999999998</v>
      </c>
      <c r="J1192" s="440">
        <f t="shared" si="78"/>
        <v>3.0479618227470251E-3</v>
      </c>
      <c r="L1192" s="436">
        <v>42142</v>
      </c>
      <c r="M1192" s="738">
        <v>193.08</v>
      </c>
      <c r="N1192" s="115">
        <f t="shared" si="77"/>
        <v>3.7429819089207506E-3</v>
      </c>
      <c r="O1192" s="1121">
        <f t="shared" si="80"/>
        <v>3.7310680200318617E-3</v>
      </c>
      <c r="P1192" s="1122"/>
    </row>
    <row r="1193" spans="6:16">
      <c r="F1193" s="1121">
        <f t="shared" si="79"/>
        <v>-6.5534804256162842E-4</v>
      </c>
      <c r="G1193" s="1122"/>
      <c r="H1193" s="436">
        <v>42143</v>
      </c>
      <c r="I1193" s="738">
        <v>2127.83</v>
      </c>
      <c r="J1193" s="440">
        <f t="shared" si="78"/>
        <v>-6.4343415367273948E-4</v>
      </c>
      <c r="L1193" s="436">
        <v>42143</v>
      </c>
      <c r="M1193" s="738">
        <v>193.38</v>
      </c>
      <c r="N1193" s="115">
        <f t="shared" si="77"/>
        <v>1.5537600994406375E-3</v>
      </c>
      <c r="O1193" s="1121">
        <f t="shared" si="80"/>
        <v>1.5418462105517487E-3</v>
      </c>
      <c r="P1193" s="1122"/>
    </row>
    <row r="1194" spans="6:16">
      <c r="F1194" s="1121">
        <f t="shared" si="79"/>
        <v>-9.4243935379912573E-4</v>
      </c>
      <c r="G1194" s="1122"/>
      <c r="H1194" s="436">
        <v>42144</v>
      </c>
      <c r="I1194" s="738">
        <v>2125.85</v>
      </c>
      <c r="J1194" s="440">
        <f t="shared" si="78"/>
        <v>-9.305254649102368E-4</v>
      </c>
      <c r="L1194" s="436">
        <v>42144</v>
      </c>
      <c r="M1194" s="738">
        <v>193.25</v>
      </c>
      <c r="N1194" s="115">
        <f t="shared" si="77"/>
        <v>-6.7225152549377221E-4</v>
      </c>
      <c r="O1194" s="1121">
        <f t="shared" si="80"/>
        <v>-6.8416541438266114E-4</v>
      </c>
      <c r="P1194" s="1122"/>
    </row>
    <row r="1195" spans="6:16">
      <c r="F1195" s="1121">
        <f t="shared" si="79"/>
        <v>2.325974485173458E-3</v>
      </c>
      <c r="G1195" s="1122"/>
      <c r="H1195" s="436">
        <v>42145</v>
      </c>
      <c r="I1195" s="738">
        <v>2130.8200000000002</v>
      </c>
      <c r="J1195" s="440">
        <f t="shared" si="78"/>
        <v>2.3378883740623468E-3</v>
      </c>
      <c r="L1195" s="436">
        <v>42145</v>
      </c>
      <c r="M1195" s="738">
        <v>193.11</v>
      </c>
      <c r="N1195" s="115">
        <f t="shared" si="77"/>
        <v>-7.2445019404909772E-4</v>
      </c>
      <c r="O1195" s="1121">
        <f t="shared" si="80"/>
        <v>-7.3636408293798665E-4</v>
      </c>
      <c r="P1195" s="1122"/>
    </row>
    <row r="1196" spans="6:16">
      <c r="F1196" s="1121">
        <f t="shared" si="79"/>
        <v>-2.2457956808751363E-3</v>
      </c>
      <c r="G1196" s="1122"/>
      <c r="H1196" s="436">
        <v>42146</v>
      </c>
      <c r="I1196" s="738">
        <v>2126.06</v>
      </c>
      <c r="J1196" s="440">
        <f t="shared" si="78"/>
        <v>-2.2338817919862475E-3</v>
      </c>
      <c r="L1196" s="436">
        <v>42146</v>
      </c>
      <c r="M1196" s="738">
        <v>192.86</v>
      </c>
      <c r="N1196" s="115">
        <f t="shared" si="77"/>
        <v>-1.2945989332504571E-3</v>
      </c>
      <c r="O1196" s="1121">
        <f t="shared" si="80"/>
        <v>-1.3065128221393459E-3</v>
      </c>
      <c r="P1196" s="1122"/>
    </row>
    <row r="1197" spans="6:16">
      <c r="F1197" s="1121">
        <f t="shared" si="79"/>
        <v>-1.1913888888888887E-5</v>
      </c>
      <c r="G1197" s="1122"/>
      <c r="H1197" s="436">
        <v>42149</v>
      </c>
      <c r="I1197" s="738">
        <v>2126.06</v>
      </c>
      <c r="J1197" s="440">
        <f t="shared" si="78"/>
        <v>0</v>
      </c>
      <c r="L1197" s="436">
        <v>42149</v>
      </c>
      <c r="M1197" s="738">
        <v>192.86</v>
      </c>
      <c r="N1197" s="115">
        <f t="shared" si="77"/>
        <v>0</v>
      </c>
      <c r="O1197" s="1121">
        <f t="shared" si="80"/>
        <v>-1.1913888888888887E-5</v>
      </c>
      <c r="P1197" s="1122"/>
    </row>
    <row r="1198" spans="6:16">
      <c r="F1198" s="1121">
        <f t="shared" si="79"/>
        <v>-1.0293843843829038E-2</v>
      </c>
      <c r="G1198" s="1122"/>
      <c r="H1198" s="436">
        <v>42150</v>
      </c>
      <c r="I1198" s="738">
        <v>2104.1999999999998</v>
      </c>
      <c r="J1198" s="440">
        <f t="shared" si="78"/>
        <v>-1.028192995494015E-2</v>
      </c>
      <c r="L1198" s="436">
        <v>42150</v>
      </c>
      <c r="M1198" s="738">
        <v>190.51</v>
      </c>
      <c r="N1198" s="115">
        <f t="shared" si="77"/>
        <v>-1.2185004666597665E-2</v>
      </c>
      <c r="O1198" s="1121">
        <f t="shared" si="80"/>
        <v>-1.2196918555486554E-2</v>
      </c>
      <c r="P1198" s="1122"/>
    </row>
    <row r="1199" spans="6:16">
      <c r="F1199" s="1121">
        <f t="shared" si="79"/>
        <v>9.1507132378102415E-3</v>
      </c>
      <c r="G1199" s="1122"/>
      <c r="H1199" s="436">
        <v>42151</v>
      </c>
      <c r="I1199" s="738">
        <v>2123.48</v>
      </c>
      <c r="J1199" s="440">
        <f t="shared" si="78"/>
        <v>9.1626271266991299E-3</v>
      </c>
      <c r="L1199" s="436">
        <v>42151</v>
      </c>
      <c r="M1199" s="738">
        <v>191.35</v>
      </c>
      <c r="N1199" s="115">
        <f t="shared" si="77"/>
        <v>4.4092173639178611E-3</v>
      </c>
      <c r="O1199" s="1121">
        <f t="shared" si="80"/>
        <v>4.3973034750289719E-3</v>
      </c>
      <c r="P1199" s="1122"/>
    </row>
    <row r="1200" spans="6:16">
      <c r="F1200" s="1121">
        <f t="shared" si="79"/>
        <v>-1.2787023681776273E-3</v>
      </c>
      <c r="G1200" s="1122"/>
      <c r="H1200" s="436">
        <v>42152</v>
      </c>
      <c r="I1200" s="738">
        <v>2120.79</v>
      </c>
      <c r="J1200" s="440">
        <f t="shared" si="78"/>
        <v>-1.2667884792887385E-3</v>
      </c>
      <c r="L1200" s="436">
        <v>42152</v>
      </c>
      <c r="M1200" s="738">
        <v>190.12</v>
      </c>
      <c r="N1200" s="115">
        <f t="shared" si="77"/>
        <v>-6.4280114972562474E-3</v>
      </c>
      <c r="O1200" s="1121">
        <f t="shared" si="80"/>
        <v>-6.4399253861451367E-3</v>
      </c>
      <c r="P1200" s="1122"/>
    </row>
    <row r="1201" spans="6:16">
      <c r="F1201" s="1121">
        <f t="shared" si="79"/>
        <v>-6.33031410767538E-3</v>
      </c>
      <c r="G1201" s="1122"/>
      <c r="H1201" s="436">
        <v>42153</v>
      </c>
      <c r="I1201" s="738">
        <v>2107.39</v>
      </c>
      <c r="J1201" s="440">
        <f t="shared" si="78"/>
        <v>-6.3184002187864907E-3</v>
      </c>
      <c r="L1201" s="436">
        <v>42153</v>
      </c>
      <c r="M1201" s="738">
        <v>188.2</v>
      </c>
      <c r="N1201" s="115">
        <f t="shared" ref="N1201:N1264" si="81">M1201/M1200-1</f>
        <v>-1.0098884914790718E-2</v>
      </c>
      <c r="O1201" s="1121">
        <f t="shared" si="80"/>
        <v>-1.0110798803679606E-2</v>
      </c>
      <c r="P1201" s="1122"/>
    </row>
    <row r="1202" spans="6:16">
      <c r="F1202" s="1121">
        <f t="shared" si="79"/>
        <v>2.0475055825900294E-3</v>
      </c>
      <c r="G1202" s="1122"/>
      <c r="H1202" s="436">
        <v>42156</v>
      </c>
      <c r="I1202" s="738">
        <v>2111.73</v>
      </c>
      <c r="J1202" s="440">
        <f t="shared" si="78"/>
        <v>2.0594194714789182E-3</v>
      </c>
      <c r="L1202" s="436">
        <v>42156</v>
      </c>
      <c r="M1202" s="738">
        <v>191.07</v>
      </c>
      <c r="N1202" s="115">
        <f t="shared" si="81"/>
        <v>1.524973432518606E-2</v>
      </c>
      <c r="O1202" s="1121">
        <f t="shared" si="80"/>
        <v>1.5237820436297171E-2</v>
      </c>
      <c r="P1202" s="1122"/>
    </row>
    <row r="1203" spans="6:16">
      <c r="F1203" s="1121">
        <f t="shared" si="79"/>
        <v>-1.020565563108707E-3</v>
      </c>
      <c r="G1203" s="1122"/>
      <c r="H1203" s="436">
        <v>42157</v>
      </c>
      <c r="I1203" s="738">
        <v>2109.6</v>
      </c>
      <c r="J1203" s="440">
        <f t="shared" si="78"/>
        <v>-1.0086516742198182E-3</v>
      </c>
      <c r="L1203" s="436">
        <v>42157</v>
      </c>
      <c r="M1203" s="738">
        <v>190.77</v>
      </c>
      <c r="N1203" s="115">
        <f t="shared" si="81"/>
        <v>-1.5701051970481439E-3</v>
      </c>
      <c r="O1203" s="1121">
        <f t="shared" si="80"/>
        <v>-1.5820190859370327E-3</v>
      </c>
      <c r="P1203" s="1122"/>
    </row>
    <row r="1204" spans="6:16">
      <c r="F1204" s="1121">
        <f t="shared" si="79"/>
        <v>2.1069712078119955E-3</v>
      </c>
      <c r="G1204" s="1122"/>
      <c r="H1204" s="436">
        <v>42158</v>
      </c>
      <c r="I1204" s="738">
        <v>2114.0700000000002</v>
      </c>
      <c r="J1204" s="440">
        <f t="shared" si="78"/>
        <v>2.1188850967008843E-3</v>
      </c>
      <c r="L1204" s="436">
        <v>42158</v>
      </c>
      <c r="M1204" s="738">
        <v>191.89</v>
      </c>
      <c r="N1204" s="115">
        <f t="shared" si="81"/>
        <v>5.8709440687738645E-3</v>
      </c>
      <c r="O1204" s="1121">
        <f t="shared" si="80"/>
        <v>5.8590301798849753E-3</v>
      </c>
      <c r="P1204" s="1122"/>
    </row>
    <row r="1205" spans="6:16">
      <c r="F1205" s="1121">
        <f t="shared" si="79"/>
        <v>-8.6350909833086201E-3</v>
      </c>
      <c r="G1205" s="1122"/>
      <c r="H1205" s="436">
        <v>42159</v>
      </c>
      <c r="I1205" s="738">
        <v>2095.84</v>
      </c>
      <c r="J1205" s="440">
        <f t="shared" si="78"/>
        <v>-8.6231770944197317E-3</v>
      </c>
      <c r="L1205" s="436">
        <v>42159</v>
      </c>
      <c r="M1205" s="738">
        <v>190.17</v>
      </c>
      <c r="N1205" s="115">
        <f t="shared" si="81"/>
        <v>-8.9634686539162844E-3</v>
      </c>
      <c r="O1205" s="1121">
        <f t="shared" si="80"/>
        <v>-8.9753825428051728E-3</v>
      </c>
      <c r="P1205" s="1122"/>
    </row>
    <row r="1206" spans="6:16">
      <c r="F1206" s="1121">
        <f t="shared" si="79"/>
        <v>-1.4480922231129363E-3</v>
      </c>
      <c r="G1206" s="1122"/>
      <c r="H1206" s="436">
        <v>42160</v>
      </c>
      <c r="I1206" s="738">
        <v>2092.83</v>
      </c>
      <c r="J1206" s="440">
        <f t="shared" si="78"/>
        <v>-1.4361783342240475E-3</v>
      </c>
      <c r="L1206" s="436">
        <v>42160</v>
      </c>
      <c r="M1206" s="738">
        <v>189.33</v>
      </c>
      <c r="N1206" s="115">
        <f t="shared" si="81"/>
        <v>-4.4171004890359855E-3</v>
      </c>
      <c r="O1206" s="1121">
        <f t="shared" si="80"/>
        <v>-4.4290143779248748E-3</v>
      </c>
      <c r="P1206" s="1122"/>
    </row>
    <row r="1207" spans="6:16">
      <c r="F1207" s="1121">
        <f t="shared" si="79"/>
        <v>-6.486400588716309E-3</v>
      </c>
      <c r="G1207" s="1122"/>
      <c r="H1207" s="436">
        <v>42163</v>
      </c>
      <c r="I1207" s="738">
        <v>2079.2800000000002</v>
      </c>
      <c r="J1207" s="440">
        <f t="shared" si="78"/>
        <v>-6.4744866998274198E-3</v>
      </c>
      <c r="L1207" s="436">
        <v>42163</v>
      </c>
      <c r="M1207" s="738">
        <v>189.37</v>
      </c>
      <c r="N1207" s="115">
        <f t="shared" si="81"/>
        <v>2.112713251993803E-4</v>
      </c>
      <c r="O1207" s="1121">
        <f t="shared" si="80"/>
        <v>1.9935743631049142E-4</v>
      </c>
      <c r="P1207" s="1122"/>
    </row>
    <row r="1208" spans="6:16">
      <c r="F1208" s="1121">
        <f t="shared" si="79"/>
        <v>4.0650017751874635E-4</v>
      </c>
      <c r="G1208" s="1122"/>
      <c r="H1208" s="436">
        <v>42164</v>
      </c>
      <c r="I1208" s="738">
        <v>2080.15</v>
      </c>
      <c r="J1208" s="440">
        <f t="shared" si="78"/>
        <v>4.1841406640763523E-4</v>
      </c>
      <c r="L1208" s="436">
        <v>42164</v>
      </c>
      <c r="M1208" s="738">
        <v>189.35</v>
      </c>
      <c r="N1208" s="115">
        <f t="shared" si="81"/>
        <v>-1.0561334952741142E-4</v>
      </c>
      <c r="O1208" s="1121">
        <f t="shared" si="80"/>
        <v>-1.1752723841630031E-4</v>
      </c>
      <c r="P1208" s="1122"/>
    </row>
    <row r="1209" spans="6:16">
      <c r="F1209" s="1121">
        <f t="shared" si="79"/>
        <v>1.2030486899515684E-2</v>
      </c>
      <c r="G1209" s="1122"/>
      <c r="H1209" s="436">
        <v>42165</v>
      </c>
      <c r="I1209" s="738">
        <v>2105.1999999999998</v>
      </c>
      <c r="J1209" s="440">
        <f t="shared" si="78"/>
        <v>1.2042400788404573E-2</v>
      </c>
      <c r="L1209" s="436">
        <v>42165</v>
      </c>
      <c r="M1209" s="738">
        <v>189.28</v>
      </c>
      <c r="N1209" s="115">
        <f t="shared" si="81"/>
        <v>-3.696857670979492E-4</v>
      </c>
      <c r="O1209" s="1121">
        <f t="shared" si="80"/>
        <v>-3.8159965598683808E-4</v>
      </c>
      <c r="P1209" s="1122"/>
    </row>
    <row r="1210" spans="6:16">
      <c r="F1210" s="1121">
        <f t="shared" si="79"/>
        <v>1.7266382676760432E-3</v>
      </c>
      <c r="G1210" s="1122"/>
      <c r="H1210" s="436">
        <v>42166</v>
      </c>
      <c r="I1210" s="738">
        <v>2108.86</v>
      </c>
      <c r="J1210" s="440">
        <f t="shared" si="78"/>
        <v>1.738552156564932E-3</v>
      </c>
      <c r="L1210" s="436">
        <v>42166</v>
      </c>
      <c r="M1210" s="738">
        <v>191.48</v>
      </c>
      <c r="N1210" s="115">
        <f t="shared" si="81"/>
        <v>1.1622992392223086E-2</v>
      </c>
      <c r="O1210" s="1121">
        <f t="shared" si="80"/>
        <v>1.1611078503334198E-2</v>
      </c>
      <c r="P1210" s="1122"/>
    </row>
    <row r="1211" spans="6:16">
      <c r="F1211" s="1121">
        <f t="shared" si="79"/>
        <v>-7.0062141269321499E-3</v>
      </c>
      <c r="G1211" s="1122"/>
      <c r="H1211" s="436">
        <v>42167</v>
      </c>
      <c r="I1211" s="738">
        <v>2094.11</v>
      </c>
      <c r="J1211" s="440">
        <f t="shared" si="78"/>
        <v>-6.9943002380432606E-3</v>
      </c>
      <c r="L1211" s="436">
        <v>42167</v>
      </c>
      <c r="M1211" s="738">
        <v>190.98</v>
      </c>
      <c r="N1211" s="115">
        <f t="shared" si="81"/>
        <v>-2.611238771673241E-3</v>
      </c>
      <c r="O1211" s="1121">
        <f t="shared" si="80"/>
        <v>-2.6231526605621299E-3</v>
      </c>
      <c r="P1211" s="1122"/>
    </row>
    <row r="1212" spans="6:16">
      <c r="F1212" s="1121">
        <f t="shared" si="79"/>
        <v>-4.6344026788761672E-3</v>
      </c>
      <c r="G1212" s="1122"/>
      <c r="H1212" s="436">
        <v>42170</v>
      </c>
      <c r="I1212" s="738">
        <v>2084.4299999999998</v>
      </c>
      <c r="J1212" s="440">
        <f t="shared" si="78"/>
        <v>-4.622488789987278E-3</v>
      </c>
      <c r="L1212" s="436">
        <v>42170</v>
      </c>
      <c r="M1212" s="738">
        <v>189.92</v>
      </c>
      <c r="N1212" s="115">
        <f t="shared" si="81"/>
        <v>-5.5503194051733651E-3</v>
      </c>
      <c r="O1212" s="1121">
        <f t="shared" si="80"/>
        <v>-5.5622332940622543E-3</v>
      </c>
      <c r="P1212" s="1122"/>
    </row>
    <row r="1213" spans="6:16">
      <c r="F1213" s="1121">
        <f t="shared" si="79"/>
        <v>5.677890997818894E-3</v>
      </c>
      <c r="G1213" s="1122"/>
      <c r="H1213" s="436">
        <v>42171</v>
      </c>
      <c r="I1213" s="738">
        <v>2096.29</v>
      </c>
      <c r="J1213" s="440">
        <f t="shared" si="78"/>
        <v>5.6898048867077833E-3</v>
      </c>
      <c r="L1213" s="436">
        <v>42171</v>
      </c>
      <c r="M1213" s="738">
        <v>190.82</v>
      </c>
      <c r="N1213" s="115">
        <f t="shared" si="81"/>
        <v>4.7388374052232951E-3</v>
      </c>
      <c r="O1213" s="1121">
        <f t="shared" si="80"/>
        <v>4.7269235163344058E-3</v>
      </c>
      <c r="P1213" s="1122"/>
    </row>
    <row r="1214" spans="6:16">
      <c r="F1214" s="1121">
        <f t="shared" si="79"/>
        <v>1.9677740359688094E-3</v>
      </c>
      <c r="G1214" s="1122"/>
      <c r="H1214" s="436">
        <v>42172</v>
      </c>
      <c r="I1214" s="738">
        <v>2100.44</v>
      </c>
      <c r="J1214" s="440">
        <f t="shared" si="78"/>
        <v>1.9796879248576982E-3</v>
      </c>
      <c r="L1214" s="436">
        <v>42172</v>
      </c>
      <c r="M1214" s="738">
        <v>191.02</v>
      </c>
      <c r="N1214" s="115">
        <f t="shared" si="81"/>
        <v>1.04810816476264E-3</v>
      </c>
      <c r="O1214" s="1121">
        <f t="shared" si="80"/>
        <v>1.0361942758737512E-3</v>
      </c>
      <c r="P1214" s="1122"/>
    </row>
    <row r="1215" spans="6:16">
      <c r="F1215" s="1121">
        <f t="shared" si="79"/>
        <v>9.8907731671563567E-3</v>
      </c>
      <c r="G1215" s="1122"/>
      <c r="H1215" s="436">
        <v>42173</v>
      </c>
      <c r="I1215" s="738">
        <v>2121.2399999999998</v>
      </c>
      <c r="J1215" s="440">
        <f t="shared" si="78"/>
        <v>9.9026870560452451E-3</v>
      </c>
      <c r="L1215" s="436">
        <v>42173</v>
      </c>
      <c r="M1215" s="738">
        <v>192.75</v>
      </c>
      <c r="N1215" s="115">
        <f t="shared" si="81"/>
        <v>9.0566432834258137E-3</v>
      </c>
      <c r="O1215" s="1121">
        <f t="shared" si="80"/>
        <v>9.0447293945369253E-3</v>
      </c>
      <c r="P1215" s="1122"/>
    </row>
    <row r="1216" spans="6:16">
      <c r="F1216" s="1121">
        <f t="shared" si="79"/>
        <v>-5.315415614294835E-3</v>
      </c>
      <c r="G1216" s="1122"/>
      <c r="H1216" s="436">
        <v>42174</v>
      </c>
      <c r="I1216" s="738">
        <v>2109.9899999999998</v>
      </c>
      <c r="J1216" s="440">
        <f t="shared" si="78"/>
        <v>-5.3035017254059458E-3</v>
      </c>
      <c r="L1216" s="436">
        <v>42174</v>
      </c>
      <c r="M1216" s="738">
        <v>191.14</v>
      </c>
      <c r="N1216" s="115">
        <f t="shared" si="81"/>
        <v>-8.3527885862516582E-3</v>
      </c>
      <c r="O1216" s="1121">
        <f t="shared" si="80"/>
        <v>-8.3647024751405466E-3</v>
      </c>
      <c r="P1216" s="1122"/>
    </row>
    <row r="1217" spans="6:16">
      <c r="F1217" s="1121">
        <f t="shared" si="79"/>
        <v>6.0829017263509455E-3</v>
      </c>
      <c r="G1217" s="1122"/>
      <c r="H1217" s="436">
        <v>42177</v>
      </c>
      <c r="I1217" s="738">
        <v>2122.85</v>
      </c>
      <c r="J1217" s="440">
        <f t="shared" si="78"/>
        <v>6.0948156152398347E-3</v>
      </c>
      <c r="L1217" s="436">
        <v>42177</v>
      </c>
      <c r="M1217" s="738">
        <v>192.08</v>
      </c>
      <c r="N1217" s="115">
        <f t="shared" si="81"/>
        <v>4.9178612535316635E-3</v>
      </c>
      <c r="O1217" s="1121">
        <f t="shared" si="80"/>
        <v>4.9059473646427742E-3</v>
      </c>
      <c r="P1217" s="1122"/>
    </row>
    <row r="1218" spans="6:16">
      <c r="F1218" s="1121">
        <f t="shared" si="79"/>
        <v>6.2402364791302263E-4</v>
      </c>
      <c r="G1218" s="1122"/>
      <c r="H1218" s="436">
        <v>42178</v>
      </c>
      <c r="I1218" s="738">
        <v>2124.1999999999998</v>
      </c>
      <c r="J1218" s="440">
        <f t="shared" si="78"/>
        <v>6.3593753680191156E-4</v>
      </c>
      <c r="L1218" s="436">
        <v>42178</v>
      </c>
      <c r="M1218" s="738">
        <v>191.64</v>
      </c>
      <c r="N1218" s="115">
        <f t="shared" si="81"/>
        <v>-2.2907122032488347E-3</v>
      </c>
      <c r="O1218" s="1121">
        <f t="shared" si="80"/>
        <v>-2.3026260921377236E-3</v>
      </c>
      <c r="P1218" s="1122"/>
    </row>
    <row r="1219" spans="6:16">
      <c r="F1219" s="1121">
        <f t="shared" si="79"/>
        <v>-7.3652704466518138E-3</v>
      </c>
      <c r="G1219" s="1122"/>
      <c r="H1219" s="436">
        <v>42179</v>
      </c>
      <c r="I1219" s="738">
        <v>2108.58</v>
      </c>
      <c r="J1219" s="440">
        <f t="shared" si="78"/>
        <v>-7.3533565577629245E-3</v>
      </c>
      <c r="L1219" s="436">
        <v>42179</v>
      </c>
      <c r="M1219" s="738">
        <v>190.17</v>
      </c>
      <c r="N1219" s="115">
        <f t="shared" si="81"/>
        <v>-7.6706324358171152E-3</v>
      </c>
      <c r="O1219" s="1121">
        <f t="shared" si="80"/>
        <v>-7.6825463247060044E-3</v>
      </c>
      <c r="P1219" s="1122"/>
    </row>
    <row r="1220" spans="6:16">
      <c r="F1220" s="1121">
        <f t="shared" si="79"/>
        <v>-2.9854790369979807E-3</v>
      </c>
      <c r="G1220" s="1122"/>
      <c r="H1220" s="436">
        <v>42180</v>
      </c>
      <c r="I1220" s="738">
        <v>2102.31</v>
      </c>
      <c r="J1220" s="440">
        <f t="shared" si="78"/>
        <v>-2.9735651481090919E-3</v>
      </c>
      <c r="L1220" s="436">
        <v>42180</v>
      </c>
      <c r="M1220" s="738">
        <v>189.99</v>
      </c>
      <c r="N1220" s="115">
        <f t="shared" si="81"/>
        <v>-9.4652153336471923E-4</v>
      </c>
      <c r="O1220" s="1121">
        <f t="shared" si="80"/>
        <v>-9.5843542225360816E-4</v>
      </c>
      <c r="P1220" s="1122"/>
    </row>
    <row r="1221" spans="6:16">
      <c r="F1221" s="1121">
        <f t="shared" si="79"/>
        <v>-4.0196102751267247E-4</v>
      </c>
      <c r="G1221" s="1122"/>
      <c r="H1221" s="436">
        <v>42181</v>
      </c>
      <c r="I1221" s="738">
        <v>2101.4899999999998</v>
      </c>
      <c r="J1221" s="440">
        <f t="shared" si="78"/>
        <v>-3.900471386237836E-4</v>
      </c>
      <c r="L1221" s="436">
        <v>42181</v>
      </c>
      <c r="M1221" s="738">
        <v>188.64</v>
      </c>
      <c r="N1221" s="115">
        <f t="shared" si="81"/>
        <v>-7.1056371387968609E-3</v>
      </c>
      <c r="O1221" s="1121">
        <f t="shared" si="80"/>
        <v>-7.1175510276857501E-3</v>
      </c>
      <c r="P1221" s="1122"/>
    </row>
    <row r="1222" spans="6:16">
      <c r="F1222" s="1121">
        <f t="shared" si="79"/>
        <v>-2.0878061241481512E-2</v>
      </c>
      <c r="G1222" s="1122"/>
      <c r="H1222" s="436">
        <v>42184</v>
      </c>
      <c r="I1222" s="738">
        <v>2057.64</v>
      </c>
      <c r="J1222" s="440">
        <f t="shared" si="78"/>
        <v>-2.0866147352592623E-2</v>
      </c>
      <c r="L1222" s="436">
        <v>42184</v>
      </c>
      <c r="M1222" s="738">
        <v>185.52</v>
      </c>
      <c r="N1222" s="115">
        <f t="shared" si="81"/>
        <v>-1.6539440203562239E-2</v>
      </c>
      <c r="O1222" s="1121">
        <f t="shared" si="80"/>
        <v>-1.6551354092451127E-2</v>
      </c>
      <c r="P1222" s="1122"/>
    </row>
    <row r="1223" spans="6:16">
      <c r="F1223" s="1121">
        <f t="shared" si="79"/>
        <v>2.6464714457664555E-3</v>
      </c>
      <c r="G1223" s="1122"/>
      <c r="H1223" s="436">
        <v>42185</v>
      </c>
      <c r="I1223" s="738">
        <v>2063.11</v>
      </c>
      <c r="J1223" s="440">
        <f t="shared" si="78"/>
        <v>2.6583853346553443E-3</v>
      </c>
      <c r="L1223" s="436">
        <v>42185</v>
      </c>
      <c r="M1223" s="738">
        <v>185.9</v>
      </c>
      <c r="N1223" s="115">
        <f t="shared" si="81"/>
        <v>2.0482966796031565E-3</v>
      </c>
      <c r="O1223" s="1121">
        <f t="shared" si="80"/>
        <v>2.0363827907142677E-3</v>
      </c>
      <c r="P1223" s="1122"/>
    </row>
    <row r="1224" spans="6:16">
      <c r="F1224" s="1121">
        <f t="shared" si="79"/>
        <v>6.9242165161792412E-3</v>
      </c>
      <c r="G1224" s="1122"/>
      <c r="H1224" s="436">
        <v>42186</v>
      </c>
      <c r="I1224" s="738">
        <v>2077.42</v>
      </c>
      <c r="J1224" s="440">
        <f t="shared" si="78"/>
        <v>6.9361304050681305E-3</v>
      </c>
      <c r="L1224" s="436">
        <v>42186</v>
      </c>
      <c r="M1224" s="738">
        <v>188.17</v>
      </c>
      <c r="N1224" s="115">
        <f t="shared" si="81"/>
        <v>1.2210866057019709E-2</v>
      </c>
      <c r="O1224" s="1121">
        <f t="shared" si="80"/>
        <v>1.2198952168130821E-2</v>
      </c>
      <c r="P1224" s="1122"/>
    </row>
    <row r="1225" spans="6:16">
      <c r="F1225" s="1121">
        <f t="shared" si="79"/>
        <v>-3.1998832737501669E-4</v>
      </c>
      <c r="G1225" s="1122"/>
      <c r="H1225" s="436">
        <v>42187</v>
      </c>
      <c r="I1225" s="738">
        <v>2076.7800000000002</v>
      </c>
      <c r="J1225" s="440">
        <f t="shared" si="78"/>
        <v>-3.0807443848612781E-4</v>
      </c>
      <c r="L1225" s="436">
        <v>42187</v>
      </c>
      <c r="M1225" s="738">
        <v>187.3</v>
      </c>
      <c r="N1225" s="115">
        <f t="shared" si="81"/>
        <v>-4.6234787691978863E-3</v>
      </c>
      <c r="O1225" s="1121">
        <f t="shared" si="80"/>
        <v>-4.6353926580867755E-3</v>
      </c>
      <c r="P1225" s="1122"/>
    </row>
    <row r="1226" spans="6:16">
      <c r="F1226" s="1121">
        <f t="shared" si="79"/>
        <v>-1.1913888888888887E-5</v>
      </c>
      <c r="G1226" s="1122"/>
      <c r="H1226" s="436">
        <v>42188</v>
      </c>
      <c r="I1226" s="738">
        <v>2076.7800000000002</v>
      </c>
      <c r="J1226" s="440">
        <f t="shared" si="78"/>
        <v>0</v>
      </c>
      <c r="L1226" s="436">
        <v>42188</v>
      </c>
      <c r="M1226" s="738">
        <v>187.3</v>
      </c>
      <c r="N1226" s="115">
        <f t="shared" si="81"/>
        <v>0</v>
      </c>
      <c r="O1226" s="1121">
        <f t="shared" si="80"/>
        <v>-1.1913888888888887E-5</v>
      </c>
      <c r="P1226" s="1122"/>
    </row>
    <row r="1227" spans="6:16">
      <c r="F1227" s="1121">
        <f t="shared" si="79"/>
        <v>-3.873661401865743E-3</v>
      </c>
      <c r="G1227" s="1122"/>
      <c r="H1227" s="436">
        <v>42191</v>
      </c>
      <c r="I1227" s="738">
        <v>2068.7600000000002</v>
      </c>
      <c r="J1227" s="440">
        <f t="shared" si="78"/>
        <v>-3.8617475129768541E-3</v>
      </c>
      <c r="L1227" s="436">
        <v>42191</v>
      </c>
      <c r="M1227" s="738">
        <v>187.99</v>
      </c>
      <c r="N1227" s="115">
        <f t="shared" si="81"/>
        <v>3.6839295248265458E-3</v>
      </c>
      <c r="O1227" s="1121">
        <f t="shared" si="80"/>
        <v>3.672015635937657E-3</v>
      </c>
      <c r="P1227" s="1122"/>
    </row>
    <row r="1228" spans="6:16">
      <c r="F1228" s="1121">
        <f t="shared" si="79"/>
        <v>6.069023484223438E-3</v>
      </c>
      <c r="G1228" s="1122"/>
      <c r="H1228" s="436">
        <v>42192</v>
      </c>
      <c r="I1228" s="738">
        <v>2081.34</v>
      </c>
      <c r="J1228" s="440">
        <f t="shared" si="78"/>
        <v>6.0809373731123273E-3</v>
      </c>
      <c r="L1228" s="436">
        <v>42192</v>
      </c>
      <c r="M1228" s="738">
        <v>190.16</v>
      </c>
      <c r="N1228" s="115">
        <f t="shared" si="81"/>
        <v>1.154316718974413E-2</v>
      </c>
      <c r="O1228" s="1121">
        <f t="shared" si="80"/>
        <v>1.1531253300855242E-2</v>
      </c>
      <c r="P1228" s="1122"/>
    </row>
    <row r="1229" spans="6:16">
      <c r="F1229" s="1121">
        <f t="shared" si="79"/>
        <v>-1.6664647224144076E-2</v>
      </c>
      <c r="G1229" s="1122"/>
      <c r="H1229" s="436">
        <v>42193</v>
      </c>
      <c r="I1229" s="738">
        <v>2046.68</v>
      </c>
      <c r="J1229" s="440">
        <f t="shared" si="78"/>
        <v>-1.6652733335255188E-2</v>
      </c>
      <c r="L1229" s="436">
        <v>42193</v>
      </c>
      <c r="M1229" s="738">
        <v>190.05</v>
      </c>
      <c r="N1229" s="115">
        <f t="shared" si="81"/>
        <v>-5.7846024400498575E-4</v>
      </c>
      <c r="O1229" s="1121">
        <f t="shared" si="80"/>
        <v>-5.9037413289387468E-4</v>
      </c>
      <c r="P1229" s="1122"/>
    </row>
    <row r="1230" spans="6:16">
      <c r="F1230" s="1121">
        <f t="shared" si="79"/>
        <v>2.250286357363566E-3</v>
      </c>
      <c r="G1230" s="1122"/>
      <c r="H1230" s="436">
        <v>42194</v>
      </c>
      <c r="I1230" s="738">
        <v>2051.31</v>
      </c>
      <c r="J1230" s="440">
        <f t="shared" si="78"/>
        <v>2.2622002462524549E-3</v>
      </c>
      <c r="L1230" s="436">
        <v>42194</v>
      </c>
      <c r="M1230" s="738">
        <v>192.13</v>
      </c>
      <c r="N1230" s="115">
        <f t="shared" si="81"/>
        <v>1.0944488292554455E-2</v>
      </c>
      <c r="O1230" s="1121">
        <f t="shared" si="80"/>
        <v>1.0932574403665567E-2</v>
      </c>
      <c r="P1230" s="1122"/>
    </row>
    <row r="1231" spans="6:16">
      <c r="F1231" s="1121">
        <f t="shared" si="79"/>
        <v>1.2326542999636085E-2</v>
      </c>
      <c r="G1231" s="1122"/>
      <c r="H1231" s="436">
        <v>42195</v>
      </c>
      <c r="I1231" s="738">
        <v>2076.62</v>
      </c>
      <c r="J1231" s="440">
        <f t="shared" si="78"/>
        <v>1.2338456888524973E-2</v>
      </c>
      <c r="L1231" s="436">
        <v>42195</v>
      </c>
      <c r="M1231" s="738">
        <v>194.19</v>
      </c>
      <c r="N1231" s="115">
        <f t="shared" si="81"/>
        <v>1.072190704210696E-2</v>
      </c>
      <c r="O1231" s="1121">
        <f t="shared" si="80"/>
        <v>1.0709993153218071E-2</v>
      </c>
      <c r="P1231" s="1122"/>
    </row>
    <row r="1232" spans="6:16">
      <c r="F1232" s="1121">
        <f t="shared" si="79"/>
        <v>1.105414538050075E-2</v>
      </c>
      <c r="G1232" s="1122"/>
      <c r="H1232" s="436">
        <v>42198</v>
      </c>
      <c r="I1232" s="738">
        <v>2099.6</v>
      </c>
      <c r="J1232" s="440">
        <f t="shared" si="78"/>
        <v>1.1066059269389639E-2</v>
      </c>
      <c r="L1232" s="436">
        <v>42198</v>
      </c>
      <c r="M1232" s="738">
        <v>197.88</v>
      </c>
      <c r="N1232" s="115">
        <f t="shared" si="81"/>
        <v>1.9002008342345222E-2</v>
      </c>
      <c r="O1232" s="1121">
        <f t="shared" si="80"/>
        <v>1.8990094453456334E-2</v>
      </c>
      <c r="P1232" s="1122"/>
    </row>
    <row r="1233" spans="6:16">
      <c r="F1233" s="1121">
        <f t="shared" si="79"/>
        <v>4.4413152976226977E-3</v>
      </c>
      <c r="G1233" s="1122"/>
      <c r="H1233" s="436">
        <v>42199</v>
      </c>
      <c r="I1233" s="738">
        <v>2108.9499999999998</v>
      </c>
      <c r="J1233" s="440">
        <f t="shared" si="78"/>
        <v>4.4532291865115869E-3</v>
      </c>
      <c r="L1233" s="436">
        <v>42199</v>
      </c>
      <c r="M1233" s="738">
        <v>199.05</v>
      </c>
      <c r="N1233" s="115">
        <f t="shared" si="81"/>
        <v>5.9126743480897304E-3</v>
      </c>
      <c r="O1233" s="1121">
        <f t="shared" si="80"/>
        <v>5.9007604592008411E-3</v>
      </c>
      <c r="P1233" s="1122"/>
    </row>
    <row r="1234" spans="6:16">
      <c r="F1234" s="1121">
        <f t="shared" si="79"/>
        <v>-7.4687678511676429E-4</v>
      </c>
      <c r="G1234" s="1122"/>
      <c r="H1234" s="436">
        <v>42200</v>
      </c>
      <c r="I1234" s="738">
        <v>2107.4</v>
      </c>
      <c r="J1234" s="440">
        <f t="shared" si="78"/>
        <v>-7.3496289622787536E-4</v>
      </c>
      <c r="L1234" s="436">
        <v>42200</v>
      </c>
      <c r="M1234" s="738">
        <v>199.41</v>
      </c>
      <c r="N1234" s="115">
        <f t="shared" si="81"/>
        <v>1.8085908063298906E-3</v>
      </c>
      <c r="O1234" s="1121">
        <f t="shared" si="80"/>
        <v>1.7966769174410017E-3</v>
      </c>
      <c r="P1234" s="1122"/>
    </row>
    <row r="1235" spans="6:16">
      <c r="F1235" s="1121">
        <f t="shared" si="79"/>
        <v>8.0027012767179759E-3</v>
      </c>
      <c r="G1235" s="1122"/>
      <c r="H1235" s="436">
        <v>42201</v>
      </c>
      <c r="I1235" s="738">
        <v>2124.29</v>
      </c>
      <c r="J1235" s="440">
        <f t="shared" si="78"/>
        <v>8.0146151656068643E-3</v>
      </c>
      <c r="L1235" s="436">
        <v>42201</v>
      </c>
      <c r="M1235" s="738">
        <v>201.62</v>
      </c>
      <c r="N1235" s="115">
        <f t="shared" si="81"/>
        <v>1.1082693947144007E-2</v>
      </c>
      <c r="O1235" s="1121">
        <f t="shared" si="80"/>
        <v>1.1070780058255118E-2</v>
      </c>
      <c r="P1235" s="1122"/>
    </row>
    <row r="1236" spans="6:16">
      <c r="F1236" s="1121">
        <f t="shared" si="79"/>
        <v>1.0943380823579189E-3</v>
      </c>
      <c r="G1236" s="1122"/>
      <c r="H1236" s="436">
        <v>42202</v>
      </c>
      <c r="I1236" s="738">
        <v>2126.64</v>
      </c>
      <c r="J1236" s="440">
        <f t="shared" si="78"/>
        <v>1.1062519712468077E-3</v>
      </c>
      <c r="L1236" s="436">
        <v>42202</v>
      </c>
      <c r="M1236" s="738">
        <v>201.18</v>
      </c>
      <c r="N1236" s="115">
        <f t="shared" si="81"/>
        <v>-2.1823231822239997E-3</v>
      </c>
      <c r="O1236" s="1121">
        <f t="shared" si="80"/>
        <v>-2.1942370711128885E-3</v>
      </c>
      <c r="P1236" s="1122"/>
    </row>
    <row r="1237" spans="6:16">
      <c r="F1237" s="1121">
        <f t="shared" si="79"/>
        <v>7.5925565555700432E-4</v>
      </c>
      <c r="G1237" s="1122"/>
      <c r="H1237" s="436">
        <v>42205</v>
      </c>
      <c r="I1237" s="738">
        <v>2128.2800000000002</v>
      </c>
      <c r="J1237" s="440">
        <f t="shared" si="78"/>
        <v>7.7116954444589325E-4</v>
      </c>
      <c r="L1237" s="436">
        <v>42205</v>
      </c>
      <c r="M1237" s="738">
        <v>205.13</v>
      </c>
      <c r="N1237" s="115">
        <f t="shared" si="81"/>
        <v>1.9634158465056117E-2</v>
      </c>
      <c r="O1237" s="1121">
        <f t="shared" si="80"/>
        <v>1.9622244576167229E-2</v>
      </c>
      <c r="P1237" s="1122"/>
    </row>
    <row r="1238" spans="6:16">
      <c r="F1238" s="1121">
        <f t="shared" si="79"/>
        <v>-4.2735711896200257E-3</v>
      </c>
      <c r="G1238" s="1122"/>
      <c r="H1238" s="436">
        <v>42206</v>
      </c>
      <c r="I1238" s="738">
        <v>2119.21</v>
      </c>
      <c r="J1238" s="440">
        <f t="shared" si="78"/>
        <v>-4.2616573007311365E-3</v>
      </c>
      <c r="L1238" s="436">
        <v>42206</v>
      </c>
      <c r="M1238" s="738">
        <v>203.15</v>
      </c>
      <c r="N1238" s="115">
        <f t="shared" si="81"/>
        <v>-9.6524155413639789E-3</v>
      </c>
      <c r="O1238" s="1121">
        <f t="shared" si="80"/>
        <v>-9.6643294302528673E-3</v>
      </c>
      <c r="P1238" s="1122"/>
    </row>
    <row r="1239" spans="6:16">
      <c r="F1239" s="1121">
        <f t="shared" si="79"/>
        <v>-2.399596091218988E-3</v>
      </c>
      <c r="G1239" s="1122"/>
      <c r="H1239" s="436">
        <v>42207</v>
      </c>
      <c r="I1239" s="738">
        <v>2114.15</v>
      </c>
      <c r="J1239" s="440">
        <f t="shared" si="78"/>
        <v>-2.3876822023300992E-3</v>
      </c>
      <c r="L1239" s="436">
        <v>42207</v>
      </c>
      <c r="M1239" s="738">
        <v>202.79</v>
      </c>
      <c r="N1239" s="115">
        <f t="shared" si="81"/>
        <v>-1.7720895889736799E-3</v>
      </c>
      <c r="O1239" s="1121">
        <f t="shared" si="80"/>
        <v>-1.7840034778625687E-3</v>
      </c>
      <c r="P1239" s="1122"/>
    </row>
    <row r="1240" spans="6:16">
      <c r="F1240" s="1121">
        <f t="shared" si="79"/>
        <v>-5.6879539049710182E-3</v>
      </c>
      <c r="G1240" s="1122"/>
      <c r="H1240" s="436">
        <v>42208</v>
      </c>
      <c r="I1240" s="738">
        <v>2102.15</v>
      </c>
      <c r="J1240" s="440">
        <f t="shared" si="78"/>
        <v>-5.6760400160821289E-3</v>
      </c>
      <c r="L1240" s="436">
        <v>42208</v>
      </c>
      <c r="M1240" s="738">
        <v>202.83</v>
      </c>
      <c r="N1240" s="115">
        <f t="shared" si="81"/>
        <v>1.9724838502899189E-4</v>
      </c>
      <c r="O1240" s="1121">
        <f t="shared" si="80"/>
        <v>1.8533449614010301E-4</v>
      </c>
      <c r="P1240" s="1122"/>
    </row>
    <row r="1241" spans="6:16">
      <c r="F1241" s="1121">
        <f t="shared" si="79"/>
        <v>-1.0715241434496987E-2</v>
      </c>
      <c r="G1241" s="1122"/>
      <c r="H1241" s="436">
        <v>42209</v>
      </c>
      <c r="I1241" s="738">
        <v>2079.65</v>
      </c>
      <c r="J1241" s="440">
        <f t="shared" si="78"/>
        <v>-1.0703327545608099E-2</v>
      </c>
      <c r="L1241" s="436">
        <v>42209</v>
      </c>
      <c r="M1241" s="738">
        <v>201.04</v>
      </c>
      <c r="N1241" s="115">
        <f t="shared" si="81"/>
        <v>-8.8251244884880453E-3</v>
      </c>
      <c r="O1241" s="1121">
        <f t="shared" si="80"/>
        <v>-8.8370383773769337E-3</v>
      </c>
      <c r="P1241" s="1122"/>
    </row>
    <row r="1242" spans="6:16">
      <c r="F1242" s="1121">
        <f t="shared" si="79"/>
        <v>-5.7869241069544797E-3</v>
      </c>
      <c r="G1242" s="1122"/>
      <c r="H1242" s="436">
        <v>42212</v>
      </c>
      <c r="I1242" s="738">
        <v>2067.64</v>
      </c>
      <c r="J1242" s="440">
        <f t="shared" si="78"/>
        <v>-5.7750102180655905E-3</v>
      </c>
      <c r="L1242" s="436">
        <v>42212</v>
      </c>
      <c r="M1242" s="738">
        <v>201.17</v>
      </c>
      <c r="N1242" s="115">
        <f t="shared" si="81"/>
        <v>6.4663748507753915E-4</v>
      </c>
      <c r="O1242" s="1121">
        <f t="shared" si="80"/>
        <v>6.3472359618865022E-4</v>
      </c>
      <c r="P1242" s="1122"/>
    </row>
    <row r="1243" spans="6:16">
      <c r="F1243" s="1121">
        <f t="shared" si="79"/>
        <v>1.2374188140478075E-2</v>
      </c>
      <c r="G1243" s="1122"/>
      <c r="H1243" s="436">
        <v>42213</v>
      </c>
      <c r="I1243" s="738">
        <v>2093.25</v>
      </c>
      <c r="J1243" s="440">
        <f t="shared" si="78"/>
        <v>1.2386102029366963E-2</v>
      </c>
      <c r="L1243" s="436">
        <v>42213</v>
      </c>
      <c r="M1243" s="738">
        <v>203.63</v>
      </c>
      <c r="N1243" s="115">
        <f t="shared" si="81"/>
        <v>1.2228463488591856E-2</v>
      </c>
      <c r="O1243" s="1121">
        <f t="shared" si="80"/>
        <v>1.2216549599702968E-2</v>
      </c>
      <c r="P1243" s="1122"/>
    </row>
    <row r="1244" spans="6:16">
      <c r="F1244" s="1121">
        <f t="shared" si="79"/>
        <v>7.3068488007087462E-3</v>
      </c>
      <c r="G1244" s="1122"/>
      <c r="H1244" s="436">
        <v>42214</v>
      </c>
      <c r="I1244" s="738">
        <v>2108.5700000000002</v>
      </c>
      <c r="J1244" s="440">
        <f t="shared" si="78"/>
        <v>7.3187626895976354E-3</v>
      </c>
      <c r="L1244" s="436">
        <v>42214</v>
      </c>
      <c r="M1244" s="738">
        <v>208.15</v>
      </c>
      <c r="N1244" s="115">
        <f t="shared" si="81"/>
        <v>2.2197122231498279E-2</v>
      </c>
      <c r="O1244" s="1121">
        <f t="shared" si="80"/>
        <v>2.218520834260939E-2</v>
      </c>
      <c r="P1244" s="1122"/>
    </row>
    <row r="1245" spans="6:16">
      <c r="F1245" s="1121">
        <f t="shared" si="79"/>
        <v>1.6541414942553905E-5</v>
      </c>
      <c r="G1245" s="1122"/>
      <c r="H1245" s="436">
        <v>42215</v>
      </c>
      <c r="I1245" s="738">
        <v>2108.63</v>
      </c>
      <c r="J1245" s="440">
        <f t="shared" ref="J1245:J1308" si="82">I1245/I1244-1</f>
        <v>2.8455303831442791E-5</v>
      </c>
      <c r="L1245" s="436">
        <v>42215</v>
      </c>
      <c r="M1245" s="738">
        <v>206.47</v>
      </c>
      <c r="N1245" s="115">
        <f t="shared" si="81"/>
        <v>-8.0711025702618899E-3</v>
      </c>
      <c r="O1245" s="1121">
        <f t="shared" si="80"/>
        <v>-8.0830164591507783E-3</v>
      </c>
      <c r="P1245" s="1122"/>
    </row>
    <row r="1246" spans="6:16">
      <c r="F1246" s="1121">
        <f t="shared" ref="F1246:F1309" si="83">J1246-$I$19</f>
        <v>-2.2835310052156184E-3</v>
      </c>
      <c r="G1246" s="1122"/>
      <c r="H1246" s="436">
        <v>42216</v>
      </c>
      <c r="I1246" s="738">
        <v>2103.84</v>
      </c>
      <c r="J1246" s="440">
        <f t="shared" si="82"/>
        <v>-2.2716171163267296E-3</v>
      </c>
      <c r="L1246" s="436">
        <v>42216</v>
      </c>
      <c r="M1246" s="738">
        <v>207.1</v>
      </c>
      <c r="N1246" s="115">
        <f t="shared" si="81"/>
        <v>3.0512907444180115E-3</v>
      </c>
      <c r="O1246" s="1121">
        <f t="shared" ref="O1246:O1309" si="84">N1246-$I$19</f>
        <v>3.0393768555291227E-3</v>
      </c>
      <c r="P1246" s="1122"/>
    </row>
    <row r="1247" spans="6:16">
      <c r="F1247" s="1121">
        <f t="shared" si="83"/>
        <v>-2.768777528709528E-3</v>
      </c>
      <c r="G1247" s="1122"/>
      <c r="H1247" s="436">
        <v>42219</v>
      </c>
      <c r="I1247" s="738">
        <v>2098.04</v>
      </c>
      <c r="J1247" s="440">
        <f t="shared" si="82"/>
        <v>-2.7568636398206392E-3</v>
      </c>
      <c r="L1247" s="436">
        <v>42219</v>
      </c>
      <c r="M1247" s="738">
        <v>207.79</v>
      </c>
      <c r="N1247" s="115">
        <f t="shared" si="81"/>
        <v>3.3317238049250797E-3</v>
      </c>
      <c r="O1247" s="1121">
        <f t="shared" si="84"/>
        <v>3.3198099160361909E-3</v>
      </c>
      <c r="P1247" s="1122"/>
    </row>
    <row r="1248" spans="6:16">
      <c r="F1248" s="1121">
        <f t="shared" si="83"/>
        <v>-2.2616326740406774E-3</v>
      </c>
      <c r="G1248" s="1122"/>
      <c r="H1248" s="436">
        <v>42220</v>
      </c>
      <c r="I1248" s="738">
        <v>2093.3200000000002</v>
      </c>
      <c r="J1248" s="440">
        <f t="shared" si="82"/>
        <v>-2.2497187851517886E-3</v>
      </c>
      <c r="L1248" s="436">
        <v>42220</v>
      </c>
      <c r="M1248" s="738">
        <v>209.53</v>
      </c>
      <c r="N1248" s="115">
        <f t="shared" si="81"/>
        <v>8.3738389720391382E-3</v>
      </c>
      <c r="O1248" s="1121">
        <f t="shared" si="84"/>
        <v>8.3619250831502498E-3</v>
      </c>
      <c r="P1248" s="1122"/>
    </row>
    <row r="1249" spans="6:16">
      <c r="F1249" s="1121">
        <f t="shared" si="83"/>
        <v>3.1027556312991293E-3</v>
      </c>
      <c r="G1249" s="1122"/>
      <c r="H1249" s="436">
        <v>42221</v>
      </c>
      <c r="I1249" s="738">
        <v>2099.84</v>
      </c>
      <c r="J1249" s="440">
        <f t="shared" si="82"/>
        <v>3.1146695201880181E-3</v>
      </c>
      <c r="L1249" s="436">
        <v>42221</v>
      </c>
      <c r="M1249" s="738">
        <v>209.43</v>
      </c>
      <c r="N1249" s="115">
        <f t="shared" si="81"/>
        <v>-4.7725862644965034E-4</v>
      </c>
      <c r="O1249" s="1121">
        <f t="shared" si="84"/>
        <v>-4.8917251533853927E-4</v>
      </c>
      <c r="P1249" s="1122"/>
    </row>
    <row r="1250" spans="6:16">
      <c r="F1250" s="1121">
        <f t="shared" si="83"/>
        <v>-7.764885543872232E-3</v>
      </c>
      <c r="G1250" s="1122"/>
      <c r="H1250" s="436">
        <v>42222</v>
      </c>
      <c r="I1250" s="738">
        <v>2083.56</v>
      </c>
      <c r="J1250" s="440">
        <f t="shared" si="82"/>
        <v>-7.7529716549833427E-3</v>
      </c>
      <c r="L1250" s="436">
        <v>42222</v>
      </c>
      <c r="M1250" s="738">
        <v>209.26</v>
      </c>
      <c r="N1250" s="115">
        <f t="shared" si="81"/>
        <v>-8.1172706871035505E-4</v>
      </c>
      <c r="O1250" s="1121">
        <f t="shared" si="84"/>
        <v>-8.2364095759924398E-4</v>
      </c>
      <c r="P1250" s="1122"/>
    </row>
    <row r="1251" spans="6:16">
      <c r="F1251" s="1121">
        <f t="shared" si="83"/>
        <v>-2.8868011011601376E-3</v>
      </c>
      <c r="G1251" s="1122"/>
      <c r="H1251" s="436">
        <v>42223</v>
      </c>
      <c r="I1251" s="738">
        <v>2077.5700000000002</v>
      </c>
      <c r="J1251" s="440">
        <f t="shared" si="82"/>
        <v>-2.8748872122712488E-3</v>
      </c>
      <c r="L1251" s="436">
        <v>42223</v>
      </c>
      <c r="M1251" s="738">
        <v>209.09</v>
      </c>
      <c r="N1251" s="115">
        <f t="shared" si="81"/>
        <v>-8.123865048265122E-4</v>
      </c>
      <c r="O1251" s="1121">
        <f t="shared" si="84"/>
        <v>-8.2430039371540113E-4</v>
      </c>
      <c r="P1251" s="1122"/>
    </row>
    <row r="1252" spans="6:16">
      <c r="F1252" s="1121">
        <f t="shared" si="83"/>
        <v>1.2796318806038147E-2</v>
      </c>
      <c r="G1252" s="1122"/>
      <c r="H1252" s="436">
        <v>42226</v>
      </c>
      <c r="I1252" s="738">
        <v>2104.1799999999998</v>
      </c>
      <c r="J1252" s="440">
        <f t="shared" si="82"/>
        <v>1.2808232694927035E-2</v>
      </c>
      <c r="L1252" s="436">
        <v>42226</v>
      </c>
      <c r="M1252" s="738">
        <v>210.78</v>
      </c>
      <c r="N1252" s="115">
        <f t="shared" si="81"/>
        <v>8.0826438375818377E-3</v>
      </c>
      <c r="O1252" s="1121">
        <f t="shared" si="84"/>
        <v>8.0707299486929493E-3</v>
      </c>
      <c r="P1252" s="1122"/>
    </row>
    <row r="1253" spans="6:16">
      <c r="F1253" s="1121">
        <f t="shared" si="83"/>
        <v>-9.5690810513938754E-3</v>
      </c>
      <c r="G1253" s="1122"/>
      <c r="H1253" s="436">
        <v>42227</v>
      </c>
      <c r="I1253" s="738">
        <v>2084.0700000000002</v>
      </c>
      <c r="J1253" s="440">
        <f t="shared" si="82"/>
        <v>-9.557167162504987E-3</v>
      </c>
      <c r="L1253" s="436">
        <v>42227</v>
      </c>
      <c r="M1253" s="738">
        <v>208.86</v>
      </c>
      <c r="N1253" s="115">
        <f t="shared" si="81"/>
        <v>-9.1090236265299884E-3</v>
      </c>
      <c r="O1253" s="1121">
        <f t="shared" si="84"/>
        <v>-9.1209375154188768E-3</v>
      </c>
      <c r="P1253" s="1122"/>
    </row>
    <row r="1254" spans="6:16">
      <c r="F1254" s="1121">
        <f t="shared" si="83"/>
        <v>9.3815016846054229E-4</v>
      </c>
      <c r="G1254" s="1122"/>
      <c r="H1254" s="436">
        <v>42228</v>
      </c>
      <c r="I1254" s="738">
        <v>2086.0500000000002</v>
      </c>
      <c r="J1254" s="440">
        <f t="shared" si="82"/>
        <v>9.5006405734943122E-4</v>
      </c>
      <c r="L1254" s="436">
        <v>42228</v>
      </c>
      <c r="M1254" s="738">
        <v>208.78</v>
      </c>
      <c r="N1254" s="115">
        <f t="shared" si="81"/>
        <v>-3.830316958729485E-4</v>
      </c>
      <c r="O1254" s="1121">
        <f t="shared" si="84"/>
        <v>-3.9494558476183738E-4</v>
      </c>
      <c r="P1254" s="1122"/>
    </row>
    <row r="1255" spans="6:16">
      <c r="F1255" s="1121">
        <f t="shared" si="83"/>
        <v>-1.28705110995276E-3</v>
      </c>
      <c r="G1255" s="1122"/>
      <c r="H1255" s="436">
        <v>42229</v>
      </c>
      <c r="I1255" s="738">
        <v>2083.39</v>
      </c>
      <c r="J1255" s="440">
        <f t="shared" si="82"/>
        <v>-1.2751372210638712E-3</v>
      </c>
      <c r="L1255" s="436">
        <v>42229</v>
      </c>
      <c r="M1255" s="738">
        <v>209.79</v>
      </c>
      <c r="N1255" s="115">
        <f t="shared" si="81"/>
        <v>4.8376281252993092E-3</v>
      </c>
      <c r="O1255" s="1121">
        <f t="shared" si="84"/>
        <v>4.8257142364104199E-3</v>
      </c>
      <c r="P1255" s="1122"/>
    </row>
    <row r="1256" spans="6:16">
      <c r="F1256" s="1121">
        <f t="shared" si="83"/>
        <v>3.8999797076052427E-3</v>
      </c>
      <c r="G1256" s="1122"/>
      <c r="H1256" s="436">
        <v>42230</v>
      </c>
      <c r="I1256" s="738">
        <v>2091.54</v>
      </c>
      <c r="J1256" s="440">
        <f t="shared" si="82"/>
        <v>3.9118935964941315E-3</v>
      </c>
      <c r="L1256" s="436">
        <v>42230</v>
      </c>
      <c r="M1256" s="738">
        <v>211.96</v>
      </c>
      <c r="N1256" s="115">
        <f t="shared" si="81"/>
        <v>1.0343677010343777E-2</v>
      </c>
      <c r="O1256" s="1121">
        <f t="shared" si="84"/>
        <v>1.0331763121454889E-2</v>
      </c>
      <c r="P1256" s="1122"/>
    </row>
    <row r="1257" spans="6:16">
      <c r="F1257" s="1121">
        <f t="shared" si="83"/>
        <v>5.1995570846522432E-3</v>
      </c>
      <c r="G1257" s="1122"/>
      <c r="H1257" s="436">
        <v>42233</v>
      </c>
      <c r="I1257" s="738">
        <v>2102.44</v>
      </c>
      <c r="J1257" s="440">
        <f t="shared" si="82"/>
        <v>5.2114709735411324E-3</v>
      </c>
      <c r="L1257" s="436">
        <v>42233</v>
      </c>
      <c r="M1257" s="738">
        <v>213.02</v>
      </c>
      <c r="N1257" s="115">
        <f t="shared" si="81"/>
        <v>5.0009435742592867E-3</v>
      </c>
      <c r="O1257" s="1121">
        <f t="shared" si="84"/>
        <v>4.9890296853703974E-3</v>
      </c>
      <c r="P1257" s="1122"/>
    </row>
    <row r="1258" spans="6:16">
      <c r="F1258" s="1121">
        <f t="shared" si="83"/>
        <v>-2.6374347123130433E-3</v>
      </c>
      <c r="G1258" s="1122"/>
      <c r="H1258" s="436">
        <v>42234</v>
      </c>
      <c r="I1258" s="738">
        <v>2096.92</v>
      </c>
      <c r="J1258" s="440">
        <f t="shared" si="82"/>
        <v>-2.6255208234241545E-3</v>
      </c>
      <c r="L1258" s="436">
        <v>42234</v>
      </c>
      <c r="M1258" s="738">
        <v>212.67</v>
      </c>
      <c r="N1258" s="115">
        <f t="shared" si="81"/>
        <v>-1.6430382123745479E-3</v>
      </c>
      <c r="O1258" s="1121">
        <f t="shared" si="84"/>
        <v>-1.6549521012634368E-3</v>
      </c>
      <c r="P1258" s="1122"/>
    </row>
    <row r="1259" spans="6:16">
      <c r="F1259" s="1121">
        <f t="shared" si="83"/>
        <v>-8.2668783129011894E-3</v>
      </c>
      <c r="G1259" s="1122"/>
      <c r="H1259" s="436">
        <v>42235</v>
      </c>
      <c r="I1259" s="738">
        <v>2079.61</v>
      </c>
      <c r="J1259" s="440">
        <f t="shared" si="82"/>
        <v>-8.254964424012301E-3</v>
      </c>
      <c r="L1259" s="436">
        <v>42235</v>
      </c>
      <c r="M1259" s="738">
        <v>211.28</v>
      </c>
      <c r="N1259" s="115">
        <f t="shared" si="81"/>
        <v>-6.5359477124182774E-3</v>
      </c>
      <c r="O1259" s="1121">
        <f t="shared" si="84"/>
        <v>-6.5478616013071667E-3</v>
      </c>
      <c r="P1259" s="1122"/>
    </row>
    <row r="1260" spans="6:16">
      <c r="F1260" s="1121">
        <f t="shared" si="83"/>
        <v>-2.1112024005689685E-2</v>
      </c>
      <c r="G1260" s="1122"/>
      <c r="H1260" s="436">
        <v>42236</v>
      </c>
      <c r="I1260" s="738">
        <v>2035.73</v>
      </c>
      <c r="J1260" s="440">
        <f t="shared" si="82"/>
        <v>-2.1100110116800797E-2</v>
      </c>
      <c r="L1260" s="436">
        <v>42236</v>
      </c>
      <c r="M1260" s="738">
        <v>209.13</v>
      </c>
      <c r="N1260" s="115">
        <f t="shared" si="81"/>
        <v>-1.017606967057938E-2</v>
      </c>
      <c r="O1260" s="1121">
        <f t="shared" si="84"/>
        <v>-1.0187983559468268E-2</v>
      </c>
      <c r="P1260" s="1122"/>
    </row>
    <row r="1261" spans="6:16">
      <c r="F1261" s="1121">
        <f t="shared" si="83"/>
        <v>-3.1862896091833244E-2</v>
      </c>
      <c r="G1261" s="1122"/>
      <c r="H1261" s="436">
        <v>42237</v>
      </c>
      <c r="I1261" s="738">
        <v>1970.89</v>
      </c>
      <c r="J1261" s="440">
        <f t="shared" si="82"/>
        <v>-3.1850982202944356E-2</v>
      </c>
      <c r="L1261" s="436">
        <v>42237</v>
      </c>
      <c r="M1261" s="738">
        <v>204.68</v>
      </c>
      <c r="N1261" s="115">
        <f t="shared" si="81"/>
        <v>-2.1278630516903263E-2</v>
      </c>
      <c r="O1261" s="1121">
        <f t="shared" si="84"/>
        <v>-2.1290544405792151E-2</v>
      </c>
      <c r="P1261" s="1122"/>
    </row>
    <row r="1262" spans="6:16">
      <c r="F1262" s="1121">
        <f t="shared" si="83"/>
        <v>-3.9425579796169348E-2</v>
      </c>
      <c r="G1262" s="1122"/>
      <c r="H1262" s="436">
        <v>42240</v>
      </c>
      <c r="I1262" s="738">
        <v>1893.21</v>
      </c>
      <c r="J1262" s="440">
        <f t="shared" si="82"/>
        <v>-3.941366590728046E-2</v>
      </c>
      <c r="L1262" s="436">
        <v>42240</v>
      </c>
      <c r="M1262" s="738">
        <v>197.46</v>
      </c>
      <c r="N1262" s="115">
        <f t="shared" si="81"/>
        <v>-3.527457494625752E-2</v>
      </c>
      <c r="O1262" s="1121">
        <f t="shared" si="84"/>
        <v>-3.5286488835146408E-2</v>
      </c>
      <c r="P1262" s="1122"/>
    </row>
    <row r="1263" spans="6:16">
      <c r="F1263" s="1121">
        <f t="shared" si="83"/>
        <v>-1.353392148445421E-2</v>
      </c>
      <c r="G1263" s="1122"/>
      <c r="H1263" s="436">
        <v>42241</v>
      </c>
      <c r="I1263" s="738">
        <v>1867.61</v>
      </c>
      <c r="J1263" s="440">
        <f t="shared" si="82"/>
        <v>-1.3522007595565322E-2</v>
      </c>
      <c r="L1263" s="436">
        <v>42241</v>
      </c>
      <c r="M1263" s="738">
        <v>198.98</v>
      </c>
      <c r="N1263" s="115">
        <f t="shared" si="81"/>
        <v>7.6977615719637793E-3</v>
      </c>
      <c r="O1263" s="1121">
        <f t="shared" si="84"/>
        <v>7.68584768307489E-3</v>
      </c>
      <c r="P1263" s="1122"/>
    </row>
    <row r="1264" spans="6:16">
      <c r="F1264" s="1121">
        <f t="shared" si="83"/>
        <v>3.9021931507098644E-2</v>
      </c>
      <c r="G1264" s="1122"/>
      <c r="H1264" s="436">
        <v>42242</v>
      </c>
      <c r="I1264" s="738">
        <v>1940.51</v>
      </c>
      <c r="J1264" s="440">
        <f t="shared" si="82"/>
        <v>3.9033845395987532E-2</v>
      </c>
      <c r="L1264" s="436">
        <v>42242</v>
      </c>
      <c r="M1264" s="738">
        <v>202.12</v>
      </c>
      <c r="N1264" s="115">
        <f t="shared" si="81"/>
        <v>1.5780480450296563E-2</v>
      </c>
      <c r="O1264" s="1121">
        <f t="shared" si="84"/>
        <v>1.5768566561407675E-2</v>
      </c>
      <c r="P1264" s="1122"/>
    </row>
    <row r="1265" spans="6:16">
      <c r="F1265" s="1121">
        <f t="shared" si="83"/>
        <v>2.4285822273254147E-2</v>
      </c>
      <c r="G1265" s="1122"/>
      <c r="H1265" s="436">
        <v>42243</v>
      </c>
      <c r="I1265" s="738">
        <v>1987.66</v>
      </c>
      <c r="J1265" s="440">
        <f t="shared" si="82"/>
        <v>2.4297736162143035E-2</v>
      </c>
      <c r="L1265" s="436">
        <v>42243</v>
      </c>
      <c r="M1265" s="738">
        <v>205.43</v>
      </c>
      <c r="N1265" s="115">
        <f t="shared" ref="N1265:N1328" si="85">M1265/M1264-1</f>
        <v>1.6376410053433599E-2</v>
      </c>
      <c r="O1265" s="1121">
        <f t="shared" si="84"/>
        <v>1.636449616454471E-2</v>
      </c>
      <c r="P1265" s="1122"/>
    </row>
    <row r="1266" spans="6:16">
      <c r="F1266" s="1121">
        <f t="shared" si="83"/>
        <v>5.9684213578325236E-4</v>
      </c>
      <c r="G1266" s="1122"/>
      <c r="H1266" s="436">
        <v>42244</v>
      </c>
      <c r="I1266" s="738">
        <v>1988.87</v>
      </c>
      <c r="J1266" s="440">
        <f t="shared" si="82"/>
        <v>6.0875602467214129E-4</v>
      </c>
      <c r="L1266" s="436">
        <v>42244</v>
      </c>
      <c r="M1266" s="738">
        <v>203.9</v>
      </c>
      <c r="N1266" s="115">
        <f t="shared" si="85"/>
        <v>-7.4477924353794078E-3</v>
      </c>
      <c r="O1266" s="1121">
        <f t="shared" si="84"/>
        <v>-7.4597063242682971E-3</v>
      </c>
      <c r="P1266" s="1122"/>
    </row>
    <row r="1267" spans="6:16">
      <c r="F1267" s="1121">
        <f t="shared" si="83"/>
        <v>-8.403613698328323E-3</v>
      </c>
      <c r="G1267" s="1122"/>
      <c r="H1267" s="436">
        <v>42247</v>
      </c>
      <c r="I1267" s="738">
        <v>1972.18</v>
      </c>
      <c r="J1267" s="440">
        <f t="shared" si="82"/>
        <v>-8.3916998094394346E-3</v>
      </c>
      <c r="L1267" s="436">
        <v>42247</v>
      </c>
      <c r="M1267" s="738">
        <v>201.18</v>
      </c>
      <c r="N1267" s="115">
        <f t="shared" si="85"/>
        <v>-1.3339872486513027E-2</v>
      </c>
      <c r="O1267" s="1121">
        <f t="shared" si="84"/>
        <v>-1.3351786375401915E-2</v>
      </c>
      <c r="P1267" s="1122"/>
    </row>
    <row r="1268" spans="6:16">
      <c r="F1268" s="1121">
        <f t="shared" si="83"/>
        <v>-2.9588321721845341E-2</v>
      </c>
      <c r="G1268" s="1122"/>
      <c r="H1268" s="436">
        <v>42248</v>
      </c>
      <c r="I1268" s="738">
        <v>1913.85</v>
      </c>
      <c r="J1268" s="440">
        <f t="shared" si="82"/>
        <v>-2.9576407832956453E-2</v>
      </c>
      <c r="L1268" s="436">
        <v>42248</v>
      </c>
      <c r="M1268" s="738">
        <v>197.62</v>
      </c>
      <c r="N1268" s="115">
        <f t="shared" si="85"/>
        <v>-1.7695595983696188E-2</v>
      </c>
      <c r="O1268" s="1121">
        <f t="shared" si="84"/>
        <v>-1.7707509872585077E-2</v>
      </c>
      <c r="P1268" s="1122"/>
    </row>
    <row r="1269" spans="6:16">
      <c r="F1269" s="1121">
        <f t="shared" si="83"/>
        <v>1.8281055779580384E-2</v>
      </c>
      <c r="G1269" s="1122"/>
      <c r="H1269" s="436">
        <v>42249</v>
      </c>
      <c r="I1269" s="738">
        <v>1948.86</v>
      </c>
      <c r="J1269" s="440">
        <f t="shared" si="82"/>
        <v>1.8292969668469272E-2</v>
      </c>
      <c r="L1269" s="436">
        <v>42249</v>
      </c>
      <c r="M1269" s="738">
        <v>204.04</v>
      </c>
      <c r="N1269" s="115">
        <f t="shared" si="85"/>
        <v>3.2486590426070272E-2</v>
      </c>
      <c r="O1269" s="1121">
        <f t="shared" si="84"/>
        <v>3.2474676537181384E-2</v>
      </c>
      <c r="P1269" s="1122"/>
    </row>
    <row r="1270" spans="6:16">
      <c r="F1270" s="1121">
        <f t="shared" si="83"/>
        <v>1.1528696255761399E-3</v>
      </c>
      <c r="G1270" s="1122"/>
      <c r="H1270" s="436">
        <v>42250</v>
      </c>
      <c r="I1270" s="738">
        <v>1951.13</v>
      </c>
      <c r="J1270" s="440">
        <f t="shared" si="82"/>
        <v>1.1647835144650287E-3</v>
      </c>
      <c r="L1270" s="436">
        <v>42250</v>
      </c>
      <c r="M1270" s="738">
        <v>205.2</v>
      </c>
      <c r="N1270" s="115">
        <f t="shared" si="85"/>
        <v>5.6851597725935399E-3</v>
      </c>
      <c r="O1270" s="1121">
        <f t="shared" si="84"/>
        <v>5.6732458837046506E-3</v>
      </c>
      <c r="P1270" s="1122"/>
    </row>
    <row r="1271" spans="6:16">
      <c r="F1271" s="1121">
        <f t="shared" si="83"/>
        <v>-1.5341492133290842E-2</v>
      </c>
      <c r="G1271" s="1122"/>
      <c r="H1271" s="436">
        <v>42251</v>
      </c>
      <c r="I1271" s="738">
        <v>1921.22</v>
      </c>
      <c r="J1271" s="440">
        <f t="shared" si="82"/>
        <v>-1.5329578244401953E-2</v>
      </c>
      <c r="L1271" s="436">
        <v>42251</v>
      </c>
      <c r="M1271" s="738">
        <v>202.62</v>
      </c>
      <c r="N1271" s="115">
        <f t="shared" si="85"/>
        <v>-1.2573099415204569E-2</v>
      </c>
      <c r="O1271" s="1121">
        <f t="shared" si="84"/>
        <v>-1.2585013304093458E-2</v>
      </c>
      <c r="P1271" s="1122"/>
    </row>
    <row r="1272" spans="6:16">
      <c r="F1272" s="1121">
        <f t="shared" si="83"/>
        <v>-1.1913888888888887E-5</v>
      </c>
      <c r="G1272" s="1122"/>
      <c r="H1272" s="436">
        <v>42254</v>
      </c>
      <c r="I1272" s="738">
        <v>1921.22</v>
      </c>
      <c r="J1272" s="440">
        <f t="shared" si="82"/>
        <v>0</v>
      </c>
      <c r="L1272" s="436">
        <v>42254</v>
      </c>
      <c r="M1272" s="738">
        <v>202.62</v>
      </c>
      <c r="N1272" s="115">
        <f t="shared" si="85"/>
        <v>0</v>
      </c>
      <c r="O1272" s="1121">
        <f t="shared" si="84"/>
        <v>-1.1913888888888887E-5</v>
      </c>
      <c r="P1272" s="1122"/>
    </row>
    <row r="1273" spans="6:16">
      <c r="F1273" s="1121">
        <f t="shared" si="83"/>
        <v>2.5071106275381776E-2</v>
      </c>
      <c r="G1273" s="1122"/>
      <c r="H1273" s="436">
        <v>42255</v>
      </c>
      <c r="I1273" s="738">
        <v>1969.41</v>
      </c>
      <c r="J1273" s="440">
        <f t="shared" si="82"/>
        <v>2.5083020164270664E-2</v>
      </c>
      <c r="L1273" s="436">
        <v>42255</v>
      </c>
      <c r="M1273" s="738">
        <v>207.01</v>
      </c>
      <c r="N1273" s="115">
        <f t="shared" si="85"/>
        <v>2.1666173131971167E-2</v>
      </c>
      <c r="O1273" s="1121">
        <f t="shared" si="84"/>
        <v>2.1654259243082279E-2</v>
      </c>
      <c r="P1273" s="1122"/>
    </row>
    <row r="1274" spans="6:16">
      <c r="F1274" s="1121">
        <f t="shared" si="83"/>
        <v>-1.3909477118485676E-2</v>
      </c>
      <c r="G1274" s="1122"/>
      <c r="H1274" s="436">
        <v>42256</v>
      </c>
      <c r="I1274" s="738">
        <v>1942.04</v>
      </c>
      <c r="J1274" s="440">
        <f t="shared" si="82"/>
        <v>-1.3897563229596788E-2</v>
      </c>
      <c r="L1274" s="436">
        <v>42256</v>
      </c>
      <c r="M1274" s="738">
        <v>204.66</v>
      </c>
      <c r="N1274" s="115">
        <f t="shared" si="85"/>
        <v>-1.1352108593787658E-2</v>
      </c>
      <c r="O1274" s="1121">
        <f t="shared" si="84"/>
        <v>-1.1364022482676546E-2</v>
      </c>
      <c r="P1274" s="1122"/>
    </row>
    <row r="1275" spans="6:16">
      <c r="F1275" s="1121">
        <f t="shared" si="83"/>
        <v>5.2660412510671028E-3</v>
      </c>
      <c r="G1275" s="1122"/>
      <c r="H1275" s="436">
        <v>42257</v>
      </c>
      <c r="I1275" s="738">
        <v>1952.29</v>
      </c>
      <c r="J1275" s="440">
        <f t="shared" si="82"/>
        <v>5.2779551399559921E-3</v>
      </c>
      <c r="L1275" s="436">
        <v>42257</v>
      </c>
      <c r="M1275" s="738">
        <v>206.15</v>
      </c>
      <c r="N1275" s="115">
        <f t="shared" si="85"/>
        <v>7.2803674386787698E-3</v>
      </c>
      <c r="O1275" s="1121">
        <f t="shared" si="84"/>
        <v>7.2684535497898805E-3</v>
      </c>
      <c r="P1275" s="1122"/>
    </row>
    <row r="1276" spans="6:16">
      <c r="F1276" s="1121">
        <f t="shared" si="83"/>
        <v>4.4751244097246323E-3</v>
      </c>
      <c r="G1276" s="1122"/>
      <c r="H1276" s="436">
        <v>42258</v>
      </c>
      <c r="I1276" s="738">
        <v>1961.05</v>
      </c>
      <c r="J1276" s="440">
        <f t="shared" si="82"/>
        <v>4.4870382986135215E-3</v>
      </c>
      <c r="L1276" s="436">
        <v>42258</v>
      </c>
      <c r="M1276" s="738">
        <v>206.81</v>
      </c>
      <c r="N1276" s="115">
        <f t="shared" si="85"/>
        <v>3.2015522677661945E-3</v>
      </c>
      <c r="O1276" s="1121">
        <f t="shared" si="84"/>
        <v>3.1896383788773057E-3</v>
      </c>
      <c r="P1276" s="1122"/>
    </row>
    <row r="1277" spans="6:16">
      <c r="F1277" s="1121">
        <f t="shared" si="83"/>
        <v>-4.1015597418757677E-3</v>
      </c>
      <c r="G1277" s="1122"/>
      <c r="H1277" s="436">
        <v>42261</v>
      </c>
      <c r="I1277" s="738">
        <v>1953.03</v>
      </c>
      <c r="J1277" s="440">
        <f t="shared" si="82"/>
        <v>-4.0896458529868784E-3</v>
      </c>
      <c r="L1277" s="436">
        <v>42261</v>
      </c>
      <c r="M1277" s="738">
        <v>206</v>
      </c>
      <c r="N1277" s="115">
        <f t="shared" si="85"/>
        <v>-3.9166384604226723E-3</v>
      </c>
      <c r="O1277" s="1121">
        <f t="shared" si="84"/>
        <v>-3.9285523493115615E-3</v>
      </c>
      <c r="P1277" s="1122"/>
    </row>
    <row r="1278" spans="6:16">
      <c r="F1278" s="1121">
        <f t="shared" si="83"/>
        <v>1.2819430227688826E-2</v>
      </c>
      <c r="G1278" s="1122"/>
      <c r="H1278" s="436">
        <v>42262</v>
      </c>
      <c r="I1278" s="738">
        <v>1978.09</v>
      </c>
      <c r="J1278" s="440">
        <f t="shared" si="82"/>
        <v>1.2831344116577714E-2</v>
      </c>
      <c r="L1278" s="436">
        <v>42262</v>
      </c>
      <c r="M1278" s="738">
        <v>207.84</v>
      </c>
      <c r="N1278" s="115">
        <f t="shared" si="85"/>
        <v>8.9320388349514168E-3</v>
      </c>
      <c r="O1278" s="1121">
        <f t="shared" si="84"/>
        <v>8.9201249460625284E-3</v>
      </c>
      <c r="P1278" s="1122"/>
    </row>
    <row r="1279" spans="6:16">
      <c r="F1279" s="1121">
        <f t="shared" si="83"/>
        <v>8.6934534098689273E-3</v>
      </c>
      <c r="G1279" s="1122"/>
      <c r="H1279" s="436">
        <v>42263</v>
      </c>
      <c r="I1279" s="738">
        <v>1995.31</v>
      </c>
      <c r="J1279" s="440">
        <f t="shared" si="82"/>
        <v>8.7053672987578157E-3</v>
      </c>
      <c r="L1279" s="436">
        <v>42263</v>
      </c>
      <c r="M1279" s="738">
        <v>207.56</v>
      </c>
      <c r="N1279" s="115">
        <f t="shared" si="85"/>
        <v>-1.347190146266386E-3</v>
      </c>
      <c r="O1279" s="1121">
        <f t="shared" si="84"/>
        <v>-1.3591040351552748E-3</v>
      </c>
      <c r="P1279" s="1122"/>
    </row>
    <row r="1280" spans="6:16">
      <c r="F1280" s="1121">
        <f t="shared" si="83"/>
        <v>-2.5729194469224022E-3</v>
      </c>
      <c r="G1280" s="1122"/>
      <c r="H1280" s="436">
        <v>42264</v>
      </c>
      <c r="I1280" s="738">
        <v>1990.2</v>
      </c>
      <c r="J1280" s="440">
        <f t="shared" si="82"/>
        <v>-2.5610055580335134E-3</v>
      </c>
      <c r="L1280" s="436">
        <v>42264</v>
      </c>
      <c r="M1280" s="738">
        <v>207.6</v>
      </c>
      <c r="N1280" s="115">
        <f t="shared" si="85"/>
        <v>1.9271535941411955E-4</v>
      </c>
      <c r="O1280" s="1121">
        <f t="shared" si="84"/>
        <v>1.8080147052523067E-4</v>
      </c>
      <c r="P1280" s="1122"/>
    </row>
    <row r="1281" spans="6:16">
      <c r="F1281" s="1121">
        <f t="shared" si="83"/>
        <v>-1.6176118491441412E-2</v>
      </c>
      <c r="G1281" s="1122"/>
      <c r="H1281" s="436">
        <v>42265</v>
      </c>
      <c r="I1281" s="738">
        <v>1958.03</v>
      </c>
      <c r="J1281" s="440">
        <f t="shared" si="82"/>
        <v>-1.6164204602552523E-2</v>
      </c>
      <c r="L1281" s="436">
        <v>42265</v>
      </c>
      <c r="M1281" s="738">
        <v>203.31</v>
      </c>
      <c r="N1281" s="115">
        <f t="shared" si="85"/>
        <v>-2.0664739884392991E-2</v>
      </c>
      <c r="O1281" s="1121">
        <f t="shared" si="84"/>
        <v>-2.0676653773281879E-2</v>
      </c>
      <c r="P1281" s="1122"/>
    </row>
    <row r="1282" spans="6:16">
      <c r="F1282" s="1121">
        <f t="shared" si="83"/>
        <v>4.5538997094728339E-3</v>
      </c>
      <c r="G1282" s="1122"/>
      <c r="H1282" s="436">
        <v>42268</v>
      </c>
      <c r="I1282" s="738">
        <v>1966.97</v>
      </c>
      <c r="J1282" s="440">
        <f t="shared" si="82"/>
        <v>4.5658135983617232E-3</v>
      </c>
      <c r="L1282" s="436">
        <v>42268</v>
      </c>
      <c r="M1282" s="738">
        <v>204.35</v>
      </c>
      <c r="N1282" s="115">
        <f t="shared" si="85"/>
        <v>5.1153411047168973E-3</v>
      </c>
      <c r="O1282" s="1121">
        <f t="shared" si="84"/>
        <v>5.103427215828008E-3</v>
      </c>
      <c r="P1282" s="1122"/>
    </row>
    <row r="1283" spans="6:16">
      <c r="F1283" s="1121">
        <f t="shared" si="83"/>
        <v>-1.2330352909311178E-2</v>
      </c>
      <c r="G1283" s="1122"/>
      <c r="H1283" s="436">
        <v>42269</v>
      </c>
      <c r="I1283" s="738">
        <v>1942.74</v>
      </c>
      <c r="J1283" s="440">
        <f t="shared" si="82"/>
        <v>-1.2318439020422289E-2</v>
      </c>
      <c r="L1283" s="436">
        <v>42269</v>
      </c>
      <c r="M1283" s="738">
        <v>203.66</v>
      </c>
      <c r="N1283" s="115">
        <f t="shared" si="85"/>
        <v>-3.3765598238316707E-3</v>
      </c>
      <c r="O1283" s="1121">
        <f t="shared" si="84"/>
        <v>-3.3884737127205596E-3</v>
      </c>
      <c r="P1283" s="1122"/>
    </row>
    <row r="1284" spans="6:16">
      <c r="F1284" s="1121">
        <f t="shared" si="83"/>
        <v>-2.0605668223745506E-3</v>
      </c>
      <c r="G1284" s="1122"/>
      <c r="H1284" s="436">
        <v>42270</v>
      </c>
      <c r="I1284" s="738">
        <v>1938.76</v>
      </c>
      <c r="J1284" s="440">
        <f t="shared" si="82"/>
        <v>-2.0486529334856618E-3</v>
      </c>
      <c r="L1284" s="436">
        <v>42270</v>
      </c>
      <c r="M1284" s="738">
        <v>202.77</v>
      </c>
      <c r="N1284" s="115">
        <f t="shared" si="85"/>
        <v>-4.3700284788371624E-3</v>
      </c>
      <c r="O1284" s="1121">
        <f t="shared" si="84"/>
        <v>-4.3819423677260516E-3</v>
      </c>
      <c r="P1284" s="1122"/>
    </row>
    <row r="1285" spans="6:16">
      <c r="F1285" s="1121">
        <f t="shared" si="83"/>
        <v>-3.3748881611041022E-3</v>
      </c>
      <c r="G1285" s="1122"/>
      <c r="H1285" s="436">
        <v>42271</v>
      </c>
      <c r="I1285" s="738">
        <v>1932.24</v>
      </c>
      <c r="J1285" s="440">
        <f t="shared" si="82"/>
        <v>-3.3629742722152134E-3</v>
      </c>
      <c r="L1285" s="436">
        <v>42271</v>
      </c>
      <c r="M1285" s="738">
        <v>204.76</v>
      </c>
      <c r="N1285" s="115">
        <f t="shared" si="85"/>
        <v>9.8140750604132077E-3</v>
      </c>
      <c r="O1285" s="1121">
        <f t="shared" si="84"/>
        <v>9.8021611715243193E-3</v>
      </c>
      <c r="P1285" s="1122"/>
    </row>
    <row r="1286" spans="6:16">
      <c r="F1286" s="1121">
        <f t="shared" si="83"/>
        <v>-4.7769453725555376E-4</v>
      </c>
      <c r="G1286" s="1122"/>
      <c r="H1286" s="436">
        <v>42272</v>
      </c>
      <c r="I1286" s="738">
        <v>1931.34</v>
      </c>
      <c r="J1286" s="440">
        <f t="shared" si="82"/>
        <v>-4.6578064836666488E-4</v>
      </c>
      <c r="L1286" s="436">
        <v>42272</v>
      </c>
      <c r="M1286" s="738">
        <v>203.89</v>
      </c>
      <c r="N1286" s="115">
        <f t="shared" si="85"/>
        <v>-4.2488767337370836E-3</v>
      </c>
      <c r="O1286" s="1121">
        <f t="shared" si="84"/>
        <v>-4.2607906226259729E-3</v>
      </c>
      <c r="P1286" s="1122"/>
    </row>
    <row r="1287" spans="6:16">
      <c r="F1287" s="1121">
        <f t="shared" si="83"/>
        <v>-2.5678031713818668E-2</v>
      </c>
      <c r="G1287" s="1122"/>
      <c r="H1287" s="436">
        <v>42275</v>
      </c>
      <c r="I1287" s="738">
        <v>1881.77</v>
      </c>
      <c r="J1287" s="440">
        <f t="shared" si="82"/>
        <v>-2.5666117824929779E-2</v>
      </c>
      <c r="L1287" s="436">
        <v>42275</v>
      </c>
      <c r="M1287" s="738">
        <v>200.22</v>
      </c>
      <c r="N1287" s="115">
        <f t="shared" si="85"/>
        <v>-1.7999901907891469E-2</v>
      </c>
      <c r="O1287" s="1121">
        <f t="shared" si="84"/>
        <v>-1.8011815796780357E-2</v>
      </c>
      <c r="P1287" s="1122"/>
    </row>
    <row r="1288" spans="6:16">
      <c r="F1288" s="1121">
        <f t="shared" si="83"/>
        <v>1.220967919196007E-3</v>
      </c>
      <c r="G1288" s="1122"/>
      <c r="H1288" s="436">
        <v>42276</v>
      </c>
      <c r="I1288" s="738">
        <v>1884.09</v>
      </c>
      <c r="J1288" s="440">
        <f t="shared" si="82"/>
        <v>1.2328818080848958E-3</v>
      </c>
      <c r="L1288" s="436">
        <v>42276</v>
      </c>
      <c r="M1288" s="738">
        <v>202.47</v>
      </c>
      <c r="N1288" s="115">
        <f t="shared" si="85"/>
        <v>1.1237638597542787E-2</v>
      </c>
      <c r="O1288" s="1121">
        <f t="shared" si="84"/>
        <v>1.1225724708653899E-2</v>
      </c>
      <c r="P1288" s="1122"/>
    </row>
    <row r="1289" spans="6:16">
      <c r="F1289" s="1121">
        <f t="shared" si="83"/>
        <v>1.9063607981085411E-2</v>
      </c>
      <c r="G1289" s="1122"/>
      <c r="H1289" s="436">
        <v>42277</v>
      </c>
      <c r="I1289" s="738">
        <v>1920.03</v>
      </c>
      <c r="J1289" s="440">
        <f t="shared" si="82"/>
        <v>1.9075521869974299E-2</v>
      </c>
      <c r="L1289" s="436">
        <v>42277</v>
      </c>
      <c r="M1289" s="738">
        <v>207.31</v>
      </c>
      <c r="N1289" s="115">
        <f t="shared" si="85"/>
        <v>2.3904776016199891E-2</v>
      </c>
      <c r="O1289" s="1121">
        <f t="shared" si="84"/>
        <v>2.3892862127311003E-2</v>
      </c>
      <c r="P1289" s="1122"/>
    </row>
    <row r="1290" spans="6:16">
      <c r="F1290" s="1121">
        <f t="shared" si="83"/>
        <v>1.962013601827343E-3</v>
      </c>
      <c r="G1290" s="1122"/>
      <c r="H1290" s="436">
        <v>42278</v>
      </c>
      <c r="I1290" s="738">
        <v>1923.82</v>
      </c>
      <c r="J1290" s="440">
        <f t="shared" si="82"/>
        <v>1.9739274907162319E-3</v>
      </c>
      <c r="L1290" s="436">
        <v>42278</v>
      </c>
      <c r="M1290" s="738">
        <v>204.75</v>
      </c>
      <c r="N1290" s="115">
        <f t="shared" si="85"/>
        <v>-1.2348656601225194E-2</v>
      </c>
      <c r="O1290" s="1121">
        <f t="shared" si="84"/>
        <v>-1.2360570490114083E-2</v>
      </c>
      <c r="P1290" s="1122"/>
    </row>
    <row r="1291" spans="6:16">
      <c r="F1291" s="1121">
        <f t="shared" si="83"/>
        <v>1.4303354691331698E-2</v>
      </c>
      <c r="G1291" s="1122"/>
      <c r="H1291" s="436">
        <v>42279</v>
      </c>
      <c r="I1291" s="738">
        <v>1951.36</v>
      </c>
      <c r="J1291" s="440">
        <f t="shared" si="82"/>
        <v>1.4315268580220586E-2</v>
      </c>
      <c r="L1291" s="436">
        <v>42279</v>
      </c>
      <c r="M1291" s="738">
        <v>206.61</v>
      </c>
      <c r="N1291" s="115">
        <f t="shared" si="85"/>
        <v>9.0842490842490964E-3</v>
      </c>
      <c r="O1291" s="1121">
        <f t="shared" si="84"/>
        <v>9.072335195360208E-3</v>
      </c>
      <c r="P1291" s="1122"/>
    </row>
    <row r="1292" spans="6:16">
      <c r="F1292" s="1121">
        <f t="shared" si="83"/>
        <v>1.8277894244925423E-2</v>
      </c>
      <c r="G1292" s="1122"/>
      <c r="H1292" s="436">
        <v>42282</v>
      </c>
      <c r="I1292" s="738">
        <v>1987.05</v>
      </c>
      <c r="J1292" s="440">
        <f t="shared" si="82"/>
        <v>1.8289808133814311E-2</v>
      </c>
      <c r="L1292" s="436">
        <v>42282</v>
      </c>
      <c r="M1292" s="738">
        <v>211.73</v>
      </c>
      <c r="N1292" s="115">
        <f t="shared" si="85"/>
        <v>2.4780988335511234E-2</v>
      </c>
      <c r="O1292" s="1121">
        <f t="shared" si="84"/>
        <v>2.4769074446622345E-2</v>
      </c>
      <c r="P1292" s="1122"/>
    </row>
    <row r="1293" spans="6:16">
      <c r="F1293" s="1121">
        <f t="shared" si="83"/>
        <v>-3.6001477028341296E-3</v>
      </c>
      <c r="G1293" s="1122"/>
      <c r="H1293" s="436">
        <v>42283</v>
      </c>
      <c r="I1293" s="738">
        <v>1979.92</v>
      </c>
      <c r="J1293" s="440">
        <f t="shared" si="82"/>
        <v>-3.5882338139452408E-3</v>
      </c>
      <c r="L1293" s="436">
        <v>42283</v>
      </c>
      <c r="M1293" s="738">
        <v>210.4</v>
      </c>
      <c r="N1293" s="115">
        <f t="shared" si="85"/>
        <v>-6.2815850375477211E-3</v>
      </c>
      <c r="O1293" s="1121">
        <f t="shared" si="84"/>
        <v>-6.2934989264366104E-3</v>
      </c>
      <c r="P1293" s="1122"/>
    </row>
    <row r="1294" spans="6:16">
      <c r="F1294" s="1121">
        <f t="shared" si="83"/>
        <v>8.0237643203316875E-3</v>
      </c>
      <c r="G1294" s="1122"/>
      <c r="H1294" s="436">
        <v>42284</v>
      </c>
      <c r="I1294" s="738">
        <v>1995.83</v>
      </c>
      <c r="J1294" s="440">
        <f t="shared" si="82"/>
        <v>8.0356782092205759E-3</v>
      </c>
      <c r="L1294" s="436">
        <v>42284</v>
      </c>
      <c r="M1294" s="738">
        <v>212.95</v>
      </c>
      <c r="N1294" s="115">
        <f t="shared" si="85"/>
        <v>1.2119771863117856E-2</v>
      </c>
      <c r="O1294" s="1121">
        <f t="shared" si="84"/>
        <v>1.2107857974228968E-2</v>
      </c>
      <c r="P1294" s="1122"/>
    </row>
    <row r="1295" spans="6:16">
      <c r="F1295" s="1121">
        <f t="shared" si="83"/>
        <v>8.8064724466206876E-3</v>
      </c>
      <c r="G1295" s="1122"/>
      <c r="H1295" s="436">
        <v>42285</v>
      </c>
      <c r="I1295" s="738">
        <v>2013.43</v>
      </c>
      <c r="J1295" s="440">
        <f t="shared" si="82"/>
        <v>8.818386335509576E-3</v>
      </c>
      <c r="L1295" s="436">
        <v>42285</v>
      </c>
      <c r="M1295" s="738">
        <v>214.37</v>
      </c>
      <c r="N1295" s="115">
        <f t="shared" si="85"/>
        <v>6.6682319793378575E-3</v>
      </c>
      <c r="O1295" s="1121">
        <f t="shared" si="84"/>
        <v>6.6563180904489682E-3</v>
      </c>
      <c r="P1295" s="1122"/>
    </row>
    <row r="1296" spans="6:16">
      <c r="F1296" s="1121">
        <f t="shared" si="83"/>
        <v>7.1321685814484199E-4</v>
      </c>
      <c r="G1296" s="1122"/>
      <c r="H1296" s="436">
        <v>42286</v>
      </c>
      <c r="I1296" s="738">
        <v>2014.89</v>
      </c>
      <c r="J1296" s="440">
        <f t="shared" si="82"/>
        <v>7.2513074703373093E-4</v>
      </c>
      <c r="L1296" s="436">
        <v>42286</v>
      </c>
      <c r="M1296" s="738">
        <v>213.26</v>
      </c>
      <c r="N1296" s="115">
        <f t="shared" si="85"/>
        <v>-5.1779633344218867E-3</v>
      </c>
      <c r="O1296" s="1121">
        <f t="shared" si="84"/>
        <v>-5.189877223310776E-3</v>
      </c>
      <c r="P1296" s="1122"/>
    </row>
    <row r="1297" spans="6:16">
      <c r="F1297" s="1121">
        <f t="shared" si="83"/>
        <v>1.2635899847715996E-3</v>
      </c>
      <c r="G1297" s="1122"/>
      <c r="H1297" s="436">
        <v>42289</v>
      </c>
      <c r="I1297" s="738">
        <v>2017.46</v>
      </c>
      <c r="J1297" s="440">
        <f t="shared" si="82"/>
        <v>1.2755038736604885E-3</v>
      </c>
      <c r="L1297" s="436">
        <v>42289</v>
      </c>
      <c r="M1297" s="738">
        <v>214.33</v>
      </c>
      <c r="N1297" s="115">
        <f t="shared" si="85"/>
        <v>5.0173497139642809E-3</v>
      </c>
      <c r="O1297" s="1121">
        <f t="shared" si="84"/>
        <v>5.0054358250753916E-3</v>
      </c>
      <c r="P1297" s="1122"/>
    </row>
    <row r="1298" spans="6:16">
      <c r="F1298" s="1121">
        <f t="shared" si="83"/>
        <v>-6.8373280234938017E-3</v>
      </c>
      <c r="G1298" s="1122"/>
      <c r="H1298" s="436">
        <v>42290</v>
      </c>
      <c r="I1298" s="738">
        <v>2003.69</v>
      </c>
      <c r="J1298" s="440">
        <f t="shared" si="82"/>
        <v>-6.8254141346049124E-3</v>
      </c>
      <c r="L1298" s="436">
        <v>42290</v>
      </c>
      <c r="M1298" s="738">
        <v>211.98</v>
      </c>
      <c r="N1298" s="115">
        <f t="shared" si="85"/>
        <v>-1.0964400690524068E-2</v>
      </c>
      <c r="O1298" s="1121">
        <f t="shared" si="84"/>
        <v>-1.0976314579412956E-2</v>
      </c>
      <c r="P1298" s="1122"/>
    </row>
    <row r="1299" spans="6:16">
      <c r="F1299" s="1121">
        <f t="shared" si="83"/>
        <v>-4.728212318286692E-3</v>
      </c>
      <c r="G1299" s="1122"/>
      <c r="H1299" s="436">
        <v>42291</v>
      </c>
      <c r="I1299" s="738">
        <v>1994.24</v>
      </c>
      <c r="J1299" s="440">
        <f t="shared" si="82"/>
        <v>-4.7162984293978027E-3</v>
      </c>
      <c r="L1299" s="436">
        <v>42291</v>
      </c>
      <c r="M1299" s="738">
        <v>208.15</v>
      </c>
      <c r="N1299" s="115">
        <f t="shared" si="85"/>
        <v>-1.8067742239833873E-2</v>
      </c>
      <c r="O1299" s="1121">
        <f t="shared" si="84"/>
        <v>-1.8079656128722761E-2</v>
      </c>
      <c r="P1299" s="1122"/>
    </row>
    <row r="1300" spans="6:16">
      <c r="F1300" s="1121">
        <f t="shared" si="83"/>
        <v>1.4840862105976231E-2</v>
      </c>
      <c r="G1300" s="1122"/>
      <c r="H1300" s="436">
        <v>42292</v>
      </c>
      <c r="I1300" s="738">
        <v>2023.86</v>
      </c>
      <c r="J1300" s="440">
        <f t="shared" si="82"/>
        <v>1.4852775994865119E-2</v>
      </c>
      <c r="L1300" s="436">
        <v>42292</v>
      </c>
      <c r="M1300" s="738">
        <v>209.18</v>
      </c>
      <c r="N1300" s="115">
        <f t="shared" si="85"/>
        <v>4.9483545520057071E-3</v>
      </c>
      <c r="O1300" s="1121">
        <f t="shared" si="84"/>
        <v>4.9364406631168178E-3</v>
      </c>
      <c r="P1300" s="1122"/>
    </row>
    <row r="1301" spans="6:16">
      <c r="F1301" s="1121">
        <f t="shared" si="83"/>
        <v>4.5585603534005125E-3</v>
      </c>
      <c r="G1301" s="1122"/>
      <c r="H1301" s="436">
        <v>42293</v>
      </c>
      <c r="I1301" s="738">
        <v>2033.11</v>
      </c>
      <c r="J1301" s="440">
        <f t="shared" si="82"/>
        <v>4.5704742422894018E-3</v>
      </c>
      <c r="L1301" s="436">
        <v>42293</v>
      </c>
      <c r="M1301" s="738">
        <v>209.78</v>
      </c>
      <c r="N1301" s="115">
        <f t="shared" si="85"/>
        <v>2.8683430538292143E-3</v>
      </c>
      <c r="O1301" s="1121">
        <f t="shared" si="84"/>
        <v>2.8564291649403255E-3</v>
      </c>
      <c r="P1301" s="1122"/>
    </row>
    <row r="1302" spans="6:16">
      <c r="F1302" s="1121">
        <f t="shared" si="83"/>
        <v>2.5860762740880595E-4</v>
      </c>
      <c r="G1302" s="1122"/>
      <c r="H1302" s="436">
        <v>42296</v>
      </c>
      <c r="I1302" s="738">
        <v>2033.66</v>
      </c>
      <c r="J1302" s="440">
        <f t="shared" si="82"/>
        <v>2.7052151629769483E-4</v>
      </c>
      <c r="L1302" s="436">
        <v>42296</v>
      </c>
      <c r="M1302" s="738">
        <v>210.64</v>
      </c>
      <c r="N1302" s="115">
        <f t="shared" si="85"/>
        <v>4.0995328439317191E-3</v>
      </c>
      <c r="O1302" s="1121">
        <f t="shared" si="84"/>
        <v>4.0876189550428299E-3</v>
      </c>
      <c r="P1302" s="1122"/>
    </row>
    <row r="1303" spans="6:16">
      <c r="F1303" s="1121">
        <f t="shared" si="83"/>
        <v>-1.4329970591336967E-3</v>
      </c>
      <c r="G1303" s="1122"/>
      <c r="H1303" s="436">
        <v>42297</v>
      </c>
      <c r="I1303" s="738">
        <v>2030.77</v>
      </c>
      <c r="J1303" s="440">
        <f t="shared" si="82"/>
        <v>-1.4210831702448079E-3</v>
      </c>
      <c r="L1303" s="436">
        <v>42297</v>
      </c>
      <c r="M1303" s="738">
        <v>208.73</v>
      </c>
      <c r="N1303" s="115">
        <f t="shared" si="85"/>
        <v>-9.0676034941131745E-3</v>
      </c>
      <c r="O1303" s="1121">
        <f t="shared" si="84"/>
        <v>-9.0795173830020628E-3</v>
      </c>
      <c r="P1303" s="1122"/>
    </row>
    <row r="1304" spans="6:16">
      <c r="F1304" s="1121">
        <f t="shared" si="83"/>
        <v>-5.8372904701855599E-3</v>
      </c>
      <c r="G1304" s="1122"/>
      <c r="H1304" s="436">
        <v>42298</v>
      </c>
      <c r="I1304" s="738">
        <v>2018.94</v>
      </c>
      <c r="J1304" s="440">
        <f t="shared" si="82"/>
        <v>-5.8253765812966707E-3</v>
      </c>
      <c r="L1304" s="436">
        <v>42298</v>
      </c>
      <c r="M1304" s="738">
        <v>211.56</v>
      </c>
      <c r="N1304" s="115">
        <f t="shared" si="85"/>
        <v>1.3558185215350127E-2</v>
      </c>
      <c r="O1304" s="1121">
        <f t="shared" si="84"/>
        <v>1.3546271326461239E-2</v>
      </c>
      <c r="P1304" s="1122"/>
    </row>
    <row r="1305" spans="6:16">
      <c r="F1305" s="1121">
        <f t="shared" si="83"/>
        <v>1.6615623333613987E-2</v>
      </c>
      <c r="G1305" s="1122"/>
      <c r="H1305" s="436">
        <v>42299</v>
      </c>
      <c r="I1305" s="738">
        <v>2052.5100000000002</v>
      </c>
      <c r="J1305" s="440">
        <f t="shared" si="82"/>
        <v>1.6627537222502875E-2</v>
      </c>
      <c r="L1305" s="436">
        <v>42299</v>
      </c>
      <c r="M1305" s="738">
        <v>216.51</v>
      </c>
      <c r="N1305" s="115">
        <f t="shared" si="85"/>
        <v>2.3397617697107131E-2</v>
      </c>
      <c r="O1305" s="1121">
        <f t="shared" si="84"/>
        <v>2.3385703808218243E-2</v>
      </c>
      <c r="P1305" s="1122"/>
    </row>
    <row r="1306" spans="6:16">
      <c r="F1306" s="1121">
        <f t="shared" si="83"/>
        <v>1.1018483039749609E-2</v>
      </c>
      <c r="G1306" s="1122"/>
      <c r="H1306" s="436">
        <v>42300</v>
      </c>
      <c r="I1306" s="738">
        <v>2075.15</v>
      </c>
      <c r="J1306" s="440">
        <f t="shared" si="82"/>
        <v>1.1030396928638497E-2</v>
      </c>
      <c r="L1306" s="436">
        <v>42300</v>
      </c>
      <c r="M1306" s="738">
        <v>219.32</v>
      </c>
      <c r="N1306" s="115">
        <f t="shared" si="85"/>
        <v>1.297861530645239E-2</v>
      </c>
      <c r="O1306" s="1121">
        <f t="shared" si="84"/>
        <v>1.2966701417563502E-2</v>
      </c>
      <c r="P1306" s="1122"/>
    </row>
    <row r="1307" spans="6:16">
      <c r="F1307" s="1121">
        <f t="shared" si="83"/>
        <v>-1.9250286034879845E-3</v>
      </c>
      <c r="G1307" s="1122"/>
      <c r="H1307" s="436">
        <v>42303</v>
      </c>
      <c r="I1307" s="738">
        <v>2071.1799999999998</v>
      </c>
      <c r="J1307" s="440">
        <f t="shared" si="82"/>
        <v>-1.9131147145990957E-3</v>
      </c>
      <c r="L1307" s="436">
        <v>42303</v>
      </c>
      <c r="M1307" s="738">
        <v>220.94</v>
      </c>
      <c r="N1307" s="115">
        <f t="shared" si="85"/>
        <v>7.3864672624475158E-3</v>
      </c>
      <c r="O1307" s="1121">
        <f t="shared" si="84"/>
        <v>7.3745533735586266E-3</v>
      </c>
      <c r="P1307" s="1122"/>
    </row>
    <row r="1308" spans="6:16">
      <c r="F1308" s="1121">
        <f t="shared" si="83"/>
        <v>-2.5660134842886502E-3</v>
      </c>
      <c r="G1308" s="1122"/>
      <c r="H1308" s="436">
        <v>42304</v>
      </c>
      <c r="I1308" s="738">
        <v>2065.89</v>
      </c>
      <c r="J1308" s="440">
        <f t="shared" si="82"/>
        <v>-2.5540995953997614E-3</v>
      </c>
      <c r="L1308" s="436">
        <v>42304</v>
      </c>
      <c r="M1308" s="738">
        <v>223.04</v>
      </c>
      <c r="N1308" s="115">
        <f t="shared" si="85"/>
        <v>9.5048429437856186E-3</v>
      </c>
      <c r="O1308" s="1121">
        <f t="shared" si="84"/>
        <v>9.4929290548967302E-3</v>
      </c>
      <c r="P1308" s="1122"/>
    </row>
    <row r="1309" spans="6:16">
      <c r="F1309" s="1121">
        <f t="shared" si="83"/>
        <v>1.1828019505435099E-2</v>
      </c>
      <c r="G1309" s="1122"/>
      <c r="H1309" s="436">
        <v>42305</v>
      </c>
      <c r="I1309" s="738">
        <v>2090.35</v>
      </c>
      <c r="J1309" s="440">
        <f t="shared" ref="J1309:J1372" si="86">I1309/I1308-1</f>
        <v>1.1839933394323987E-2</v>
      </c>
      <c r="L1309" s="436">
        <v>42305</v>
      </c>
      <c r="M1309" s="738">
        <v>221.04</v>
      </c>
      <c r="N1309" s="115">
        <f t="shared" si="85"/>
        <v>-8.9670014347201787E-3</v>
      </c>
      <c r="O1309" s="1121">
        <f t="shared" si="84"/>
        <v>-8.9789153236090671E-3</v>
      </c>
      <c r="P1309" s="1122"/>
    </row>
    <row r="1310" spans="6:16">
      <c r="F1310" s="1121">
        <f t="shared" ref="F1310:F1373" si="87">J1310-$I$19</f>
        <v>-4.6159934826173942E-4</v>
      </c>
      <c r="G1310" s="1122"/>
      <c r="H1310" s="436">
        <v>42306</v>
      </c>
      <c r="I1310" s="738">
        <v>2089.41</v>
      </c>
      <c r="J1310" s="440">
        <f t="shared" si="86"/>
        <v>-4.4968545937285054E-4</v>
      </c>
      <c r="L1310" s="436">
        <v>42306</v>
      </c>
      <c r="M1310" s="738">
        <v>218.25</v>
      </c>
      <c r="N1310" s="115">
        <f t="shared" si="85"/>
        <v>-1.2622149837133501E-2</v>
      </c>
      <c r="O1310" s="1121">
        <f t="shared" ref="O1310:O1373" si="88">N1310-$I$19</f>
        <v>-1.2634063726022389E-2</v>
      </c>
      <c r="P1310" s="1122"/>
    </row>
    <row r="1311" spans="6:16">
      <c r="F1311" s="1121">
        <f t="shared" si="87"/>
        <v>-4.8218841675799007E-3</v>
      </c>
      <c r="G1311" s="1122"/>
      <c r="H1311" s="436">
        <v>42307</v>
      </c>
      <c r="I1311" s="738">
        <v>2079.36</v>
      </c>
      <c r="J1311" s="440">
        <f t="shared" si="86"/>
        <v>-4.8099702786910115E-3</v>
      </c>
      <c r="L1311" s="436">
        <v>42307</v>
      </c>
      <c r="M1311" s="738">
        <v>219.83</v>
      </c>
      <c r="N1311" s="115">
        <f t="shared" si="85"/>
        <v>7.2394043528065666E-3</v>
      </c>
      <c r="O1311" s="1121">
        <f t="shared" si="88"/>
        <v>7.2274904639176773E-3</v>
      </c>
      <c r="P1311" s="1122"/>
    </row>
    <row r="1312" spans="6:16">
      <c r="F1312" s="1121">
        <f t="shared" si="87"/>
        <v>1.1861931909818428E-2</v>
      </c>
      <c r="G1312" s="1122"/>
      <c r="H1312" s="436">
        <v>42310</v>
      </c>
      <c r="I1312" s="738">
        <v>2104.0500000000002</v>
      </c>
      <c r="J1312" s="440">
        <f t="shared" si="86"/>
        <v>1.1873845798707316E-2</v>
      </c>
      <c r="L1312" s="436">
        <v>42310</v>
      </c>
      <c r="M1312" s="738">
        <v>220.59</v>
      </c>
      <c r="N1312" s="115">
        <f t="shared" si="85"/>
        <v>3.4572169403630504E-3</v>
      </c>
      <c r="O1312" s="1121">
        <f t="shared" si="88"/>
        <v>3.4453030514741616E-3</v>
      </c>
      <c r="P1312" s="1122"/>
    </row>
    <row r="1313" spans="6:16">
      <c r="F1313" s="1121">
        <f t="shared" si="87"/>
        <v>2.7161581626305924E-3</v>
      </c>
      <c r="G1313" s="1122"/>
      <c r="H1313" s="436">
        <v>42311</v>
      </c>
      <c r="I1313" s="738">
        <v>2109.79</v>
      </c>
      <c r="J1313" s="440">
        <f t="shared" si="86"/>
        <v>2.7280720515194812E-3</v>
      </c>
      <c r="L1313" s="436">
        <v>42311</v>
      </c>
      <c r="M1313" s="738">
        <v>218.9</v>
      </c>
      <c r="N1313" s="115">
        <f t="shared" si="85"/>
        <v>-7.6612720431570303E-3</v>
      </c>
      <c r="O1313" s="1121">
        <f t="shared" si="88"/>
        <v>-7.6731859320459195E-3</v>
      </c>
      <c r="P1313" s="1122"/>
    </row>
    <row r="1314" spans="6:16">
      <c r="F1314" s="1121">
        <f t="shared" si="87"/>
        <v>-3.5572904429535053E-3</v>
      </c>
      <c r="G1314" s="1122"/>
      <c r="H1314" s="436">
        <v>42312</v>
      </c>
      <c r="I1314" s="738">
        <v>2102.31</v>
      </c>
      <c r="J1314" s="440">
        <f t="shared" si="86"/>
        <v>-3.5453765540646165E-3</v>
      </c>
      <c r="L1314" s="436">
        <v>42312</v>
      </c>
      <c r="M1314" s="738">
        <v>218.83</v>
      </c>
      <c r="N1314" s="115">
        <f t="shared" si="85"/>
        <v>-3.1978072179073003E-4</v>
      </c>
      <c r="O1314" s="1121">
        <f t="shared" si="88"/>
        <v>-3.3169461067961891E-4</v>
      </c>
      <c r="P1314" s="1122"/>
    </row>
    <row r="1315" spans="6:16">
      <c r="F1315" s="1121">
        <f t="shared" si="87"/>
        <v>-1.1440019253821172E-3</v>
      </c>
      <c r="G1315" s="1122"/>
      <c r="H1315" s="436">
        <v>42313</v>
      </c>
      <c r="I1315" s="738">
        <v>2099.9299999999998</v>
      </c>
      <c r="J1315" s="440">
        <f t="shared" si="86"/>
        <v>-1.1320880364932284E-3</v>
      </c>
      <c r="L1315" s="436">
        <v>42313</v>
      </c>
      <c r="M1315" s="738">
        <v>218.6</v>
      </c>
      <c r="N1315" s="115">
        <f t="shared" si="85"/>
        <v>-1.051044189553596E-3</v>
      </c>
      <c r="O1315" s="1121">
        <f t="shared" si="88"/>
        <v>-1.0629580784424848E-3</v>
      </c>
      <c r="P1315" s="1122"/>
    </row>
    <row r="1316" spans="6:16">
      <c r="F1316" s="1121">
        <f t="shared" si="87"/>
        <v>-3.5954452419573922E-4</v>
      </c>
      <c r="G1316" s="1122"/>
      <c r="H1316" s="436">
        <v>42314</v>
      </c>
      <c r="I1316" s="738">
        <v>2099.1999999999998</v>
      </c>
      <c r="J1316" s="440">
        <f t="shared" si="86"/>
        <v>-3.4763063530685034E-4</v>
      </c>
      <c r="L1316" s="436">
        <v>42314</v>
      </c>
      <c r="M1316" s="738">
        <v>216.63</v>
      </c>
      <c r="N1316" s="115">
        <f t="shared" si="85"/>
        <v>-9.0118938700823881E-3</v>
      </c>
      <c r="O1316" s="1121">
        <f t="shared" si="88"/>
        <v>-9.0238077589712765E-3</v>
      </c>
      <c r="P1316" s="1122"/>
    </row>
    <row r="1317" spans="6:16">
      <c r="F1317" s="1121">
        <f t="shared" si="87"/>
        <v>-9.8347035230351779E-3</v>
      </c>
      <c r="G1317" s="1122"/>
      <c r="H1317" s="436">
        <v>42317</v>
      </c>
      <c r="I1317" s="738">
        <v>2078.58</v>
      </c>
      <c r="J1317" s="440">
        <f t="shared" si="86"/>
        <v>-9.8227896341462895E-3</v>
      </c>
      <c r="L1317" s="436">
        <v>42317</v>
      </c>
      <c r="M1317" s="738">
        <v>214.7</v>
      </c>
      <c r="N1317" s="115">
        <f t="shared" si="85"/>
        <v>-8.9092000184647357E-3</v>
      </c>
      <c r="O1317" s="1121">
        <f t="shared" si="88"/>
        <v>-8.9211139073536241E-3</v>
      </c>
      <c r="P1317" s="1122"/>
    </row>
    <row r="1318" spans="6:16">
      <c r="F1318" s="1121">
        <f t="shared" si="87"/>
        <v>1.4987328026022577E-3</v>
      </c>
      <c r="G1318" s="1122"/>
      <c r="H1318" s="436">
        <v>42318</v>
      </c>
      <c r="I1318" s="738">
        <v>2081.7199999999998</v>
      </c>
      <c r="J1318" s="440">
        <f t="shared" si="86"/>
        <v>1.5106466914911465E-3</v>
      </c>
      <c r="L1318" s="436">
        <v>42318</v>
      </c>
      <c r="M1318" s="738">
        <v>214.07</v>
      </c>
      <c r="N1318" s="115">
        <f t="shared" si="85"/>
        <v>-2.9343269678621109E-3</v>
      </c>
      <c r="O1318" s="1121">
        <f t="shared" si="88"/>
        <v>-2.9462408567509997E-3</v>
      </c>
      <c r="P1318" s="1122"/>
    </row>
    <row r="1319" spans="6:16">
      <c r="F1319" s="1121">
        <f t="shared" si="87"/>
        <v>-3.2400137294053073E-3</v>
      </c>
      <c r="G1319" s="1122"/>
      <c r="H1319" s="436">
        <v>42319</v>
      </c>
      <c r="I1319" s="738">
        <v>2075</v>
      </c>
      <c r="J1319" s="440">
        <f t="shared" si="86"/>
        <v>-3.2280998405164185E-3</v>
      </c>
      <c r="L1319" s="436">
        <v>42319</v>
      </c>
      <c r="M1319" s="738">
        <v>215.11</v>
      </c>
      <c r="N1319" s="115">
        <f t="shared" si="85"/>
        <v>4.8582239454384446E-3</v>
      </c>
      <c r="O1319" s="1121">
        <f t="shared" si="88"/>
        <v>4.8463100565495553E-3</v>
      </c>
      <c r="P1319" s="1122"/>
    </row>
    <row r="1320" spans="6:16">
      <c r="F1320" s="1121">
        <f t="shared" si="87"/>
        <v>-1.4002275334672028E-2</v>
      </c>
      <c r="G1320" s="1122"/>
      <c r="H1320" s="436">
        <v>42320</v>
      </c>
      <c r="I1320" s="738">
        <v>2045.97</v>
      </c>
      <c r="J1320" s="440">
        <f t="shared" si="86"/>
        <v>-1.3990361445783139E-2</v>
      </c>
      <c r="L1320" s="436">
        <v>42320</v>
      </c>
      <c r="M1320" s="738">
        <v>213.58</v>
      </c>
      <c r="N1320" s="115">
        <f t="shared" si="85"/>
        <v>-7.1126400446283045E-3</v>
      </c>
      <c r="O1320" s="1121">
        <f t="shared" si="88"/>
        <v>-7.1245539335171937E-3</v>
      </c>
      <c r="P1320" s="1122"/>
    </row>
    <row r="1321" spans="6:16">
      <c r="F1321" s="1121">
        <f t="shared" si="87"/>
        <v>-1.1219311846825793E-2</v>
      </c>
      <c r="G1321" s="1122"/>
      <c r="H1321" s="436">
        <v>42321</v>
      </c>
      <c r="I1321" s="738">
        <v>2023.04</v>
      </c>
      <c r="J1321" s="440">
        <f t="shared" si="86"/>
        <v>-1.1207397957936904E-2</v>
      </c>
      <c r="L1321" s="436">
        <v>42321</v>
      </c>
      <c r="M1321" s="738">
        <v>213.16</v>
      </c>
      <c r="N1321" s="115">
        <f t="shared" si="85"/>
        <v>-1.9664762618223364E-3</v>
      </c>
      <c r="O1321" s="1121">
        <f t="shared" si="88"/>
        <v>-1.9783901507112252E-3</v>
      </c>
      <c r="P1321" s="1122"/>
    </row>
    <row r="1322" spans="6:16">
      <c r="F1322" s="1121">
        <f t="shared" si="87"/>
        <v>1.4891399935850085E-2</v>
      </c>
      <c r="G1322" s="1122"/>
      <c r="H1322" s="436">
        <v>42324</v>
      </c>
      <c r="I1322" s="738">
        <v>2053.19</v>
      </c>
      <c r="J1322" s="440">
        <f t="shared" si="86"/>
        <v>1.4903313824738973E-2</v>
      </c>
      <c r="L1322" s="436">
        <v>42324</v>
      </c>
      <c r="M1322" s="738">
        <v>220.67</v>
      </c>
      <c r="N1322" s="115">
        <f t="shared" si="85"/>
        <v>3.5231750797523054E-2</v>
      </c>
      <c r="O1322" s="1121">
        <f t="shared" si="88"/>
        <v>3.5219836908634165E-2</v>
      </c>
      <c r="P1322" s="1122"/>
    </row>
    <row r="1323" spans="6:16">
      <c r="F1323" s="1121">
        <f t="shared" si="87"/>
        <v>-1.351293098801228E-3</v>
      </c>
      <c r="G1323" s="1122"/>
      <c r="H1323" s="436">
        <v>42325</v>
      </c>
      <c r="I1323" s="738">
        <v>2050.44</v>
      </c>
      <c r="J1323" s="440">
        <f t="shared" si="86"/>
        <v>-1.3393792099123392E-3</v>
      </c>
      <c r="L1323" s="436">
        <v>42325</v>
      </c>
      <c r="M1323" s="738">
        <v>222.39</v>
      </c>
      <c r="N1323" s="115">
        <f t="shared" si="85"/>
        <v>7.7944441926858232E-3</v>
      </c>
      <c r="O1323" s="1121">
        <f t="shared" si="88"/>
        <v>7.782530303796934E-3</v>
      </c>
      <c r="P1323" s="1122"/>
    </row>
    <row r="1324" spans="6:16">
      <c r="F1324" s="1121">
        <f t="shared" si="87"/>
        <v>1.6150470770013629E-2</v>
      </c>
      <c r="G1324" s="1122"/>
      <c r="H1324" s="436">
        <v>42326</v>
      </c>
      <c r="I1324" s="738">
        <v>2083.58</v>
      </c>
      <c r="J1324" s="440">
        <f t="shared" si="86"/>
        <v>1.6162384658902518E-2</v>
      </c>
      <c r="L1324" s="436">
        <v>42326</v>
      </c>
      <c r="M1324" s="738">
        <v>223.22</v>
      </c>
      <c r="N1324" s="115">
        <f t="shared" si="85"/>
        <v>3.7321822024372064E-3</v>
      </c>
      <c r="O1324" s="1121">
        <f t="shared" si="88"/>
        <v>3.7202683135483176E-3</v>
      </c>
      <c r="P1324" s="1122"/>
    </row>
    <row r="1325" spans="6:16">
      <c r="F1325" s="1121">
        <f t="shared" si="87"/>
        <v>-1.1349809177527777E-3</v>
      </c>
      <c r="G1325" s="1122"/>
      <c r="H1325" s="436">
        <v>42327</v>
      </c>
      <c r="I1325" s="738">
        <v>2081.2399999999998</v>
      </c>
      <c r="J1325" s="440">
        <f t="shared" si="86"/>
        <v>-1.1230670288638889E-3</v>
      </c>
      <c r="L1325" s="436">
        <v>42327</v>
      </c>
      <c r="M1325" s="738">
        <v>224</v>
      </c>
      <c r="N1325" s="115">
        <f t="shared" si="85"/>
        <v>3.4943105456499701E-3</v>
      </c>
      <c r="O1325" s="1121">
        <f t="shared" si="88"/>
        <v>3.4823966567610813E-3</v>
      </c>
      <c r="P1325" s="1122"/>
    </row>
    <row r="1326" spans="6:16">
      <c r="F1326" s="1121">
        <f t="shared" si="87"/>
        <v>3.7983146287258111E-3</v>
      </c>
      <c r="G1326" s="1122"/>
      <c r="H1326" s="436">
        <v>42328</v>
      </c>
      <c r="I1326" s="738">
        <v>2089.17</v>
      </c>
      <c r="J1326" s="440">
        <f t="shared" si="86"/>
        <v>3.8102285176146999E-3</v>
      </c>
      <c r="L1326" s="436">
        <v>42328</v>
      </c>
      <c r="M1326" s="738">
        <v>226.06</v>
      </c>
      <c r="N1326" s="115">
        <f t="shared" si="85"/>
        <v>9.1964285714285499E-3</v>
      </c>
      <c r="O1326" s="1121">
        <f t="shared" si="88"/>
        <v>9.1845146825396615E-3</v>
      </c>
      <c r="P1326" s="1122"/>
    </row>
    <row r="1327" spans="6:16">
      <c r="F1327" s="1121">
        <f t="shared" si="87"/>
        <v>-1.2468540804482305E-3</v>
      </c>
      <c r="G1327" s="1122"/>
      <c r="H1327" s="436">
        <v>42331</v>
      </c>
      <c r="I1327" s="738">
        <v>2086.59</v>
      </c>
      <c r="J1327" s="440">
        <f t="shared" si="86"/>
        <v>-1.2349401915593416E-3</v>
      </c>
      <c r="L1327" s="436">
        <v>42331</v>
      </c>
      <c r="M1327" s="738">
        <v>226.03</v>
      </c>
      <c r="N1327" s="115">
        <f t="shared" si="85"/>
        <v>-1.3270813058485764E-4</v>
      </c>
      <c r="O1327" s="1121">
        <f t="shared" si="88"/>
        <v>-1.4462201947374652E-4</v>
      </c>
      <c r="P1327" s="1122"/>
    </row>
    <row r="1328" spans="6:16">
      <c r="F1328" s="1121">
        <f t="shared" si="87"/>
        <v>1.2101757406021078E-3</v>
      </c>
      <c r="G1328" s="1122"/>
      <c r="H1328" s="436">
        <v>42332</v>
      </c>
      <c r="I1328" s="738">
        <v>2089.14</v>
      </c>
      <c r="J1328" s="440">
        <f t="shared" si="86"/>
        <v>1.2220896294909966E-3</v>
      </c>
      <c r="L1328" s="436">
        <v>42332</v>
      </c>
      <c r="M1328" s="738">
        <v>226.43</v>
      </c>
      <c r="N1328" s="115">
        <f t="shared" si="85"/>
        <v>1.7696765916028756E-3</v>
      </c>
      <c r="O1328" s="1121">
        <f t="shared" si="88"/>
        <v>1.7577627027139868E-3</v>
      </c>
      <c r="P1328" s="1122"/>
    </row>
    <row r="1329" spans="6:16">
      <c r="F1329" s="1121">
        <f t="shared" si="87"/>
        <v>-1.4115367176604409E-4</v>
      </c>
      <c r="G1329" s="1122"/>
      <c r="H1329" s="436">
        <v>42333</v>
      </c>
      <c r="I1329" s="738">
        <v>2088.87</v>
      </c>
      <c r="J1329" s="440">
        <f t="shared" si="86"/>
        <v>-1.2923978287715521E-4</v>
      </c>
      <c r="L1329" s="436">
        <v>42333</v>
      </c>
      <c r="M1329" s="738">
        <v>225.8</v>
      </c>
      <c r="N1329" s="115">
        <f t="shared" ref="N1329:N1392" si="89">M1329/M1328-1</f>
        <v>-2.782316830808651E-3</v>
      </c>
      <c r="O1329" s="1121">
        <f t="shared" si="88"/>
        <v>-2.7942307196975398E-3</v>
      </c>
      <c r="P1329" s="1122"/>
    </row>
    <row r="1330" spans="6:16">
      <c r="F1330" s="1121">
        <f t="shared" si="87"/>
        <v>-1.1913888888888887E-5</v>
      </c>
      <c r="G1330" s="1122"/>
      <c r="H1330" s="436">
        <v>42334</v>
      </c>
      <c r="I1330" s="738">
        <v>2088.87</v>
      </c>
      <c r="J1330" s="440">
        <f t="shared" si="86"/>
        <v>0</v>
      </c>
      <c r="L1330" s="436">
        <v>42334</v>
      </c>
      <c r="M1330" s="738">
        <v>225.8</v>
      </c>
      <c r="N1330" s="115">
        <f t="shared" si="89"/>
        <v>0</v>
      </c>
      <c r="O1330" s="1121">
        <f t="shared" si="88"/>
        <v>-1.1913888888888887E-5</v>
      </c>
      <c r="P1330" s="1122"/>
    </row>
    <row r="1331" spans="6:16">
      <c r="F1331" s="1121">
        <f t="shared" si="87"/>
        <v>5.8170850024984817E-4</v>
      </c>
      <c r="G1331" s="1122"/>
      <c r="H1331" s="436">
        <v>42335</v>
      </c>
      <c r="I1331" s="738">
        <v>2090.11</v>
      </c>
      <c r="J1331" s="440">
        <f t="shared" si="86"/>
        <v>5.9362238913873711E-4</v>
      </c>
      <c r="L1331" s="436">
        <v>42335</v>
      </c>
      <c r="M1331" s="738">
        <v>225.91</v>
      </c>
      <c r="N1331" s="115">
        <f t="shared" si="89"/>
        <v>4.8715677590771556E-4</v>
      </c>
      <c r="O1331" s="1121">
        <f t="shared" si="88"/>
        <v>4.7524288701882668E-4</v>
      </c>
      <c r="P1331" s="1122"/>
    </row>
    <row r="1332" spans="6:16">
      <c r="F1332" s="1121">
        <f t="shared" si="87"/>
        <v>-4.6528179561390404E-3</v>
      </c>
      <c r="G1332" s="1122"/>
      <c r="H1332" s="436">
        <v>42338</v>
      </c>
      <c r="I1332" s="738">
        <v>2080.41</v>
      </c>
      <c r="J1332" s="440">
        <f t="shared" si="86"/>
        <v>-4.6409040672501511E-3</v>
      </c>
      <c r="L1332" s="436">
        <v>42338</v>
      </c>
      <c r="M1332" s="738">
        <v>219.16</v>
      </c>
      <c r="N1332" s="115">
        <f t="shared" si="89"/>
        <v>-2.9879155415873604E-2</v>
      </c>
      <c r="O1332" s="1121">
        <f t="shared" si="88"/>
        <v>-2.9891069304762492E-2</v>
      </c>
      <c r="P1332" s="1122"/>
    </row>
    <row r="1333" spans="6:16">
      <c r="F1333" s="1121">
        <f t="shared" si="87"/>
        <v>1.0668673110789111E-2</v>
      </c>
      <c r="G1333" s="1122"/>
      <c r="H1333" s="436">
        <v>42339</v>
      </c>
      <c r="I1333" s="738">
        <v>2102.63</v>
      </c>
      <c r="J1333" s="440">
        <f t="shared" si="86"/>
        <v>1.0680586999677999E-2</v>
      </c>
      <c r="L1333" s="436">
        <v>42339</v>
      </c>
      <c r="M1333" s="738">
        <v>220.2</v>
      </c>
      <c r="N1333" s="115">
        <f t="shared" si="89"/>
        <v>4.7453914947983566E-3</v>
      </c>
      <c r="O1333" s="1121">
        <f t="shared" si="88"/>
        <v>4.7334776059094674E-3</v>
      </c>
      <c r="P1333" s="1122"/>
    </row>
    <row r="1334" spans="6:16">
      <c r="F1334" s="1121">
        <f t="shared" si="87"/>
        <v>-1.1007666826876046E-2</v>
      </c>
      <c r="G1334" s="1122"/>
      <c r="H1334" s="436">
        <v>42340</v>
      </c>
      <c r="I1334" s="738">
        <v>2079.5100000000002</v>
      </c>
      <c r="J1334" s="440">
        <f t="shared" si="86"/>
        <v>-1.0995752937987158E-2</v>
      </c>
      <c r="L1334" s="436">
        <v>42340</v>
      </c>
      <c r="M1334" s="738">
        <v>218.94</v>
      </c>
      <c r="N1334" s="115">
        <f t="shared" si="89"/>
        <v>-5.7220708446865665E-3</v>
      </c>
      <c r="O1334" s="1121">
        <f t="shared" si="88"/>
        <v>-5.7339847335754557E-3</v>
      </c>
      <c r="P1334" s="1122"/>
    </row>
    <row r="1335" spans="6:16">
      <c r="F1335" s="1121">
        <f t="shared" si="87"/>
        <v>-1.4385492279952346E-2</v>
      </c>
      <c r="G1335" s="1122"/>
      <c r="H1335" s="436">
        <v>42341</v>
      </c>
      <c r="I1335" s="738">
        <v>2049.62</v>
      </c>
      <c r="J1335" s="440">
        <f t="shared" si="86"/>
        <v>-1.4373578391063457E-2</v>
      </c>
      <c r="L1335" s="436">
        <v>42341</v>
      </c>
      <c r="M1335" s="738">
        <v>215.46</v>
      </c>
      <c r="N1335" s="115">
        <f t="shared" si="89"/>
        <v>-1.5894765689229873E-2</v>
      </c>
      <c r="O1335" s="1121">
        <f t="shared" si="88"/>
        <v>-1.5906679578118761E-2</v>
      </c>
      <c r="P1335" s="1122"/>
    </row>
    <row r="1336" spans="6:16">
      <c r="F1336" s="1121">
        <f t="shared" si="87"/>
        <v>2.0513842104905249E-2</v>
      </c>
      <c r="G1336" s="1122"/>
      <c r="H1336" s="436">
        <v>42342</v>
      </c>
      <c r="I1336" s="738">
        <v>2091.69</v>
      </c>
      <c r="J1336" s="440">
        <f t="shared" si="86"/>
        <v>2.0525755993794137E-2</v>
      </c>
      <c r="L1336" s="436">
        <v>42342</v>
      </c>
      <c r="M1336" s="738">
        <v>218.39</v>
      </c>
      <c r="N1336" s="115">
        <f t="shared" si="89"/>
        <v>1.3598811844425684E-2</v>
      </c>
      <c r="O1336" s="1121">
        <f t="shared" si="88"/>
        <v>1.3586897955536796E-2</v>
      </c>
      <c r="P1336" s="1122"/>
    </row>
    <row r="1337" spans="6:16">
      <c r="F1337" s="1121">
        <f t="shared" si="87"/>
        <v>-7.0014773519259188E-3</v>
      </c>
      <c r="G1337" s="1122"/>
      <c r="H1337" s="436">
        <v>42345</v>
      </c>
      <c r="I1337" s="738">
        <v>2077.0700000000002</v>
      </c>
      <c r="J1337" s="440">
        <f t="shared" si="86"/>
        <v>-6.9895634630370296E-3</v>
      </c>
      <c r="L1337" s="436">
        <v>42345</v>
      </c>
      <c r="M1337" s="738">
        <v>219.13</v>
      </c>
      <c r="N1337" s="115">
        <f t="shared" si="89"/>
        <v>3.3884335363341123E-3</v>
      </c>
      <c r="O1337" s="1121">
        <f t="shared" si="88"/>
        <v>3.3765196474452234E-3</v>
      </c>
      <c r="P1337" s="1122"/>
    </row>
    <row r="1338" spans="6:16">
      <c r="F1338" s="1121">
        <f t="shared" si="87"/>
        <v>-6.5018251581287012E-3</v>
      </c>
      <c r="G1338" s="1122"/>
      <c r="H1338" s="436">
        <v>42346</v>
      </c>
      <c r="I1338" s="738">
        <v>2063.59</v>
      </c>
      <c r="J1338" s="440">
        <f t="shared" si="86"/>
        <v>-6.489911269239812E-3</v>
      </c>
      <c r="L1338" s="436">
        <v>42346</v>
      </c>
      <c r="M1338" s="738">
        <v>218.81</v>
      </c>
      <c r="N1338" s="115">
        <f t="shared" si="89"/>
        <v>-1.4603203577784329E-3</v>
      </c>
      <c r="O1338" s="1121">
        <f t="shared" si="88"/>
        <v>-1.4722342466673218E-3</v>
      </c>
      <c r="P1338" s="1122"/>
    </row>
    <row r="1339" spans="6:16">
      <c r="F1339" s="1121">
        <f t="shared" si="87"/>
        <v>-7.7508542791797719E-3</v>
      </c>
      <c r="G1339" s="1122"/>
      <c r="H1339" s="436">
        <v>42347</v>
      </c>
      <c r="I1339" s="738">
        <v>2047.62</v>
      </c>
      <c r="J1339" s="440">
        <f t="shared" si="86"/>
        <v>-7.7389403902908827E-3</v>
      </c>
      <c r="L1339" s="436">
        <v>42347</v>
      </c>
      <c r="M1339" s="738">
        <v>217.54</v>
      </c>
      <c r="N1339" s="115">
        <f t="shared" si="89"/>
        <v>-5.8041222978840734E-3</v>
      </c>
      <c r="O1339" s="1121">
        <f t="shared" si="88"/>
        <v>-5.8160361867729627E-3</v>
      </c>
      <c r="P1339" s="1122"/>
    </row>
    <row r="1340" spans="6:16">
      <c r="F1340" s="1121">
        <f t="shared" si="87"/>
        <v>2.239480412788201E-3</v>
      </c>
      <c r="G1340" s="1122"/>
      <c r="H1340" s="436">
        <v>42348</v>
      </c>
      <c r="I1340" s="738">
        <v>2052.23</v>
      </c>
      <c r="J1340" s="440">
        <f t="shared" si="86"/>
        <v>2.2513943016770899E-3</v>
      </c>
      <c r="L1340" s="436">
        <v>42348</v>
      </c>
      <c r="M1340" s="738">
        <v>218.88</v>
      </c>
      <c r="N1340" s="115">
        <f t="shared" si="89"/>
        <v>6.1597867058931222E-3</v>
      </c>
      <c r="O1340" s="1121">
        <f t="shared" si="88"/>
        <v>6.1478728170042329E-3</v>
      </c>
      <c r="P1340" s="1122"/>
    </row>
    <row r="1341" spans="6:16">
      <c r="F1341" s="1121">
        <f t="shared" si="87"/>
        <v>-1.943468813933847E-2</v>
      </c>
      <c r="G1341" s="1122"/>
      <c r="H1341" s="436">
        <v>42349</v>
      </c>
      <c r="I1341" s="738">
        <v>2012.37</v>
      </c>
      <c r="J1341" s="440">
        <f t="shared" si="86"/>
        <v>-1.9422774250449582E-2</v>
      </c>
      <c r="L1341" s="436">
        <v>42349</v>
      </c>
      <c r="M1341" s="738">
        <v>217.2</v>
      </c>
      <c r="N1341" s="115">
        <f t="shared" si="89"/>
        <v>-7.6754385964912242E-3</v>
      </c>
      <c r="O1341" s="1121">
        <f t="shared" si="88"/>
        <v>-7.6873524853801134E-3</v>
      </c>
      <c r="P1341" s="1122"/>
    </row>
    <row r="1342" spans="6:16">
      <c r="F1342" s="1121">
        <f t="shared" si="87"/>
        <v>4.7436728073947309E-3</v>
      </c>
      <c r="G1342" s="1122"/>
      <c r="H1342" s="436">
        <v>42352</v>
      </c>
      <c r="I1342" s="738">
        <v>2021.94</v>
      </c>
      <c r="J1342" s="440">
        <f t="shared" si="86"/>
        <v>4.7555866962836202E-3</v>
      </c>
      <c r="L1342" s="436">
        <v>42352</v>
      </c>
      <c r="M1342" s="738">
        <v>216.58</v>
      </c>
      <c r="N1342" s="115">
        <f t="shared" si="89"/>
        <v>-2.8545119705339905E-3</v>
      </c>
      <c r="O1342" s="1121">
        <f t="shared" si="88"/>
        <v>-2.8664258594228794E-3</v>
      </c>
      <c r="P1342" s="1122"/>
    </row>
    <row r="1343" spans="6:16">
      <c r="F1343" s="1121">
        <f t="shared" si="87"/>
        <v>1.0606601002749787E-2</v>
      </c>
      <c r="G1343" s="1122"/>
      <c r="H1343" s="436">
        <v>42353</v>
      </c>
      <c r="I1343" s="738">
        <v>2043.41</v>
      </c>
      <c r="J1343" s="440">
        <f t="shared" si="86"/>
        <v>1.0618514891638675E-2</v>
      </c>
      <c r="L1343" s="436">
        <v>42353</v>
      </c>
      <c r="M1343" s="738">
        <v>214.84</v>
      </c>
      <c r="N1343" s="115">
        <f t="shared" si="89"/>
        <v>-8.0339828238987776E-3</v>
      </c>
      <c r="O1343" s="1121">
        <f t="shared" si="88"/>
        <v>-8.045896712787666E-3</v>
      </c>
      <c r="P1343" s="1122"/>
    </row>
    <row r="1344" spans="6:16">
      <c r="F1344" s="1121">
        <f t="shared" si="87"/>
        <v>1.4503039057411786E-2</v>
      </c>
      <c r="G1344" s="1122"/>
      <c r="H1344" s="436">
        <v>42354</v>
      </c>
      <c r="I1344" s="738">
        <v>2073.0700000000002</v>
      </c>
      <c r="J1344" s="440">
        <f t="shared" si="86"/>
        <v>1.4514952946300674E-2</v>
      </c>
      <c r="L1344" s="436">
        <v>42354</v>
      </c>
      <c r="M1344" s="738">
        <v>217.5</v>
      </c>
      <c r="N1344" s="115">
        <f t="shared" si="89"/>
        <v>1.2381307019176946E-2</v>
      </c>
      <c r="O1344" s="1121">
        <f t="shared" si="88"/>
        <v>1.2369393130288057E-2</v>
      </c>
      <c r="P1344" s="1122"/>
    </row>
    <row r="1345" spans="6:16">
      <c r="F1345" s="1121">
        <f t="shared" si="87"/>
        <v>-1.505240938590547E-2</v>
      </c>
      <c r="G1345" s="1122"/>
      <c r="H1345" s="436">
        <v>42355</v>
      </c>
      <c r="I1345" s="738">
        <v>2041.89</v>
      </c>
      <c r="J1345" s="440">
        <f t="shared" si="86"/>
        <v>-1.5040495497016582E-2</v>
      </c>
      <c r="L1345" s="436">
        <v>42355</v>
      </c>
      <c r="M1345" s="738">
        <v>215.22</v>
      </c>
      <c r="N1345" s="115">
        <f t="shared" si="89"/>
        <v>-1.0482758620689703E-2</v>
      </c>
      <c r="O1345" s="1121">
        <f t="shared" si="88"/>
        <v>-1.0494672509578591E-2</v>
      </c>
      <c r="P1345" s="1122"/>
    </row>
    <row r="1346" spans="6:16">
      <c r="F1346" s="1121">
        <f t="shared" si="87"/>
        <v>-1.7809150762569732E-2</v>
      </c>
      <c r="G1346" s="1122"/>
      <c r="H1346" s="436">
        <v>42356</v>
      </c>
      <c r="I1346" s="738">
        <v>2005.55</v>
      </c>
      <c r="J1346" s="440">
        <f t="shared" si="86"/>
        <v>-1.7797236873680844E-2</v>
      </c>
      <c r="L1346" s="436">
        <v>42356</v>
      </c>
      <c r="M1346" s="738">
        <v>212.18</v>
      </c>
      <c r="N1346" s="115">
        <f t="shared" si="89"/>
        <v>-1.4125081312145626E-2</v>
      </c>
      <c r="O1346" s="1121">
        <f t="shared" si="88"/>
        <v>-1.4136995201034515E-2</v>
      </c>
      <c r="P1346" s="1122"/>
    </row>
    <row r="1347" spans="6:16">
      <c r="F1347" s="1121">
        <f t="shared" si="87"/>
        <v>7.7665010097674935E-3</v>
      </c>
      <c r="G1347" s="1122"/>
      <c r="H1347" s="436">
        <v>42359</v>
      </c>
      <c r="I1347" s="738">
        <v>2021.15</v>
      </c>
      <c r="J1347" s="440">
        <f t="shared" si="86"/>
        <v>7.7784148986563828E-3</v>
      </c>
      <c r="L1347" s="436">
        <v>42359</v>
      </c>
      <c r="M1347" s="738">
        <v>215.47</v>
      </c>
      <c r="N1347" s="115">
        <f t="shared" si="89"/>
        <v>1.5505702705250313E-2</v>
      </c>
      <c r="O1347" s="1121">
        <f t="shared" si="88"/>
        <v>1.5493788816361424E-2</v>
      </c>
      <c r="P1347" s="1122"/>
    </row>
    <row r="1348" spans="6:16">
      <c r="F1348" s="1121">
        <f t="shared" si="87"/>
        <v>8.8048488451980475E-3</v>
      </c>
      <c r="G1348" s="1122"/>
      <c r="H1348" s="436">
        <v>42360</v>
      </c>
      <c r="I1348" s="738">
        <v>2038.97</v>
      </c>
      <c r="J1348" s="440">
        <f t="shared" si="86"/>
        <v>8.8167627340869359E-3</v>
      </c>
      <c r="L1348" s="436">
        <v>42360</v>
      </c>
      <c r="M1348" s="738">
        <v>217.58</v>
      </c>
      <c r="N1348" s="115">
        <f t="shared" si="89"/>
        <v>9.7925465261985423E-3</v>
      </c>
      <c r="O1348" s="1121">
        <f t="shared" si="88"/>
        <v>9.7806326373096539E-3</v>
      </c>
      <c r="P1348" s="1122"/>
    </row>
    <row r="1349" spans="6:16">
      <c r="F1349" s="1121">
        <f t="shared" si="87"/>
        <v>1.2406120707009964E-2</v>
      </c>
      <c r="G1349" s="1122"/>
      <c r="H1349" s="436">
        <v>42361</v>
      </c>
      <c r="I1349" s="738">
        <v>2064.29</v>
      </c>
      <c r="J1349" s="440">
        <f t="shared" si="86"/>
        <v>1.2418034595898853E-2</v>
      </c>
      <c r="L1349" s="436">
        <v>42361</v>
      </c>
      <c r="M1349" s="738">
        <v>217.93</v>
      </c>
      <c r="N1349" s="115">
        <f t="shared" si="89"/>
        <v>1.6086037319607005E-3</v>
      </c>
      <c r="O1349" s="1121">
        <f t="shared" si="88"/>
        <v>1.5966898430718117E-3</v>
      </c>
      <c r="P1349" s="1122"/>
    </row>
    <row r="1350" spans="6:16">
      <c r="F1350" s="1121">
        <f t="shared" si="87"/>
        <v>-1.6105264869250642E-3</v>
      </c>
      <c r="G1350" s="1122"/>
      <c r="H1350" s="436">
        <v>42362</v>
      </c>
      <c r="I1350" s="738">
        <v>2060.9899999999998</v>
      </c>
      <c r="J1350" s="440">
        <f t="shared" si="86"/>
        <v>-1.5986125980361754E-3</v>
      </c>
      <c r="L1350" s="436">
        <v>42362</v>
      </c>
      <c r="M1350" s="738">
        <v>218.56</v>
      </c>
      <c r="N1350" s="115">
        <f t="shared" si="89"/>
        <v>2.890836507135397E-3</v>
      </c>
      <c r="O1350" s="1121">
        <f t="shared" si="88"/>
        <v>2.8789226182465081E-3</v>
      </c>
      <c r="P1350" s="1122"/>
    </row>
    <row r="1351" spans="6:16">
      <c r="F1351" s="1121">
        <f t="shared" si="87"/>
        <v>-1.1913888888888887E-5</v>
      </c>
      <c r="G1351" s="1122"/>
      <c r="H1351" s="436">
        <v>42363</v>
      </c>
      <c r="I1351" s="738">
        <v>2060.9899999999998</v>
      </c>
      <c r="J1351" s="440">
        <f t="shared" si="86"/>
        <v>0</v>
      </c>
      <c r="L1351" s="436">
        <v>42363</v>
      </c>
      <c r="M1351" s="738">
        <v>218.56</v>
      </c>
      <c r="N1351" s="115">
        <f t="shared" si="89"/>
        <v>0</v>
      </c>
      <c r="O1351" s="1121">
        <f t="shared" si="88"/>
        <v>-1.1913888888888887E-5</v>
      </c>
      <c r="P1351" s="1122"/>
    </row>
    <row r="1352" spans="6:16">
      <c r="F1352" s="1121">
        <f t="shared" si="87"/>
        <v>-2.1904785592656924E-3</v>
      </c>
      <c r="G1352" s="1122"/>
      <c r="H1352" s="436">
        <v>42366</v>
      </c>
      <c r="I1352" s="738">
        <v>2056.5</v>
      </c>
      <c r="J1352" s="440">
        <f t="shared" si="86"/>
        <v>-2.1785646703768036E-3</v>
      </c>
      <c r="L1352" s="436">
        <v>42366</v>
      </c>
      <c r="M1352" s="738">
        <v>218.41</v>
      </c>
      <c r="N1352" s="115">
        <f t="shared" si="89"/>
        <v>-6.8631039531485971E-4</v>
      </c>
      <c r="O1352" s="1121">
        <f t="shared" si="88"/>
        <v>-6.9822428420374864E-4</v>
      </c>
      <c r="P1352" s="1122"/>
    </row>
    <row r="1353" spans="6:16">
      <c r="F1353" s="1121">
        <f t="shared" si="87"/>
        <v>1.0617796784585624E-2</v>
      </c>
      <c r="G1353" s="1122"/>
      <c r="H1353" s="436">
        <v>42367</v>
      </c>
      <c r="I1353" s="738">
        <v>2078.36</v>
      </c>
      <c r="J1353" s="440">
        <f t="shared" si="86"/>
        <v>1.0629710673474513E-2</v>
      </c>
      <c r="L1353" s="436">
        <v>42367</v>
      </c>
      <c r="M1353" s="738">
        <v>220.47</v>
      </c>
      <c r="N1353" s="115">
        <f t="shared" si="89"/>
        <v>9.431802573142356E-3</v>
      </c>
      <c r="O1353" s="1121">
        <f t="shared" si="88"/>
        <v>9.4198886842534676E-3</v>
      </c>
      <c r="P1353" s="1122"/>
    </row>
    <row r="1354" spans="6:16">
      <c r="F1354" s="1121">
        <f t="shared" si="87"/>
        <v>-7.2291428578836825E-3</v>
      </c>
      <c r="G1354" s="1122"/>
      <c r="H1354" s="436">
        <v>42368</v>
      </c>
      <c r="I1354" s="738">
        <v>2063.36</v>
      </c>
      <c r="J1354" s="440">
        <f t="shared" si="86"/>
        <v>-7.2172289689947933E-3</v>
      </c>
      <c r="L1354" s="436">
        <v>42368</v>
      </c>
      <c r="M1354" s="738">
        <v>219.8</v>
      </c>
      <c r="N1354" s="115">
        <f t="shared" si="89"/>
        <v>-3.0389622170816644E-3</v>
      </c>
      <c r="O1354" s="1121">
        <f t="shared" si="88"/>
        <v>-3.0508761059705532E-3</v>
      </c>
      <c r="P1354" s="1122"/>
    </row>
    <row r="1355" spans="6:16">
      <c r="F1355" s="1121">
        <f t="shared" si="87"/>
        <v>-9.4237470154398054E-3</v>
      </c>
      <c r="G1355" s="1122"/>
      <c r="H1355" s="436">
        <v>42369</v>
      </c>
      <c r="I1355" s="738">
        <v>2043.94</v>
      </c>
      <c r="J1355" s="440">
        <f t="shared" si="86"/>
        <v>-9.411833126550917E-3</v>
      </c>
      <c r="L1355" s="436">
        <v>42369</v>
      </c>
      <c r="M1355" s="738">
        <v>217.15</v>
      </c>
      <c r="N1355" s="115">
        <f t="shared" si="89"/>
        <v>-1.2056414922656966E-2</v>
      </c>
      <c r="O1355" s="1121">
        <f t="shared" si="88"/>
        <v>-1.2068328811545855E-2</v>
      </c>
      <c r="P1355" s="1122"/>
    </row>
    <row r="1356" spans="6:16">
      <c r="F1356" s="1121">
        <f t="shared" si="87"/>
        <v>-1.1913888888888887E-5</v>
      </c>
      <c r="G1356" s="1122"/>
      <c r="H1356" s="436">
        <v>42370</v>
      </c>
      <c r="I1356" s="738">
        <v>2043.94</v>
      </c>
      <c r="J1356" s="440">
        <f t="shared" si="86"/>
        <v>0</v>
      </c>
      <c r="L1356" s="436">
        <v>42370</v>
      </c>
      <c r="M1356" s="738">
        <v>217.15</v>
      </c>
      <c r="N1356" s="115">
        <f t="shared" si="89"/>
        <v>0</v>
      </c>
      <c r="O1356" s="1121">
        <f t="shared" si="88"/>
        <v>-1.1913888888888887E-5</v>
      </c>
      <c r="P1356" s="1122"/>
    </row>
    <row r="1357" spans="6:16">
      <c r="F1357" s="1121">
        <f t="shared" si="87"/>
        <v>-1.5315689929281458E-2</v>
      </c>
      <c r="G1357" s="1122"/>
      <c r="H1357" s="436">
        <v>42373</v>
      </c>
      <c r="I1357" s="738">
        <v>2012.66</v>
      </c>
      <c r="J1357" s="440">
        <f t="shared" si="86"/>
        <v>-1.5303776040392569E-2</v>
      </c>
      <c r="L1357" s="436">
        <v>42373</v>
      </c>
      <c r="M1357" s="738">
        <v>213.21</v>
      </c>
      <c r="N1357" s="115">
        <f t="shared" si="89"/>
        <v>-1.8144139995394881E-2</v>
      </c>
      <c r="O1357" s="1121">
        <f t="shared" si="88"/>
        <v>-1.815605388428377E-2</v>
      </c>
      <c r="P1357" s="1122"/>
    </row>
    <row r="1358" spans="6:16">
      <c r="F1358" s="1121">
        <f t="shared" si="87"/>
        <v>2.0003484902512063E-3</v>
      </c>
      <c r="G1358" s="1122"/>
      <c r="H1358" s="436">
        <v>42374</v>
      </c>
      <c r="I1358" s="738">
        <v>2016.71</v>
      </c>
      <c r="J1358" s="440">
        <f t="shared" si="86"/>
        <v>2.0122623791400951E-3</v>
      </c>
      <c r="L1358" s="436">
        <v>42374</v>
      </c>
      <c r="M1358" s="738">
        <v>218.26</v>
      </c>
      <c r="N1358" s="115">
        <f t="shared" si="89"/>
        <v>2.3685568219126596E-2</v>
      </c>
      <c r="O1358" s="1121">
        <f t="shared" si="88"/>
        <v>2.3673654330237708E-2</v>
      </c>
      <c r="P1358" s="1122"/>
    </row>
    <row r="1359" spans="6:16">
      <c r="F1359" s="1121">
        <f t="shared" si="87"/>
        <v>-1.3127334549271404E-2</v>
      </c>
      <c r="G1359" s="1122"/>
      <c r="H1359" s="436">
        <v>42375</v>
      </c>
      <c r="I1359" s="738">
        <v>1990.26</v>
      </c>
      <c r="J1359" s="440">
        <f t="shared" si="86"/>
        <v>-1.3115420660382515E-2</v>
      </c>
      <c r="L1359" s="436">
        <v>42375</v>
      </c>
      <c r="M1359" s="738">
        <v>217.63</v>
      </c>
      <c r="N1359" s="115">
        <f t="shared" si="89"/>
        <v>-2.8864656831302238E-3</v>
      </c>
      <c r="O1359" s="1121">
        <f t="shared" si="88"/>
        <v>-2.8983795720191126E-3</v>
      </c>
      <c r="P1359" s="1122"/>
    </row>
    <row r="1360" spans="6:16">
      <c r="F1360" s="1121">
        <f t="shared" si="87"/>
        <v>-2.3712334939404951E-2</v>
      </c>
      <c r="G1360" s="1122"/>
      <c r="H1360" s="436">
        <v>42376</v>
      </c>
      <c r="I1360" s="738">
        <v>1943.09</v>
      </c>
      <c r="J1360" s="440">
        <f t="shared" si="86"/>
        <v>-2.3700421050516063E-2</v>
      </c>
      <c r="L1360" s="436">
        <v>42376</v>
      </c>
      <c r="M1360" s="738">
        <v>213.29</v>
      </c>
      <c r="N1360" s="115">
        <f t="shared" si="89"/>
        <v>-1.9942103570279812E-2</v>
      </c>
      <c r="O1360" s="1121">
        <f t="shared" si="88"/>
        <v>-1.9954017459168701E-2</v>
      </c>
      <c r="P1360" s="1122"/>
    </row>
    <row r="1361" spans="6:16">
      <c r="F1361" s="1121">
        <f t="shared" si="87"/>
        <v>-1.0850320756301109E-2</v>
      </c>
      <c r="G1361" s="1122"/>
      <c r="H1361" s="436">
        <v>42377</v>
      </c>
      <c r="I1361" s="738">
        <v>1922.03</v>
      </c>
      <c r="J1361" s="440">
        <f t="shared" si="86"/>
        <v>-1.083840686741222E-2</v>
      </c>
      <c r="L1361" s="436">
        <v>42377</v>
      </c>
      <c r="M1361" s="738">
        <v>212.91</v>
      </c>
      <c r="N1361" s="115">
        <f t="shared" si="89"/>
        <v>-1.7816118899151023E-3</v>
      </c>
      <c r="O1361" s="1121">
        <f t="shared" si="88"/>
        <v>-1.7935257788039912E-3</v>
      </c>
      <c r="P1361" s="1122"/>
    </row>
    <row r="1362" spans="6:16">
      <c r="F1362" s="1121">
        <f t="shared" si="87"/>
        <v>8.4135062831435599E-4</v>
      </c>
      <c r="G1362" s="1122"/>
      <c r="H1362" s="436">
        <v>42380</v>
      </c>
      <c r="I1362" s="738">
        <v>1923.67</v>
      </c>
      <c r="J1362" s="440">
        <f t="shared" si="86"/>
        <v>8.5326451720324492E-4</v>
      </c>
      <c r="L1362" s="436">
        <v>42380</v>
      </c>
      <c r="M1362" s="738">
        <v>215.35</v>
      </c>
      <c r="N1362" s="115">
        <f t="shared" si="89"/>
        <v>1.146024141656099E-2</v>
      </c>
      <c r="O1362" s="1121">
        <f t="shared" si="88"/>
        <v>1.1448327527672102E-2</v>
      </c>
      <c r="P1362" s="1122"/>
    </row>
    <row r="1363" spans="6:16">
      <c r="F1363" s="1121">
        <f t="shared" si="87"/>
        <v>7.7908797295592669E-3</v>
      </c>
      <c r="G1363" s="1122"/>
      <c r="H1363" s="436">
        <v>42381</v>
      </c>
      <c r="I1363" s="738">
        <v>1938.68</v>
      </c>
      <c r="J1363" s="440">
        <f t="shared" si="86"/>
        <v>7.8027936184481561E-3</v>
      </c>
      <c r="L1363" s="436">
        <v>42381</v>
      </c>
      <c r="M1363" s="738">
        <v>217.96</v>
      </c>
      <c r="N1363" s="115">
        <f t="shared" si="89"/>
        <v>1.2119804968655723E-2</v>
      </c>
      <c r="O1363" s="1121">
        <f t="shared" si="88"/>
        <v>1.2107891079766835E-2</v>
      </c>
      <c r="P1363" s="1122"/>
    </row>
    <row r="1364" spans="6:16">
      <c r="F1364" s="1121">
        <f t="shared" si="87"/>
        <v>-2.4977354291637173E-2</v>
      </c>
      <c r="G1364" s="1122"/>
      <c r="H1364" s="436">
        <v>42382</v>
      </c>
      <c r="I1364" s="738">
        <v>1890.28</v>
      </c>
      <c r="J1364" s="440">
        <f t="shared" si="86"/>
        <v>-2.4965440402748285E-2</v>
      </c>
      <c r="L1364" s="436">
        <v>42382</v>
      </c>
      <c r="M1364" s="738">
        <v>214.4</v>
      </c>
      <c r="N1364" s="115">
        <f t="shared" si="89"/>
        <v>-1.6333272160029333E-2</v>
      </c>
      <c r="O1364" s="1121">
        <f t="shared" si="88"/>
        <v>-1.6345186048918221E-2</v>
      </c>
      <c r="P1364" s="1122"/>
    </row>
    <row r="1365" spans="6:16">
      <c r="F1365" s="1121">
        <f t="shared" si="87"/>
        <v>1.668402533704582E-2</v>
      </c>
      <c r="G1365" s="1122"/>
      <c r="H1365" s="436">
        <v>42383</v>
      </c>
      <c r="I1365" s="738">
        <v>1921.84</v>
      </c>
      <c r="J1365" s="440">
        <f t="shared" si="86"/>
        <v>1.6695939225934708E-2</v>
      </c>
      <c r="L1365" s="436">
        <v>42383</v>
      </c>
      <c r="M1365" s="738">
        <v>216.42</v>
      </c>
      <c r="N1365" s="115">
        <f t="shared" si="89"/>
        <v>9.4216417910446548E-3</v>
      </c>
      <c r="O1365" s="1121">
        <f t="shared" si="88"/>
        <v>9.4097279021557664E-3</v>
      </c>
      <c r="P1365" s="1122"/>
    </row>
    <row r="1366" spans="6:16">
      <c r="F1366" s="1121">
        <f t="shared" si="87"/>
        <v>-2.1611006425208197E-2</v>
      </c>
      <c r="G1366" s="1122"/>
      <c r="H1366" s="436">
        <v>42384</v>
      </c>
      <c r="I1366" s="738">
        <v>1880.33</v>
      </c>
      <c r="J1366" s="440">
        <f t="shared" si="86"/>
        <v>-2.1599092536319309E-2</v>
      </c>
      <c r="L1366" s="436">
        <v>42384</v>
      </c>
      <c r="M1366" s="738">
        <v>215.99</v>
      </c>
      <c r="N1366" s="115">
        <f t="shared" si="89"/>
        <v>-1.986877368080453E-3</v>
      </c>
      <c r="O1366" s="1121">
        <f t="shared" si="88"/>
        <v>-1.9987912569693418E-3</v>
      </c>
      <c r="P1366" s="1122"/>
    </row>
    <row r="1367" spans="6:16">
      <c r="F1367" s="1121">
        <f t="shared" si="87"/>
        <v>-1.1913888888888887E-5</v>
      </c>
      <c r="G1367" s="1122"/>
      <c r="H1367" s="436">
        <v>42387</v>
      </c>
      <c r="I1367" s="738">
        <v>1880.33</v>
      </c>
      <c r="J1367" s="440">
        <f t="shared" si="86"/>
        <v>0</v>
      </c>
      <c r="L1367" s="436">
        <v>42387</v>
      </c>
      <c r="M1367" s="738">
        <v>215.99</v>
      </c>
      <c r="N1367" s="115">
        <f t="shared" si="89"/>
        <v>0</v>
      </c>
      <c r="O1367" s="1121">
        <f t="shared" si="88"/>
        <v>-1.1913888888888887E-5</v>
      </c>
      <c r="P1367" s="1122"/>
    </row>
    <row r="1368" spans="6:16">
      <c r="F1368" s="1121">
        <f t="shared" si="87"/>
        <v>5.1990765307451754E-4</v>
      </c>
      <c r="G1368" s="1122"/>
      <c r="H1368" s="436">
        <v>42388</v>
      </c>
      <c r="I1368" s="738">
        <v>1881.33</v>
      </c>
      <c r="J1368" s="440">
        <f t="shared" si="86"/>
        <v>5.3182154196340647E-4</v>
      </c>
      <c r="L1368" s="436">
        <v>42388</v>
      </c>
      <c r="M1368" s="738">
        <v>215.29</v>
      </c>
      <c r="N1368" s="115">
        <f t="shared" si="89"/>
        <v>-3.2408907819807542E-3</v>
      </c>
      <c r="O1368" s="1121">
        <f t="shared" si="88"/>
        <v>-3.252804670869643E-3</v>
      </c>
      <c r="P1368" s="1122"/>
    </row>
    <row r="1369" spans="6:16">
      <c r="F1369" s="1121">
        <f t="shared" si="87"/>
        <v>-1.1705768768149889E-2</v>
      </c>
      <c r="G1369" s="1122"/>
      <c r="H1369" s="436">
        <v>42389</v>
      </c>
      <c r="I1369" s="738">
        <v>1859.33</v>
      </c>
      <c r="J1369" s="440">
        <f t="shared" si="86"/>
        <v>-1.1693854879261001E-2</v>
      </c>
      <c r="L1369" s="436">
        <v>42389</v>
      </c>
      <c r="M1369" s="738">
        <v>210.4</v>
      </c>
      <c r="N1369" s="115">
        <f t="shared" si="89"/>
        <v>-2.2713549166240798E-2</v>
      </c>
      <c r="O1369" s="1121">
        <f t="shared" si="88"/>
        <v>-2.2725463055129687E-2</v>
      </c>
      <c r="P1369" s="1122"/>
    </row>
    <row r="1370" spans="6:16">
      <c r="F1370" s="1121">
        <f t="shared" si="87"/>
        <v>5.1835059666506178E-3</v>
      </c>
      <c r="G1370" s="1122"/>
      <c r="H1370" s="436">
        <v>42390</v>
      </c>
      <c r="I1370" s="738">
        <v>1868.99</v>
      </c>
      <c r="J1370" s="440">
        <f t="shared" si="86"/>
        <v>5.195419855539507E-3</v>
      </c>
      <c r="L1370" s="436">
        <v>42390</v>
      </c>
      <c r="M1370" s="738">
        <v>210.79</v>
      </c>
      <c r="N1370" s="115">
        <f t="shared" si="89"/>
        <v>1.8536121673002892E-3</v>
      </c>
      <c r="O1370" s="1121">
        <f t="shared" si="88"/>
        <v>1.8416982784114004E-3</v>
      </c>
      <c r="P1370" s="1122"/>
    </row>
    <row r="1371" spans="6:16">
      <c r="F1371" s="1121">
        <f t="shared" si="87"/>
        <v>2.0271768741836886E-2</v>
      </c>
      <c r="G1371" s="1122"/>
      <c r="H1371" s="436">
        <v>42391</v>
      </c>
      <c r="I1371" s="738">
        <v>1906.9</v>
      </c>
      <c r="J1371" s="440">
        <f t="shared" si="86"/>
        <v>2.0283682630725774E-2</v>
      </c>
      <c r="L1371" s="436">
        <v>42391</v>
      </c>
      <c r="M1371" s="738">
        <v>212.04</v>
      </c>
      <c r="N1371" s="115">
        <f t="shared" si="89"/>
        <v>5.9300725840885082E-3</v>
      </c>
      <c r="O1371" s="1121">
        <f t="shared" si="88"/>
        <v>5.918158695199619E-3</v>
      </c>
      <c r="P1371" s="1122"/>
    </row>
    <row r="1372" spans="6:16">
      <c r="F1372" s="1121">
        <f t="shared" si="87"/>
        <v>-1.5649860294049141E-2</v>
      </c>
      <c r="G1372" s="1122"/>
      <c r="H1372" s="436">
        <v>42394</v>
      </c>
      <c r="I1372" s="738">
        <v>1877.08</v>
      </c>
      <c r="J1372" s="440">
        <f t="shared" si="86"/>
        <v>-1.5637946405160252E-2</v>
      </c>
      <c r="L1372" s="436">
        <v>42394</v>
      </c>
      <c r="M1372" s="738">
        <v>211.01</v>
      </c>
      <c r="N1372" s="115">
        <f t="shared" si="89"/>
        <v>-4.857574042633428E-3</v>
      </c>
      <c r="O1372" s="1121">
        <f t="shared" si="88"/>
        <v>-4.8694879315223172E-3</v>
      </c>
      <c r="P1372" s="1122"/>
    </row>
    <row r="1373" spans="6:16">
      <c r="F1373" s="1121">
        <f t="shared" si="87"/>
        <v>1.413239535738741E-2</v>
      </c>
      <c r="G1373" s="1122"/>
      <c r="H1373" s="436">
        <v>42395</v>
      </c>
      <c r="I1373" s="738">
        <v>1903.63</v>
      </c>
      <c r="J1373" s="440">
        <f t="shared" ref="J1373:J1436" si="90">I1373/I1372-1</f>
        <v>1.4144309246276299E-2</v>
      </c>
      <c r="L1373" s="436">
        <v>42395</v>
      </c>
      <c r="M1373" s="738">
        <v>209.93</v>
      </c>
      <c r="N1373" s="115">
        <f t="shared" si="89"/>
        <v>-5.1182408416662328E-3</v>
      </c>
      <c r="O1373" s="1121">
        <f t="shared" si="88"/>
        <v>-5.1301547305551221E-3</v>
      </c>
      <c r="P1373" s="1122"/>
    </row>
    <row r="1374" spans="6:16">
      <c r="F1374" s="1121">
        <f t="shared" ref="F1374:F1437" si="91">J1374-$I$19</f>
        <v>-1.087536949738422E-2</v>
      </c>
      <c r="G1374" s="1122"/>
      <c r="H1374" s="436">
        <v>42396</v>
      </c>
      <c r="I1374" s="738">
        <v>1882.95</v>
      </c>
      <c r="J1374" s="440">
        <f t="shared" si="90"/>
        <v>-1.0863455608495332E-2</v>
      </c>
      <c r="L1374" s="436">
        <v>42396</v>
      </c>
      <c r="M1374" s="738">
        <v>207.86</v>
      </c>
      <c r="N1374" s="115">
        <f t="shared" si="89"/>
        <v>-9.8604296670318226E-3</v>
      </c>
      <c r="O1374" s="1121">
        <f t="shared" ref="O1374:O1437" si="92">N1374-$I$19</f>
        <v>-9.8723435559207109E-3</v>
      </c>
      <c r="P1374" s="1122"/>
    </row>
    <row r="1375" spans="6:16">
      <c r="F1375" s="1121">
        <f t="shared" si="91"/>
        <v>5.5166450213316376E-3</v>
      </c>
      <c r="G1375" s="1122"/>
      <c r="H1375" s="436">
        <v>42397</v>
      </c>
      <c r="I1375" s="738">
        <v>1893.36</v>
      </c>
      <c r="J1375" s="440">
        <f t="shared" si="90"/>
        <v>5.5285589102205268E-3</v>
      </c>
      <c r="L1375" s="436">
        <v>42397</v>
      </c>
      <c r="M1375" s="738">
        <v>206.66</v>
      </c>
      <c r="N1375" s="115">
        <f t="shared" si="89"/>
        <v>-5.7731165207351998E-3</v>
      </c>
      <c r="O1375" s="1121">
        <f t="shared" si="92"/>
        <v>-5.785030409624089E-3</v>
      </c>
      <c r="P1375" s="1122"/>
    </row>
    <row r="1376" spans="6:16">
      <c r="F1376" s="1121">
        <f t="shared" si="91"/>
        <v>2.4748300755975332E-2</v>
      </c>
      <c r="G1376" s="1122"/>
      <c r="H1376" s="436">
        <v>42398</v>
      </c>
      <c r="I1376" s="738">
        <v>1940.24</v>
      </c>
      <c r="J1376" s="440">
        <f t="shared" si="90"/>
        <v>2.476021464486422E-2</v>
      </c>
      <c r="L1376" s="436">
        <v>42398</v>
      </c>
      <c r="M1376" s="738">
        <v>211</v>
      </c>
      <c r="N1376" s="115">
        <f t="shared" si="89"/>
        <v>2.1000677441207705E-2</v>
      </c>
      <c r="O1376" s="1121">
        <f t="shared" si="92"/>
        <v>2.0988763552318816E-2</v>
      </c>
      <c r="P1376" s="1122"/>
    </row>
    <row r="1377" spans="6:16">
      <c r="F1377" s="1121">
        <f t="shared" si="91"/>
        <v>-4.5515802363505685E-4</v>
      </c>
      <c r="G1377" s="1122"/>
      <c r="H1377" s="436">
        <v>42401</v>
      </c>
      <c r="I1377" s="738">
        <v>1939.38</v>
      </c>
      <c r="J1377" s="440">
        <f t="shared" si="90"/>
        <v>-4.4324413474616797E-4</v>
      </c>
      <c r="L1377" s="436">
        <v>42401</v>
      </c>
      <c r="M1377" s="738">
        <v>209.8</v>
      </c>
      <c r="N1377" s="115">
        <f t="shared" si="89"/>
        <v>-5.687203791469142E-3</v>
      </c>
      <c r="O1377" s="1121">
        <f t="shared" si="92"/>
        <v>-5.6991176803580313E-3</v>
      </c>
      <c r="P1377" s="1122"/>
    </row>
    <row r="1378" spans="6:16">
      <c r="F1378" s="1121">
        <f t="shared" si="91"/>
        <v>-1.8755017354945121E-2</v>
      </c>
      <c r="G1378" s="1122"/>
      <c r="H1378" s="436">
        <v>42402</v>
      </c>
      <c r="I1378" s="738">
        <v>1903.03</v>
      </c>
      <c r="J1378" s="440">
        <f t="shared" si="90"/>
        <v>-1.8743103466056232E-2</v>
      </c>
      <c r="L1378" s="436">
        <v>42402</v>
      </c>
      <c r="M1378" s="738">
        <v>210.45</v>
      </c>
      <c r="N1378" s="115">
        <f t="shared" si="89"/>
        <v>3.0981887511916106E-3</v>
      </c>
      <c r="O1378" s="1121">
        <f t="shared" si="92"/>
        <v>3.0862748623027218E-3</v>
      </c>
      <c r="P1378" s="1122"/>
    </row>
    <row r="1379" spans="6:16">
      <c r="F1379" s="1121">
        <f t="shared" si="91"/>
        <v>4.9801251225823828E-3</v>
      </c>
      <c r="G1379" s="1122"/>
      <c r="H1379" s="436">
        <v>42403</v>
      </c>
      <c r="I1379" s="738">
        <v>1912.53</v>
      </c>
      <c r="J1379" s="440">
        <f t="shared" si="90"/>
        <v>4.992039011471272E-3</v>
      </c>
      <c r="L1379" s="436">
        <v>42403</v>
      </c>
      <c r="M1379" s="738">
        <v>212.92</v>
      </c>
      <c r="N1379" s="115">
        <f t="shared" si="89"/>
        <v>1.1736754573532959E-2</v>
      </c>
      <c r="O1379" s="1121">
        <f t="shared" si="92"/>
        <v>1.1724840684644071E-2</v>
      </c>
      <c r="P1379" s="1122"/>
    </row>
    <row r="1380" spans="6:16">
      <c r="F1380" s="1121">
        <f t="shared" si="91"/>
        <v>1.5148595473447528E-3</v>
      </c>
      <c r="G1380" s="1122"/>
      <c r="H1380" s="436">
        <v>42404</v>
      </c>
      <c r="I1380" s="738">
        <v>1915.45</v>
      </c>
      <c r="J1380" s="440">
        <f t="shared" si="90"/>
        <v>1.5267734362336416E-3</v>
      </c>
      <c r="L1380" s="436">
        <v>42404</v>
      </c>
      <c r="M1380" s="738">
        <v>210.21</v>
      </c>
      <c r="N1380" s="115">
        <f t="shared" si="89"/>
        <v>-1.2727785083599397E-2</v>
      </c>
      <c r="O1380" s="1121">
        <f t="shared" si="92"/>
        <v>-1.2739698972488285E-2</v>
      </c>
      <c r="P1380" s="1122"/>
    </row>
    <row r="1381" spans="6:16">
      <c r="F1381" s="1121">
        <f t="shared" si="91"/>
        <v>-1.8493210712089765E-2</v>
      </c>
      <c r="G1381" s="1122"/>
      <c r="H1381" s="436">
        <v>42405</v>
      </c>
      <c r="I1381" s="738">
        <v>1880.05</v>
      </c>
      <c r="J1381" s="440">
        <f t="shared" si="90"/>
        <v>-1.8481296823200877E-2</v>
      </c>
      <c r="L1381" s="436">
        <v>42405</v>
      </c>
      <c r="M1381" s="738">
        <v>211.94</v>
      </c>
      <c r="N1381" s="115">
        <f t="shared" si="89"/>
        <v>8.2298653727224114E-3</v>
      </c>
      <c r="O1381" s="1121">
        <f t="shared" si="92"/>
        <v>8.217951483833523E-3</v>
      </c>
      <c r="P1381" s="1122"/>
    </row>
    <row r="1382" spans="6:16">
      <c r="F1382" s="1121">
        <f t="shared" si="91"/>
        <v>-1.4165792775088677E-2</v>
      </c>
      <c r="G1382" s="1122"/>
      <c r="H1382" s="436">
        <v>42408</v>
      </c>
      <c r="I1382" s="738">
        <v>1853.44</v>
      </c>
      <c r="J1382" s="440">
        <f t="shared" si="90"/>
        <v>-1.4153878886199789E-2</v>
      </c>
      <c r="L1382" s="436">
        <v>42408</v>
      </c>
      <c r="M1382" s="738">
        <v>214.53</v>
      </c>
      <c r="N1382" s="115">
        <f t="shared" si="89"/>
        <v>1.2220439747098188E-2</v>
      </c>
      <c r="O1382" s="1121">
        <f t="shared" si="92"/>
        <v>1.22085258582093E-2</v>
      </c>
      <c r="P1382" s="1122"/>
    </row>
    <row r="1383" spans="6:16">
      <c r="F1383" s="1121">
        <f t="shared" si="91"/>
        <v>-6.7554475905463234E-4</v>
      </c>
      <c r="G1383" s="1122"/>
      <c r="H1383" s="436">
        <v>42409</v>
      </c>
      <c r="I1383" s="738">
        <v>1852.21</v>
      </c>
      <c r="J1383" s="440">
        <f t="shared" si="90"/>
        <v>-6.636308701657434E-4</v>
      </c>
      <c r="L1383" s="436">
        <v>42409</v>
      </c>
      <c r="M1383" s="738">
        <v>215.98</v>
      </c>
      <c r="N1383" s="115">
        <f t="shared" si="89"/>
        <v>6.7589614506129436E-3</v>
      </c>
      <c r="O1383" s="1121">
        <f t="shared" si="92"/>
        <v>6.7470475617240544E-3</v>
      </c>
      <c r="P1383" s="1122"/>
    </row>
    <row r="1384" spans="6:16">
      <c r="F1384" s="1121">
        <f t="shared" si="91"/>
        <v>-2.0087734335683859E-4</v>
      </c>
      <c r="G1384" s="1122"/>
      <c r="H1384" s="436">
        <v>42410</v>
      </c>
      <c r="I1384" s="738">
        <v>1851.86</v>
      </c>
      <c r="J1384" s="440">
        <f t="shared" si="90"/>
        <v>-1.8896345446794971E-4</v>
      </c>
      <c r="L1384" s="436">
        <v>42410</v>
      </c>
      <c r="M1384" s="738">
        <v>213.95</v>
      </c>
      <c r="N1384" s="115">
        <f t="shared" si="89"/>
        <v>-9.3990184276322442E-3</v>
      </c>
      <c r="O1384" s="1121">
        <f t="shared" si="92"/>
        <v>-9.4109323165211325E-3</v>
      </c>
      <c r="P1384" s="1122"/>
    </row>
    <row r="1385" spans="6:16">
      <c r="F1385" s="1121">
        <f t="shared" si="91"/>
        <v>-1.2313059763847008E-2</v>
      </c>
      <c r="G1385" s="1122"/>
      <c r="H1385" s="436">
        <v>42411</v>
      </c>
      <c r="I1385" s="738">
        <v>1829.08</v>
      </c>
      <c r="J1385" s="440">
        <f t="shared" si="90"/>
        <v>-1.2301145874958119E-2</v>
      </c>
      <c r="L1385" s="436">
        <v>42411</v>
      </c>
      <c r="M1385" s="738">
        <v>207.18</v>
      </c>
      <c r="N1385" s="115">
        <f t="shared" si="89"/>
        <v>-3.1642907221313354E-2</v>
      </c>
      <c r="O1385" s="1121">
        <f t="shared" si="92"/>
        <v>-3.1654821110202243E-2</v>
      </c>
      <c r="P1385" s="1122"/>
    </row>
    <row r="1386" spans="6:16">
      <c r="F1386" s="1121">
        <f t="shared" si="91"/>
        <v>1.9506095164843022E-2</v>
      </c>
      <c r="G1386" s="1122"/>
      <c r="H1386" s="436">
        <v>42412</v>
      </c>
      <c r="I1386" s="738">
        <v>1864.78</v>
      </c>
      <c r="J1386" s="440">
        <f t="shared" si="90"/>
        <v>1.9518009053731911E-2</v>
      </c>
      <c r="L1386" s="436">
        <v>42412</v>
      </c>
      <c r="M1386" s="738">
        <v>206.08</v>
      </c>
      <c r="N1386" s="115">
        <f t="shared" si="89"/>
        <v>-5.3093927985325973E-3</v>
      </c>
      <c r="O1386" s="1121">
        <f t="shared" si="92"/>
        <v>-5.3213066874214865E-3</v>
      </c>
      <c r="P1386" s="1122"/>
    </row>
    <row r="1387" spans="6:16">
      <c r="F1387" s="1121">
        <f t="shared" si="91"/>
        <v>-1.1913888888888887E-5</v>
      </c>
      <c r="G1387" s="1122"/>
      <c r="H1387" s="436">
        <v>42415</v>
      </c>
      <c r="I1387" s="738">
        <v>1864.78</v>
      </c>
      <c r="J1387" s="440">
        <f t="shared" si="90"/>
        <v>0</v>
      </c>
      <c r="L1387" s="436">
        <v>42415</v>
      </c>
      <c r="M1387" s="738">
        <v>206.08</v>
      </c>
      <c r="N1387" s="115">
        <f t="shared" si="89"/>
        <v>0</v>
      </c>
      <c r="O1387" s="1121">
        <f t="shared" si="92"/>
        <v>-1.1913888888888887E-5</v>
      </c>
      <c r="P1387" s="1122"/>
    </row>
    <row r="1388" spans="6:16">
      <c r="F1388" s="1121">
        <f t="shared" si="91"/>
        <v>1.6504779769344162E-2</v>
      </c>
      <c r="G1388" s="1122"/>
      <c r="H1388" s="436">
        <v>42416</v>
      </c>
      <c r="I1388" s="738">
        <v>1895.58</v>
      </c>
      <c r="J1388" s="440">
        <f t="shared" si="90"/>
        <v>1.651669365823305E-2</v>
      </c>
      <c r="L1388" s="436">
        <v>42416</v>
      </c>
      <c r="M1388" s="738">
        <v>209</v>
      </c>
      <c r="N1388" s="115">
        <f t="shared" si="89"/>
        <v>1.4169254658384922E-2</v>
      </c>
      <c r="O1388" s="1121">
        <f t="shared" si="92"/>
        <v>1.4157340769496034E-2</v>
      </c>
      <c r="P1388" s="1122"/>
    </row>
    <row r="1389" spans="6:16">
      <c r="F1389" s="1121">
        <f t="shared" si="91"/>
        <v>1.6468530091317761E-2</v>
      </c>
      <c r="G1389" s="1122"/>
      <c r="H1389" s="436">
        <v>42417</v>
      </c>
      <c r="I1389" s="738">
        <v>1926.82</v>
      </c>
      <c r="J1389" s="440">
        <f t="shared" si="90"/>
        <v>1.6480443980206649E-2</v>
      </c>
      <c r="L1389" s="436">
        <v>42417</v>
      </c>
      <c r="M1389" s="738">
        <v>212.74</v>
      </c>
      <c r="N1389" s="115">
        <f t="shared" si="89"/>
        <v>1.7894736842105408E-2</v>
      </c>
      <c r="O1389" s="1121">
        <f t="shared" si="92"/>
        <v>1.7882822953216519E-2</v>
      </c>
      <c r="P1389" s="1122"/>
    </row>
    <row r="1390" spans="6:16">
      <c r="F1390" s="1121">
        <f t="shared" si="91"/>
        <v>-4.6776325341178005E-3</v>
      </c>
      <c r="G1390" s="1122"/>
      <c r="H1390" s="436">
        <v>42418</v>
      </c>
      <c r="I1390" s="738">
        <v>1917.83</v>
      </c>
      <c r="J1390" s="440">
        <f t="shared" si="90"/>
        <v>-4.6657186452289112E-3</v>
      </c>
      <c r="L1390" s="436">
        <v>42418</v>
      </c>
      <c r="M1390" s="738">
        <v>214.2</v>
      </c>
      <c r="N1390" s="115">
        <f t="shared" si="89"/>
        <v>6.8628372661463377E-3</v>
      </c>
      <c r="O1390" s="1121">
        <f t="shared" si="92"/>
        <v>6.8509233772574485E-3</v>
      </c>
      <c r="P1390" s="1122"/>
    </row>
    <row r="1391" spans="6:16">
      <c r="F1391" s="1121">
        <f t="shared" si="91"/>
        <v>-3.7985021366767286E-5</v>
      </c>
      <c r="G1391" s="1122"/>
      <c r="H1391" s="436">
        <v>42419</v>
      </c>
      <c r="I1391" s="738">
        <v>1917.78</v>
      </c>
      <c r="J1391" s="440">
        <f t="shared" si="90"/>
        <v>-2.60711324778784E-5</v>
      </c>
      <c r="L1391" s="436">
        <v>42419</v>
      </c>
      <c r="M1391" s="738">
        <v>213.62</v>
      </c>
      <c r="N1391" s="115">
        <f t="shared" si="89"/>
        <v>-2.7077497665731753E-3</v>
      </c>
      <c r="O1391" s="1121">
        <f t="shared" si="92"/>
        <v>-2.7196636554620642E-3</v>
      </c>
      <c r="P1391" s="1122"/>
    </row>
    <row r="1392" spans="6:16">
      <c r="F1392" s="1121">
        <f t="shared" si="91"/>
        <v>1.4442298794526402E-2</v>
      </c>
      <c r="G1392" s="1122"/>
      <c r="H1392" s="436">
        <v>42422</v>
      </c>
      <c r="I1392" s="738">
        <v>1945.5</v>
      </c>
      <c r="J1392" s="440">
        <f t="shared" si="90"/>
        <v>1.4454212683415291E-2</v>
      </c>
      <c r="L1392" s="436">
        <v>42422</v>
      </c>
      <c r="M1392" s="738">
        <v>215.01</v>
      </c>
      <c r="N1392" s="115">
        <f t="shared" si="89"/>
        <v>6.5068813781481438E-3</v>
      </c>
      <c r="O1392" s="1121">
        <f t="shared" si="92"/>
        <v>6.4949674892592546E-3</v>
      </c>
      <c r="P1392" s="1122"/>
    </row>
    <row r="1393" spans="6:16">
      <c r="F1393" s="1121">
        <f t="shared" si="91"/>
        <v>-1.2466295795853684E-2</v>
      </c>
      <c r="G1393" s="1122"/>
      <c r="H1393" s="436">
        <v>42423</v>
      </c>
      <c r="I1393" s="738">
        <v>1921.27</v>
      </c>
      <c r="J1393" s="440">
        <f t="shared" si="90"/>
        <v>-1.2454381906964795E-2</v>
      </c>
      <c r="L1393" s="436">
        <v>42423</v>
      </c>
      <c r="M1393" s="738">
        <v>215.15</v>
      </c>
      <c r="N1393" s="115">
        <f t="shared" ref="N1393:N1456" si="93">M1393/M1392-1</f>
        <v>6.511325054650019E-4</v>
      </c>
      <c r="O1393" s="1121">
        <f t="shared" si="92"/>
        <v>6.3921861657611297E-4</v>
      </c>
      <c r="P1393" s="1122"/>
    </row>
    <row r="1394" spans="6:16">
      <c r="F1394" s="1121">
        <f t="shared" si="91"/>
        <v>4.4278577205153413E-3</v>
      </c>
      <c r="G1394" s="1122"/>
      <c r="H1394" s="436">
        <v>42424</v>
      </c>
      <c r="I1394" s="738">
        <v>1929.8</v>
      </c>
      <c r="J1394" s="440">
        <f t="shared" si="90"/>
        <v>4.4397716094042305E-3</v>
      </c>
      <c r="L1394" s="436">
        <v>42424</v>
      </c>
      <c r="M1394" s="738">
        <v>216.63</v>
      </c>
      <c r="N1394" s="115">
        <f t="shared" si="93"/>
        <v>6.8789216825471122E-3</v>
      </c>
      <c r="O1394" s="1121">
        <f t="shared" si="92"/>
        <v>6.867007793658223E-3</v>
      </c>
      <c r="P1394" s="1122"/>
    </row>
    <row r="1395" spans="6:16">
      <c r="F1395" s="1121">
        <f t="shared" si="91"/>
        <v>1.1336412362536234E-2</v>
      </c>
      <c r="G1395" s="1122"/>
      <c r="H1395" s="436">
        <v>42425</v>
      </c>
      <c r="I1395" s="738">
        <v>1951.7</v>
      </c>
      <c r="J1395" s="440">
        <f t="shared" si="90"/>
        <v>1.1348326251425123E-2</v>
      </c>
      <c r="L1395" s="436">
        <v>42425</v>
      </c>
      <c r="M1395" s="738">
        <v>220.03</v>
      </c>
      <c r="N1395" s="115">
        <f t="shared" si="93"/>
        <v>1.5694963763098313E-2</v>
      </c>
      <c r="O1395" s="1121">
        <f t="shared" si="92"/>
        <v>1.5683049874209425E-2</v>
      </c>
      <c r="P1395" s="1122"/>
    </row>
    <row r="1396" spans="6:16">
      <c r="F1396" s="1121">
        <f t="shared" si="91"/>
        <v>-1.8820783608877252E-3</v>
      </c>
      <c r="G1396" s="1122"/>
      <c r="H1396" s="436">
        <v>42426</v>
      </c>
      <c r="I1396" s="738">
        <v>1948.05</v>
      </c>
      <c r="J1396" s="440">
        <f t="shared" si="90"/>
        <v>-1.8701644719988364E-3</v>
      </c>
      <c r="L1396" s="436">
        <v>42426</v>
      </c>
      <c r="M1396" s="738">
        <v>217.24</v>
      </c>
      <c r="N1396" s="115">
        <f t="shared" si="93"/>
        <v>-1.2680089078761947E-2</v>
      </c>
      <c r="O1396" s="1121">
        <f t="shared" si="92"/>
        <v>-1.2692002967650835E-2</v>
      </c>
      <c r="P1396" s="1122"/>
    </row>
    <row r="1397" spans="6:16">
      <c r="F1397" s="1121">
        <f t="shared" si="91"/>
        <v>-8.1328553431636655E-3</v>
      </c>
      <c r="G1397" s="1122"/>
      <c r="H1397" s="436">
        <v>42429</v>
      </c>
      <c r="I1397" s="738">
        <v>1932.23</v>
      </c>
      <c r="J1397" s="440">
        <f t="shared" si="90"/>
        <v>-8.1209414542747771E-3</v>
      </c>
      <c r="L1397" s="436">
        <v>42429</v>
      </c>
      <c r="M1397" s="738">
        <v>215.79</v>
      </c>
      <c r="N1397" s="115">
        <f t="shared" si="93"/>
        <v>-6.674645553305214E-3</v>
      </c>
      <c r="O1397" s="1121">
        <f t="shared" si="92"/>
        <v>-6.6865594421941033E-3</v>
      </c>
      <c r="P1397" s="1122"/>
    </row>
    <row r="1398" spans="6:16">
      <c r="F1398" s="1121">
        <f t="shared" si="91"/>
        <v>2.3856880198771406E-2</v>
      </c>
      <c r="G1398" s="1122"/>
      <c r="H1398" s="436">
        <v>42430</v>
      </c>
      <c r="I1398" s="738">
        <v>1978.35</v>
      </c>
      <c r="J1398" s="440">
        <f t="shared" si="90"/>
        <v>2.3868794087660294E-2</v>
      </c>
      <c r="L1398" s="436">
        <v>42430</v>
      </c>
      <c r="M1398" s="738">
        <v>218.13</v>
      </c>
      <c r="N1398" s="115">
        <f t="shared" si="93"/>
        <v>1.0843875990546481E-2</v>
      </c>
      <c r="O1398" s="1121">
        <f t="shared" si="92"/>
        <v>1.0831962101657593E-2</v>
      </c>
      <c r="P1398" s="1122"/>
    </row>
    <row r="1399" spans="6:16">
      <c r="F1399" s="1121">
        <f t="shared" si="91"/>
        <v>4.0824071362078806E-3</v>
      </c>
      <c r="G1399" s="1122"/>
      <c r="H1399" s="436">
        <v>42431</v>
      </c>
      <c r="I1399" s="738">
        <v>1986.45</v>
      </c>
      <c r="J1399" s="440">
        <f t="shared" si="90"/>
        <v>4.0943210250967699E-3</v>
      </c>
      <c r="L1399" s="436">
        <v>42431</v>
      </c>
      <c r="M1399" s="738">
        <v>217.2</v>
      </c>
      <c r="N1399" s="115">
        <f t="shared" si="93"/>
        <v>-4.2635125842387378E-3</v>
      </c>
      <c r="O1399" s="1121">
        <f t="shared" si="92"/>
        <v>-4.2754264731276271E-3</v>
      </c>
      <c r="P1399" s="1122"/>
    </row>
    <row r="1400" spans="6:16">
      <c r="F1400" s="1121">
        <f t="shared" si="91"/>
        <v>3.4867898287985681E-3</v>
      </c>
      <c r="G1400" s="1122"/>
      <c r="H1400" s="436">
        <v>42432</v>
      </c>
      <c r="I1400" s="738">
        <v>1993.4</v>
      </c>
      <c r="J1400" s="440">
        <f t="shared" si="90"/>
        <v>3.4987037176874569E-3</v>
      </c>
      <c r="L1400" s="436">
        <v>42432</v>
      </c>
      <c r="M1400" s="738">
        <v>218.52</v>
      </c>
      <c r="N1400" s="115">
        <f t="shared" si="93"/>
        <v>6.0773480662983381E-3</v>
      </c>
      <c r="O1400" s="1121">
        <f t="shared" si="92"/>
        <v>6.0654341774094489E-3</v>
      </c>
      <c r="P1400" s="1122"/>
    </row>
    <row r="1401" spans="6:16">
      <c r="F1401" s="1121">
        <f t="shared" si="91"/>
        <v>3.2939956124654539E-3</v>
      </c>
      <c r="G1401" s="1122"/>
      <c r="H1401" s="436">
        <v>42433</v>
      </c>
      <c r="I1401" s="738">
        <v>1999.99</v>
      </c>
      <c r="J1401" s="440">
        <f t="shared" si="90"/>
        <v>3.3059095013543427E-3</v>
      </c>
      <c r="L1401" s="436">
        <v>42433</v>
      </c>
      <c r="M1401" s="738">
        <v>218.72</v>
      </c>
      <c r="N1401" s="115">
        <f t="shared" si="93"/>
        <v>9.1524803221676443E-4</v>
      </c>
      <c r="O1401" s="1121">
        <f t="shared" si="92"/>
        <v>9.033341433278755E-4</v>
      </c>
      <c r="P1401" s="1122"/>
    </row>
    <row r="1402" spans="6:16">
      <c r="F1402" s="1121">
        <f t="shared" si="91"/>
        <v>8.7309053613326222E-4</v>
      </c>
      <c r="G1402" s="1122"/>
      <c r="H1402" s="436">
        <v>42436</v>
      </c>
      <c r="I1402" s="738">
        <v>2001.76</v>
      </c>
      <c r="J1402" s="440">
        <f t="shared" si="90"/>
        <v>8.8500442502215115E-4</v>
      </c>
      <c r="L1402" s="436">
        <v>42436</v>
      </c>
      <c r="M1402" s="738">
        <v>215.84</v>
      </c>
      <c r="N1402" s="115">
        <f t="shared" si="93"/>
        <v>-1.3167520117044584E-2</v>
      </c>
      <c r="O1402" s="1121">
        <f t="shared" si="92"/>
        <v>-1.3179434005933473E-2</v>
      </c>
      <c r="P1402" s="1122"/>
    </row>
    <row r="1403" spans="6:16">
      <c r="F1403" s="1121">
        <f t="shared" si="91"/>
        <v>-1.1252022593229112E-2</v>
      </c>
      <c r="G1403" s="1122"/>
      <c r="H1403" s="436">
        <v>42437</v>
      </c>
      <c r="I1403" s="738">
        <v>1979.26</v>
      </c>
      <c r="J1403" s="440">
        <f t="shared" si="90"/>
        <v>-1.1240108704340224E-2</v>
      </c>
      <c r="L1403" s="436">
        <v>42437</v>
      </c>
      <c r="M1403" s="738">
        <v>215.34</v>
      </c>
      <c r="N1403" s="115">
        <f t="shared" si="93"/>
        <v>-2.316530763528557E-3</v>
      </c>
      <c r="O1403" s="1121">
        <f t="shared" si="92"/>
        <v>-2.3284446524174458E-3</v>
      </c>
      <c r="P1403" s="1122"/>
    </row>
    <row r="1404" spans="6:16">
      <c r="F1404" s="1121">
        <f t="shared" si="91"/>
        <v>5.0404794298260979E-3</v>
      </c>
      <c r="G1404" s="1122"/>
      <c r="H1404" s="436">
        <v>42438</v>
      </c>
      <c r="I1404" s="738">
        <v>1989.26</v>
      </c>
      <c r="J1404" s="440">
        <f t="shared" si="90"/>
        <v>5.0523933187149872E-3</v>
      </c>
      <c r="L1404" s="436">
        <v>42438</v>
      </c>
      <c r="M1404" s="738">
        <v>216.41</v>
      </c>
      <c r="N1404" s="115">
        <f t="shared" si="93"/>
        <v>4.9688864121852916E-3</v>
      </c>
      <c r="O1404" s="1121">
        <f t="shared" si="92"/>
        <v>4.9569725232964023E-3</v>
      </c>
      <c r="P1404" s="1122"/>
    </row>
    <row r="1405" spans="6:16">
      <c r="F1405" s="1121">
        <f t="shared" si="91"/>
        <v>1.4392295496256459E-4</v>
      </c>
      <c r="G1405" s="1122"/>
      <c r="H1405" s="436">
        <v>42439</v>
      </c>
      <c r="I1405" s="738">
        <v>1989.57</v>
      </c>
      <c r="J1405" s="440">
        <f t="shared" si="90"/>
        <v>1.5583684385145347E-4</v>
      </c>
      <c r="L1405" s="436">
        <v>42439</v>
      </c>
      <c r="M1405" s="738">
        <v>216.56</v>
      </c>
      <c r="N1405" s="115">
        <f t="shared" si="93"/>
        <v>6.9312878332805639E-4</v>
      </c>
      <c r="O1405" s="1121">
        <f t="shared" si="92"/>
        <v>6.8121489443916745E-4</v>
      </c>
      <c r="P1405" s="1122"/>
    </row>
    <row r="1406" spans="6:16">
      <c r="F1406" s="1121">
        <f t="shared" si="91"/>
        <v>1.6383588656887375E-2</v>
      </c>
      <c r="G1406" s="1122"/>
      <c r="H1406" s="436">
        <v>42440</v>
      </c>
      <c r="I1406" s="738">
        <v>2022.19</v>
      </c>
      <c r="J1406" s="440">
        <f t="shared" si="90"/>
        <v>1.6395502545776264E-2</v>
      </c>
      <c r="L1406" s="436">
        <v>42440</v>
      </c>
      <c r="M1406" s="738">
        <v>217.05</v>
      </c>
      <c r="N1406" s="115">
        <f t="shared" si="93"/>
        <v>2.2626523827116163E-3</v>
      </c>
      <c r="O1406" s="1121">
        <f t="shared" si="92"/>
        <v>2.2507384938227275E-3</v>
      </c>
      <c r="P1406" s="1122"/>
    </row>
    <row r="1407" spans="6:16">
      <c r="F1407" s="1121">
        <f t="shared" si="91"/>
        <v>-1.272922992880073E-3</v>
      </c>
      <c r="G1407" s="1122"/>
      <c r="H1407" s="436">
        <v>42443</v>
      </c>
      <c r="I1407" s="738">
        <v>2019.64</v>
      </c>
      <c r="J1407" s="440">
        <f t="shared" si="90"/>
        <v>-1.2610091039911842E-3</v>
      </c>
      <c r="L1407" s="436">
        <v>42443</v>
      </c>
      <c r="M1407" s="738">
        <v>216.6</v>
      </c>
      <c r="N1407" s="115">
        <f t="shared" si="93"/>
        <v>-2.0732550103663705E-3</v>
      </c>
      <c r="O1407" s="1121">
        <f t="shared" si="92"/>
        <v>-2.0851688992552593E-3</v>
      </c>
      <c r="P1407" s="1122"/>
    </row>
    <row r="1408" spans="6:16">
      <c r="F1408" s="1121">
        <f t="shared" si="91"/>
        <v>-1.8488749314509241E-3</v>
      </c>
      <c r="G1408" s="1122"/>
      <c r="H1408" s="436">
        <v>42444</v>
      </c>
      <c r="I1408" s="738">
        <v>2015.93</v>
      </c>
      <c r="J1408" s="440">
        <f t="shared" si="90"/>
        <v>-1.8369610425620353E-3</v>
      </c>
      <c r="L1408" s="436">
        <v>42444</v>
      </c>
      <c r="M1408" s="738">
        <v>217.05</v>
      </c>
      <c r="N1408" s="115">
        <f t="shared" si="93"/>
        <v>2.0775623268698418E-3</v>
      </c>
      <c r="O1408" s="1121">
        <f t="shared" si="92"/>
        <v>2.0656484379809529E-3</v>
      </c>
      <c r="P1408" s="1122"/>
    </row>
    <row r="1409" spans="6:16">
      <c r="F1409" s="1121">
        <f t="shared" si="91"/>
        <v>5.5884789818952873E-3</v>
      </c>
      <c r="G1409" s="1122"/>
      <c r="H1409" s="436">
        <v>42445</v>
      </c>
      <c r="I1409" s="738">
        <v>2027.22</v>
      </c>
      <c r="J1409" s="440">
        <f t="shared" si="90"/>
        <v>5.6003928707841766E-3</v>
      </c>
      <c r="L1409" s="436">
        <v>42445</v>
      </c>
      <c r="M1409" s="738">
        <v>218.19</v>
      </c>
      <c r="N1409" s="115">
        <f t="shared" si="93"/>
        <v>5.2522460262611759E-3</v>
      </c>
      <c r="O1409" s="1121">
        <f t="shared" si="92"/>
        <v>5.2403321373722866E-3</v>
      </c>
      <c r="P1409" s="1122"/>
    </row>
    <row r="1410" spans="6:16">
      <c r="F1410" s="1121">
        <f t="shared" si="91"/>
        <v>6.5833249110439562E-3</v>
      </c>
      <c r="G1410" s="1122"/>
      <c r="H1410" s="436">
        <v>42446</v>
      </c>
      <c r="I1410" s="738">
        <v>2040.59</v>
      </c>
      <c r="J1410" s="440">
        <f t="shared" si="90"/>
        <v>6.5952387999328455E-3</v>
      </c>
      <c r="L1410" s="436">
        <v>42446</v>
      </c>
      <c r="M1410" s="738">
        <v>219.25</v>
      </c>
      <c r="N1410" s="115">
        <f t="shared" si="93"/>
        <v>4.85815115266508E-3</v>
      </c>
      <c r="O1410" s="1121">
        <f t="shared" si="92"/>
        <v>4.8462372637761908E-3</v>
      </c>
      <c r="P1410" s="1122"/>
    </row>
    <row r="1411" spans="6:16">
      <c r="F1411" s="1121">
        <f t="shared" si="91"/>
        <v>4.3936746908846891E-3</v>
      </c>
      <c r="G1411" s="1122"/>
      <c r="H1411" s="436">
        <v>42447</v>
      </c>
      <c r="I1411" s="738">
        <v>2049.58</v>
      </c>
      <c r="J1411" s="440">
        <f t="shared" si="90"/>
        <v>4.4055885797735783E-3</v>
      </c>
      <c r="L1411" s="436">
        <v>42447</v>
      </c>
      <c r="M1411" s="738">
        <v>220.91</v>
      </c>
      <c r="N1411" s="115">
        <f t="shared" si="93"/>
        <v>7.5712656784492349E-3</v>
      </c>
      <c r="O1411" s="1121">
        <f t="shared" si="92"/>
        <v>7.5593517895603457E-3</v>
      </c>
      <c r="P1411" s="1122"/>
    </row>
    <row r="1412" spans="6:16">
      <c r="F1412" s="1121">
        <f t="shared" si="91"/>
        <v>9.7365388597225129E-4</v>
      </c>
      <c r="G1412" s="1122"/>
      <c r="H1412" s="436">
        <v>42450</v>
      </c>
      <c r="I1412" s="738">
        <v>2051.6</v>
      </c>
      <c r="J1412" s="440">
        <f t="shared" si="90"/>
        <v>9.8556777486114022E-4</v>
      </c>
      <c r="L1412" s="436">
        <v>42450</v>
      </c>
      <c r="M1412" s="738">
        <v>221.26</v>
      </c>
      <c r="N1412" s="115">
        <f t="shared" si="93"/>
        <v>1.5843556199357511E-3</v>
      </c>
      <c r="O1412" s="1121">
        <f t="shared" si="92"/>
        <v>1.5724417310468623E-3</v>
      </c>
      <c r="P1412" s="1122"/>
    </row>
    <row r="1413" spans="6:16">
      <c r="F1413" s="1121">
        <f t="shared" si="91"/>
        <v>-8.8927789746740731E-4</v>
      </c>
      <c r="G1413" s="1122"/>
      <c r="H1413" s="436">
        <v>42451</v>
      </c>
      <c r="I1413" s="738">
        <v>2049.8000000000002</v>
      </c>
      <c r="J1413" s="440">
        <f t="shared" si="90"/>
        <v>-8.7736400857851837E-4</v>
      </c>
      <c r="L1413" s="436">
        <v>42451</v>
      </c>
      <c r="M1413" s="738">
        <v>220.73</v>
      </c>
      <c r="N1413" s="115">
        <f t="shared" si="93"/>
        <v>-2.3953719605893653E-3</v>
      </c>
      <c r="O1413" s="1121">
        <f t="shared" si="92"/>
        <v>-2.4072858494782541E-3</v>
      </c>
      <c r="P1413" s="1122"/>
    </row>
    <row r="1414" spans="6:16">
      <c r="F1414" s="1121">
        <f t="shared" si="91"/>
        <v>-6.3979027658525112E-3</v>
      </c>
      <c r="G1414" s="1122"/>
      <c r="H1414" s="436">
        <v>42452</v>
      </c>
      <c r="I1414" s="738">
        <v>2036.71</v>
      </c>
      <c r="J1414" s="440">
        <f t="shared" si="90"/>
        <v>-6.3859888769636219E-3</v>
      </c>
      <c r="L1414" s="436">
        <v>42452</v>
      </c>
      <c r="M1414" s="738">
        <v>221.26</v>
      </c>
      <c r="N1414" s="115">
        <f t="shared" si="93"/>
        <v>2.4011235446019796E-3</v>
      </c>
      <c r="O1414" s="1121">
        <f t="shared" si="92"/>
        <v>2.3892096557130908E-3</v>
      </c>
      <c r="P1414" s="1122"/>
    </row>
    <row r="1415" spans="6:16">
      <c r="F1415" s="1121">
        <f t="shared" si="91"/>
        <v>-3.8997458481516333E-4</v>
      </c>
      <c r="G1415" s="1122"/>
      <c r="H1415" s="436">
        <v>42453</v>
      </c>
      <c r="I1415" s="738">
        <v>2035.94</v>
      </c>
      <c r="J1415" s="440">
        <f t="shared" si="90"/>
        <v>-3.7806069592627445E-4</v>
      </c>
      <c r="L1415" s="436">
        <v>42453</v>
      </c>
      <c r="M1415" s="738">
        <v>218</v>
      </c>
      <c r="N1415" s="115">
        <f t="shared" si="93"/>
        <v>-1.4733797342492916E-2</v>
      </c>
      <c r="O1415" s="1121">
        <f t="shared" si="92"/>
        <v>-1.4745711231381804E-2</v>
      </c>
      <c r="P1415" s="1122"/>
    </row>
    <row r="1416" spans="6:16">
      <c r="F1416" s="1121">
        <f t="shared" si="91"/>
        <v>-1.1913888888888887E-5</v>
      </c>
      <c r="G1416" s="1122"/>
      <c r="H1416" s="436">
        <v>42454</v>
      </c>
      <c r="I1416" s="738">
        <v>2035.94</v>
      </c>
      <c r="J1416" s="440">
        <f t="shared" si="90"/>
        <v>0</v>
      </c>
      <c r="L1416" s="436">
        <v>42454</v>
      </c>
      <c r="M1416" s="738">
        <v>218</v>
      </c>
      <c r="N1416" s="115">
        <f t="shared" si="93"/>
        <v>0</v>
      </c>
      <c r="O1416" s="1121">
        <f t="shared" si="92"/>
        <v>-1.1913888888888887E-5</v>
      </c>
      <c r="P1416" s="1122"/>
    </row>
    <row r="1417" spans="6:16">
      <c r="F1417" s="1121">
        <f t="shared" si="91"/>
        <v>5.3328881846003513E-4</v>
      </c>
      <c r="G1417" s="1122"/>
      <c r="H1417" s="436">
        <v>42457</v>
      </c>
      <c r="I1417" s="738">
        <v>2037.05</v>
      </c>
      <c r="J1417" s="440">
        <f t="shared" si="90"/>
        <v>5.4520270734892406E-4</v>
      </c>
      <c r="L1417" s="436">
        <v>42457</v>
      </c>
      <c r="M1417" s="738">
        <v>219.06</v>
      </c>
      <c r="N1417" s="115">
        <f t="shared" si="93"/>
        <v>4.8623853211009482E-3</v>
      </c>
      <c r="O1417" s="1121">
        <f t="shared" si="92"/>
        <v>4.850471432212059E-3</v>
      </c>
      <c r="P1417" s="1122"/>
    </row>
    <row r="1418" spans="6:16">
      <c r="F1418" s="1121">
        <f t="shared" si="91"/>
        <v>8.804757277749313E-3</v>
      </c>
      <c r="G1418" s="1122"/>
      <c r="H1418" s="436">
        <v>42458</v>
      </c>
      <c r="I1418" s="738">
        <v>2055.0100000000002</v>
      </c>
      <c r="J1418" s="440">
        <f t="shared" si="90"/>
        <v>8.8166711666382014E-3</v>
      </c>
      <c r="L1418" s="436">
        <v>42458</v>
      </c>
      <c r="M1418" s="738">
        <v>220.76</v>
      </c>
      <c r="N1418" s="115">
        <f t="shared" si="93"/>
        <v>7.7604309321646081E-3</v>
      </c>
      <c r="O1418" s="1121">
        <f t="shared" si="92"/>
        <v>7.7485170432757189E-3</v>
      </c>
      <c r="P1418" s="1122"/>
    </row>
    <row r="1419" spans="6:16">
      <c r="F1419" s="1121">
        <f t="shared" si="91"/>
        <v>4.3384299050584973E-3</v>
      </c>
      <c r="G1419" s="1122"/>
      <c r="H1419" s="436">
        <v>42459</v>
      </c>
      <c r="I1419" s="738">
        <v>2063.9499999999998</v>
      </c>
      <c r="J1419" s="440">
        <f t="shared" si="90"/>
        <v>4.3503437939473866E-3</v>
      </c>
      <c r="L1419" s="436">
        <v>42459</v>
      </c>
      <c r="M1419" s="738">
        <v>222.96</v>
      </c>
      <c r="N1419" s="115">
        <f t="shared" si="93"/>
        <v>9.9655734734553914E-3</v>
      </c>
      <c r="O1419" s="1121">
        <f t="shared" si="92"/>
        <v>9.953659584566503E-3</v>
      </c>
      <c r="P1419" s="1122"/>
    </row>
    <row r="1420" spans="6:16">
      <c r="F1420" s="1121">
        <f t="shared" si="91"/>
        <v>-2.051691984288458E-3</v>
      </c>
      <c r="G1420" s="1122"/>
      <c r="H1420" s="436">
        <v>42460</v>
      </c>
      <c r="I1420" s="738">
        <v>2059.7399999999998</v>
      </c>
      <c r="J1420" s="440">
        <f t="shared" si="90"/>
        <v>-2.0397780953995692E-3</v>
      </c>
      <c r="L1420" s="436">
        <v>42460</v>
      </c>
      <c r="M1420" s="738">
        <v>221.5</v>
      </c>
      <c r="N1420" s="115">
        <f t="shared" si="93"/>
        <v>-6.5482597775385898E-3</v>
      </c>
      <c r="O1420" s="1121">
        <f t="shared" si="92"/>
        <v>-6.560173666427479E-3</v>
      </c>
      <c r="P1420" s="1122"/>
    </row>
    <row r="1421" spans="6:16">
      <c r="F1421" s="1121">
        <f t="shared" si="91"/>
        <v>6.3189822436328013E-3</v>
      </c>
      <c r="G1421" s="1122"/>
      <c r="H1421" s="436">
        <v>42461</v>
      </c>
      <c r="I1421" s="738">
        <v>2072.7800000000002</v>
      </c>
      <c r="J1421" s="440">
        <f t="shared" si="90"/>
        <v>6.3308961325216906E-3</v>
      </c>
      <c r="L1421" s="436">
        <v>42461</v>
      </c>
      <c r="M1421" s="738">
        <v>223.11</v>
      </c>
      <c r="N1421" s="115">
        <f t="shared" si="93"/>
        <v>7.2686230248306671E-3</v>
      </c>
      <c r="O1421" s="1121">
        <f t="shared" si="92"/>
        <v>7.2567091359417779E-3</v>
      </c>
      <c r="P1421" s="1122"/>
    </row>
    <row r="1422" spans="6:16">
      <c r="F1422" s="1121">
        <f t="shared" si="91"/>
        <v>-3.2201656088013471E-3</v>
      </c>
      <c r="G1422" s="1122"/>
      <c r="H1422" s="436">
        <v>42464</v>
      </c>
      <c r="I1422" s="738">
        <v>2066.13</v>
      </c>
      <c r="J1422" s="440">
        <f t="shared" si="90"/>
        <v>-3.2082517199124583E-3</v>
      </c>
      <c r="L1422" s="436">
        <v>42464</v>
      </c>
      <c r="M1422" s="738">
        <v>224.13</v>
      </c>
      <c r="N1422" s="115">
        <f t="shared" si="93"/>
        <v>4.5717359150194703E-3</v>
      </c>
      <c r="O1422" s="1121">
        <f t="shared" si="92"/>
        <v>4.559822026130581E-3</v>
      </c>
      <c r="P1422" s="1122"/>
    </row>
    <row r="1423" spans="6:16">
      <c r="F1423" s="1121">
        <f t="shared" si="91"/>
        <v>-1.0156483688465896E-2</v>
      </c>
      <c r="G1423" s="1122"/>
      <c r="H1423" s="436">
        <v>42465</v>
      </c>
      <c r="I1423" s="738">
        <v>2045.17</v>
      </c>
      <c r="J1423" s="440">
        <f t="shared" si="90"/>
        <v>-1.0144569799577008E-2</v>
      </c>
      <c r="L1423" s="436">
        <v>42465</v>
      </c>
      <c r="M1423" s="738">
        <v>225.62</v>
      </c>
      <c r="N1423" s="115">
        <f t="shared" si="93"/>
        <v>6.6479275420514572E-3</v>
      </c>
      <c r="O1423" s="1121">
        <f t="shared" si="92"/>
        <v>6.6360136531625679E-3</v>
      </c>
      <c r="P1423" s="1122"/>
    </row>
    <row r="1424" spans="6:16">
      <c r="F1424" s="1121">
        <f t="shared" si="91"/>
        <v>1.0495770068923764E-2</v>
      </c>
      <c r="G1424" s="1122"/>
      <c r="H1424" s="436">
        <v>42466</v>
      </c>
      <c r="I1424" s="738">
        <v>2066.66</v>
      </c>
      <c r="J1424" s="440">
        <f t="shared" si="90"/>
        <v>1.0507683957812652E-2</v>
      </c>
      <c r="L1424" s="436">
        <v>42466</v>
      </c>
      <c r="M1424" s="738">
        <v>226.63</v>
      </c>
      <c r="N1424" s="115">
        <f t="shared" si="93"/>
        <v>4.4765534970303555E-3</v>
      </c>
      <c r="O1424" s="1121">
        <f t="shared" si="92"/>
        <v>4.4646396081414663E-3</v>
      </c>
      <c r="P1424" s="1122"/>
    </row>
    <row r="1425" spans="6:16">
      <c r="F1425" s="1121">
        <f t="shared" si="91"/>
        <v>-1.1987758972260017E-2</v>
      </c>
      <c r="G1425" s="1122"/>
      <c r="H1425" s="436">
        <v>42467</v>
      </c>
      <c r="I1425" s="738">
        <v>2041.91</v>
      </c>
      <c r="J1425" s="440">
        <f t="shared" si="90"/>
        <v>-1.1975845083371128E-2</v>
      </c>
      <c r="L1425" s="436">
        <v>42467</v>
      </c>
      <c r="M1425" s="738">
        <v>226.48</v>
      </c>
      <c r="N1425" s="115">
        <f t="shared" si="93"/>
        <v>-6.6187177337517777E-4</v>
      </c>
      <c r="O1425" s="1121">
        <f t="shared" si="92"/>
        <v>-6.7378566226406671E-4</v>
      </c>
      <c r="P1425" s="1122"/>
    </row>
    <row r="1426" spans="6:16">
      <c r="F1426" s="1121">
        <f t="shared" si="91"/>
        <v>2.7746927686033078E-3</v>
      </c>
      <c r="G1426" s="1122"/>
      <c r="H1426" s="436">
        <v>42468</v>
      </c>
      <c r="I1426" s="738">
        <v>2047.6</v>
      </c>
      <c r="J1426" s="440">
        <f t="shared" si="90"/>
        <v>2.7866066574921966E-3</v>
      </c>
      <c r="L1426" s="436">
        <v>42468</v>
      </c>
      <c r="M1426" s="738">
        <v>226.3</v>
      </c>
      <c r="N1426" s="115">
        <f t="shared" si="93"/>
        <v>-7.9477216531254058E-4</v>
      </c>
      <c r="O1426" s="1121">
        <f t="shared" si="92"/>
        <v>-8.0668605420142951E-4</v>
      </c>
      <c r="P1426" s="1122"/>
    </row>
    <row r="1427" spans="6:16">
      <c r="F1427" s="1121">
        <f t="shared" si="91"/>
        <v>-2.7517068171951727E-3</v>
      </c>
      <c r="G1427" s="1122"/>
      <c r="H1427" s="436">
        <v>42471</v>
      </c>
      <c r="I1427" s="738">
        <v>2041.99</v>
      </c>
      <c r="J1427" s="440">
        <f t="shared" si="90"/>
        <v>-2.7397929283062838E-3</v>
      </c>
      <c r="L1427" s="436">
        <v>42471</v>
      </c>
      <c r="M1427" s="738">
        <v>224.65</v>
      </c>
      <c r="N1427" s="115">
        <f t="shared" si="93"/>
        <v>-7.2912063632346591E-3</v>
      </c>
      <c r="O1427" s="1121">
        <f t="shared" si="92"/>
        <v>-7.3031202521235484E-3</v>
      </c>
      <c r="P1427" s="1122"/>
    </row>
    <row r="1428" spans="6:16">
      <c r="F1428" s="1121">
        <f t="shared" si="91"/>
        <v>9.650229412498372E-3</v>
      </c>
      <c r="G1428" s="1122"/>
      <c r="H1428" s="436">
        <v>42472</v>
      </c>
      <c r="I1428" s="738">
        <v>2061.7199999999998</v>
      </c>
      <c r="J1428" s="440">
        <f t="shared" si="90"/>
        <v>9.6621433013872604E-3</v>
      </c>
      <c r="L1428" s="436">
        <v>42472</v>
      </c>
      <c r="M1428" s="738">
        <v>225.98</v>
      </c>
      <c r="N1428" s="115">
        <f t="shared" si="93"/>
        <v>5.9203204985531777E-3</v>
      </c>
      <c r="O1428" s="1121">
        <f t="shared" si="92"/>
        <v>5.9084066096642884E-3</v>
      </c>
      <c r="P1428" s="1122"/>
    </row>
    <row r="1429" spans="6:16">
      <c r="F1429" s="1121">
        <f t="shared" si="91"/>
        <v>1.0028246753681518E-2</v>
      </c>
      <c r="G1429" s="1122"/>
      <c r="H1429" s="436">
        <v>42473</v>
      </c>
      <c r="I1429" s="738">
        <v>2082.42</v>
      </c>
      <c r="J1429" s="440">
        <f t="shared" si="90"/>
        <v>1.0040160642570406E-2</v>
      </c>
      <c r="L1429" s="436">
        <v>42473</v>
      </c>
      <c r="M1429" s="738">
        <v>226.38</v>
      </c>
      <c r="N1429" s="115">
        <f t="shared" si="93"/>
        <v>1.7700681476238156E-3</v>
      </c>
      <c r="O1429" s="1121">
        <f t="shared" si="92"/>
        <v>1.7581542587349268E-3</v>
      </c>
      <c r="P1429" s="1122"/>
    </row>
    <row r="1430" spans="6:16">
      <c r="F1430" s="1121">
        <f t="shared" si="91"/>
        <v>1.6096189985691879E-4</v>
      </c>
      <c r="G1430" s="1122"/>
      <c r="H1430" s="436">
        <v>42474</v>
      </c>
      <c r="I1430" s="738">
        <v>2082.7800000000002</v>
      </c>
      <c r="J1430" s="440">
        <f t="shared" si="90"/>
        <v>1.7287578874580767E-4</v>
      </c>
      <c r="L1430" s="436">
        <v>42474</v>
      </c>
      <c r="M1430" s="738">
        <v>225.44</v>
      </c>
      <c r="N1430" s="115">
        <f t="shared" si="93"/>
        <v>-4.1523102747592633E-3</v>
      </c>
      <c r="O1430" s="1121">
        <f t="shared" si="92"/>
        <v>-4.1642241636481525E-3</v>
      </c>
      <c r="P1430" s="1122"/>
    </row>
    <row r="1431" spans="6:16">
      <c r="F1431" s="1121">
        <f t="shared" si="91"/>
        <v>-9.9617530872209885E-4</v>
      </c>
      <c r="G1431" s="1122"/>
      <c r="H1431" s="436">
        <v>42475</v>
      </c>
      <c r="I1431" s="738">
        <v>2080.73</v>
      </c>
      <c r="J1431" s="440">
        <f t="shared" si="90"/>
        <v>-9.8426141983321003E-4</v>
      </c>
      <c r="L1431" s="436">
        <v>42475</v>
      </c>
      <c r="M1431" s="738">
        <v>225.81</v>
      </c>
      <c r="N1431" s="115">
        <f t="shared" si="93"/>
        <v>1.641234918381862E-3</v>
      </c>
      <c r="O1431" s="1121">
        <f t="shared" si="92"/>
        <v>1.6293210294929731E-3</v>
      </c>
      <c r="P1431" s="1122"/>
    </row>
    <row r="1432" spans="6:16">
      <c r="F1432" s="1121">
        <f t="shared" si="91"/>
        <v>6.5290597117225657E-3</v>
      </c>
      <c r="G1432" s="1122"/>
      <c r="H1432" s="436">
        <v>42478</v>
      </c>
      <c r="I1432" s="738">
        <v>2094.34</v>
      </c>
      <c r="J1432" s="440">
        <f t="shared" si="90"/>
        <v>6.5409736006114549E-3</v>
      </c>
      <c r="L1432" s="436">
        <v>42478</v>
      </c>
      <c r="M1432" s="738">
        <v>227.14</v>
      </c>
      <c r="N1432" s="115">
        <f t="shared" si="93"/>
        <v>5.889907444311504E-3</v>
      </c>
      <c r="O1432" s="1121">
        <f t="shared" si="92"/>
        <v>5.8779935554226148E-3</v>
      </c>
      <c r="P1432" s="1122"/>
    </row>
    <row r="1433" spans="6:16">
      <c r="F1433" s="1121">
        <f t="shared" si="91"/>
        <v>3.0725900598490489E-3</v>
      </c>
      <c r="G1433" s="1122"/>
      <c r="H1433" s="436">
        <v>42479</v>
      </c>
      <c r="I1433" s="738">
        <v>2100.8000000000002</v>
      </c>
      <c r="J1433" s="440">
        <f t="shared" si="90"/>
        <v>3.0845039487379378E-3</v>
      </c>
      <c r="L1433" s="436">
        <v>42479</v>
      </c>
      <c r="M1433" s="738">
        <v>226.51</v>
      </c>
      <c r="N1433" s="115">
        <f t="shared" si="93"/>
        <v>-2.7736197939596252E-3</v>
      </c>
      <c r="O1433" s="1121">
        <f t="shared" si="92"/>
        <v>-2.785533682848514E-3</v>
      </c>
      <c r="P1433" s="1122"/>
    </row>
    <row r="1434" spans="6:16">
      <c r="F1434" s="1121">
        <f t="shared" si="91"/>
        <v>7.497007341118392E-4</v>
      </c>
      <c r="G1434" s="1122"/>
      <c r="H1434" s="436">
        <v>42480</v>
      </c>
      <c r="I1434" s="738">
        <v>2102.4</v>
      </c>
      <c r="J1434" s="440">
        <f t="shared" si="90"/>
        <v>7.6161462300072813E-4</v>
      </c>
      <c r="L1434" s="436">
        <v>42480</v>
      </c>
      <c r="M1434" s="738">
        <v>226.58</v>
      </c>
      <c r="N1434" s="115">
        <f t="shared" si="93"/>
        <v>3.0903712860363974E-4</v>
      </c>
      <c r="O1434" s="1121">
        <f t="shared" si="92"/>
        <v>2.9712323971475086E-4</v>
      </c>
      <c r="P1434" s="1122"/>
    </row>
    <row r="1435" spans="6:16">
      <c r="F1435" s="1121">
        <f t="shared" si="91"/>
        <v>-5.2059778158295511E-3</v>
      </c>
      <c r="G1435" s="1122"/>
      <c r="H1435" s="436">
        <v>42481</v>
      </c>
      <c r="I1435" s="738">
        <v>2091.48</v>
      </c>
      <c r="J1435" s="440">
        <f t="shared" si="90"/>
        <v>-5.1940639269406619E-3</v>
      </c>
      <c r="L1435" s="436">
        <v>42481</v>
      </c>
      <c r="M1435" s="738">
        <v>226.07</v>
      </c>
      <c r="N1435" s="115">
        <f t="shared" si="93"/>
        <v>-2.2508606231795847E-3</v>
      </c>
      <c r="O1435" s="1121">
        <f t="shared" si="92"/>
        <v>-2.2627745120684735E-3</v>
      </c>
      <c r="P1435" s="1122"/>
    </row>
    <row r="1436" spans="6:16">
      <c r="F1436" s="1121">
        <f t="shared" si="91"/>
        <v>3.5899143031029928E-5</v>
      </c>
      <c r="G1436" s="1122"/>
      <c r="H1436" s="436">
        <v>42482</v>
      </c>
      <c r="I1436" s="738">
        <v>2091.58</v>
      </c>
      <c r="J1436" s="440">
        <f t="shared" si="90"/>
        <v>4.7813031919918814E-5</v>
      </c>
      <c r="L1436" s="436">
        <v>42482</v>
      </c>
      <c r="M1436" s="738">
        <v>226.83</v>
      </c>
      <c r="N1436" s="115">
        <f t="shared" si="93"/>
        <v>3.3617905958331917E-3</v>
      </c>
      <c r="O1436" s="1121">
        <f t="shared" si="92"/>
        <v>3.3498767069443029E-3</v>
      </c>
      <c r="P1436" s="1122"/>
    </row>
    <row r="1437" spans="6:16">
      <c r="F1437" s="1121">
        <f t="shared" si="91"/>
        <v>-1.8239411601384055E-3</v>
      </c>
      <c r="G1437" s="1122"/>
      <c r="H1437" s="436">
        <v>42485</v>
      </c>
      <c r="I1437" s="738">
        <v>2087.79</v>
      </c>
      <c r="J1437" s="440">
        <f t="shared" ref="J1437:J1500" si="94">I1437/I1436-1</f>
        <v>-1.8120272712495167E-3</v>
      </c>
      <c r="L1437" s="436">
        <v>42485</v>
      </c>
      <c r="M1437" s="738">
        <v>226.3</v>
      </c>
      <c r="N1437" s="115">
        <f t="shared" si="93"/>
        <v>-2.3365516025216637E-3</v>
      </c>
      <c r="O1437" s="1121">
        <f t="shared" si="92"/>
        <v>-2.3484654914105525E-3</v>
      </c>
      <c r="P1437" s="1122"/>
    </row>
    <row r="1438" spans="6:16">
      <c r="F1438" s="1121">
        <f t="shared" ref="F1438:F1501" si="95">J1438-$I$19</f>
        <v>1.8608798307858591E-3</v>
      </c>
      <c r="G1438" s="1122"/>
      <c r="H1438" s="436">
        <v>42486</v>
      </c>
      <c r="I1438" s="738">
        <v>2091.6999999999998</v>
      </c>
      <c r="J1438" s="440">
        <f t="shared" si="94"/>
        <v>1.8727937196747479E-3</v>
      </c>
      <c r="L1438" s="436">
        <v>42486</v>
      </c>
      <c r="M1438" s="738">
        <v>232.16</v>
      </c>
      <c r="N1438" s="115">
        <f t="shared" si="93"/>
        <v>2.5894829871851544E-2</v>
      </c>
      <c r="O1438" s="1121">
        <f t="shared" ref="O1438:O1501" si="96">N1438-$I$19</f>
        <v>2.5882915982962655E-2</v>
      </c>
      <c r="P1438" s="1122"/>
    </row>
    <row r="1439" spans="6:16">
      <c r="F1439" s="1121">
        <f t="shared" si="95"/>
        <v>1.6374622166713741E-3</v>
      </c>
      <c r="G1439" s="1122"/>
      <c r="H1439" s="436">
        <v>42487</v>
      </c>
      <c r="I1439" s="738">
        <v>2095.15</v>
      </c>
      <c r="J1439" s="440">
        <f t="shared" si="94"/>
        <v>1.6493761055602629E-3</v>
      </c>
      <c r="L1439" s="436">
        <v>42487</v>
      </c>
      <c r="M1439" s="738">
        <v>233.65</v>
      </c>
      <c r="N1439" s="115">
        <f t="shared" si="93"/>
        <v>6.4179875947623088E-3</v>
      </c>
      <c r="O1439" s="1121">
        <f t="shared" si="96"/>
        <v>6.4060737058734196E-3</v>
      </c>
      <c r="P1439" s="1122"/>
    </row>
    <row r="1440" spans="6:16">
      <c r="F1440" s="1121">
        <f t="shared" si="95"/>
        <v>-9.2427565493189492E-3</v>
      </c>
      <c r="G1440" s="1122"/>
      <c r="H1440" s="436">
        <v>42488</v>
      </c>
      <c r="I1440" s="738">
        <v>2075.81</v>
      </c>
      <c r="J1440" s="440">
        <f t="shared" si="94"/>
        <v>-9.2308426604300609E-3</v>
      </c>
      <c r="L1440" s="436">
        <v>42488</v>
      </c>
      <c r="M1440" s="738">
        <v>232.72</v>
      </c>
      <c r="N1440" s="115">
        <f t="shared" si="93"/>
        <v>-3.980312433126465E-3</v>
      </c>
      <c r="O1440" s="1121">
        <f t="shared" si="96"/>
        <v>-3.9922263220153542E-3</v>
      </c>
      <c r="P1440" s="1122"/>
    </row>
    <row r="1441" spans="6:16">
      <c r="F1441" s="1121">
        <f t="shared" si="95"/>
        <v>-5.0749976971371591E-3</v>
      </c>
      <c r="G1441" s="1122"/>
      <c r="H1441" s="436">
        <v>42489</v>
      </c>
      <c r="I1441" s="738">
        <v>2065.3000000000002</v>
      </c>
      <c r="J1441" s="440">
        <f t="shared" si="94"/>
        <v>-5.0630838082482699E-3</v>
      </c>
      <c r="L1441" s="436">
        <v>42489</v>
      </c>
      <c r="M1441" s="738">
        <v>232.38</v>
      </c>
      <c r="N1441" s="115">
        <f t="shared" si="93"/>
        <v>-1.4609831557236275E-3</v>
      </c>
      <c r="O1441" s="1121">
        <f t="shared" si="96"/>
        <v>-1.4728970446125163E-3</v>
      </c>
      <c r="P1441" s="1122"/>
    </row>
    <row r="1442" spans="6:16">
      <c r="F1442" s="1121">
        <f t="shared" si="95"/>
        <v>7.7980895004491268E-3</v>
      </c>
      <c r="G1442" s="1122"/>
      <c r="H1442" s="436">
        <v>42492</v>
      </c>
      <c r="I1442" s="738">
        <v>2081.4299999999998</v>
      </c>
      <c r="J1442" s="440">
        <f t="shared" si="94"/>
        <v>7.8100033893380161E-3</v>
      </c>
      <c r="L1442" s="436">
        <v>42492</v>
      </c>
      <c r="M1442" s="738">
        <v>233.24</v>
      </c>
      <c r="N1442" s="115">
        <f t="shared" si="93"/>
        <v>3.7008348394871327E-3</v>
      </c>
      <c r="O1442" s="1121">
        <f t="shared" si="96"/>
        <v>3.6889209505982438E-3</v>
      </c>
      <c r="P1442" s="1122"/>
    </row>
    <row r="1443" spans="6:16">
      <c r="F1443" s="1121">
        <f t="shared" si="95"/>
        <v>-8.6886409467289497E-3</v>
      </c>
      <c r="G1443" s="1122"/>
      <c r="H1443" s="436">
        <v>42493</v>
      </c>
      <c r="I1443" s="738">
        <v>2063.37</v>
      </c>
      <c r="J1443" s="440">
        <f t="shared" si="94"/>
        <v>-8.6767270578400613E-3</v>
      </c>
      <c r="L1443" s="436">
        <v>42493</v>
      </c>
      <c r="M1443" s="738">
        <v>234.7</v>
      </c>
      <c r="N1443" s="115">
        <f t="shared" si="93"/>
        <v>6.2596467158291258E-3</v>
      </c>
      <c r="O1443" s="1121">
        <f t="shared" si="96"/>
        <v>6.2477328269402365E-3</v>
      </c>
      <c r="P1443" s="1122"/>
    </row>
    <row r="1444" spans="6:16">
      <c r="F1444" s="1121">
        <f t="shared" si="95"/>
        <v>-5.9488035402843831E-3</v>
      </c>
      <c r="G1444" s="1122"/>
      <c r="H1444" s="436">
        <v>42494</v>
      </c>
      <c r="I1444" s="738">
        <v>2051.12</v>
      </c>
      <c r="J1444" s="440">
        <f t="shared" si="94"/>
        <v>-5.9368896513954938E-3</v>
      </c>
      <c r="L1444" s="436">
        <v>42494</v>
      </c>
      <c r="M1444" s="738">
        <v>236.01</v>
      </c>
      <c r="N1444" s="115">
        <f t="shared" si="93"/>
        <v>5.581593523647177E-3</v>
      </c>
      <c r="O1444" s="1121">
        <f t="shared" si="96"/>
        <v>5.5696796347582877E-3</v>
      </c>
      <c r="P1444" s="1122"/>
    </row>
    <row r="1445" spans="6:16">
      <c r="F1445" s="1121">
        <f t="shared" si="95"/>
        <v>-2.5080776150466409E-4</v>
      </c>
      <c r="G1445" s="1122"/>
      <c r="H1445" s="436">
        <v>42495</v>
      </c>
      <c r="I1445" s="738">
        <v>2050.63</v>
      </c>
      <c r="J1445" s="440">
        <f t="shared" si="94"/>
        <v>-2.3889387261577522E-4</v>
      </c>
      <c r="L1445" s="436">
        <v>42495</v>
      </c>
      <c r="M1445" s="738">
        <v>238.14</v>
      </c>
      <c r="N1445" s="115">
        <f t="shared" si="93"/>
        <v>9.0250413118087014E-3</v>
      </c>
      <c r="O1445" s="1121">
        <f t="shared" si="96"/>
        <v>9.013127422919813E-3</v>
      </c>
      <c r="P1445" s="1122"/>
    </row>
    <row r="1446" spans="6:16">
      <c r="F1446" s="1121">
        <f t="shared" si="95"/>
        <v>3.1627202479372822E-3</v>
      </c>
      <c r="G1446" s="1122"/>
      <c r="H1446" s="436">
        <v>42496</v>
      </c>
      <c r="I1446" s="738">
        <v>2057.14</v>
      </c>
      <c r="J1446" s="440">
        <f t="shared" si="94"/>
        <v>3.174634136826171E-3</v>
      </c>
      <c r="L1446" s="436">
        <v>42496</v>
      </c>
      <c r="M1446" s="738">
        <v>240.26</v>
      </c>
      <c r="N1446" s="115">
        <f t="shared" si="93"/>
        <v>8.9023263626437643E-3</v>
      </c>
      <c r="O1446" s="1121">
        <f t="shared" si="96"/>
        <v>8.8904124737548759E-3</v>
      </c>
      <c r="P1446" s="1122"/>
    </row>
    <row r="1447" spans="6:16">
      <c r="F1447" s="1121">
        <f t="shared" si="95"/>
        <v>7.4155937982400084E-4</v>
      </c>
      <c r="G1447" s="1122"/>
      <c r="H1447" s="436">
        <v>42499</v>
      </c>
      <c r="I1447" s="738">
        <v>2058.69</v>
      </c>
      <c r="J1447" s="440">
        <f t="shared" si="94"/>
        <v>7.5347326871288978E-4</v>
      </c>
      <c r="L1447" s="436">
        <v>42499</v>
      </c>
      <c r="M1447" s="738">
        <v>240.32</v>
      </c>
      <c r="N1447" s="115">
        <f t="shared" si="93"/>
        <v>2.4972945975187955E-4</v>
      </c>
      <c r="O1447" s="1121">
        <f t="shared" si="96"/>
        <v>2.3781557086299067E-4</v>
      </c>
      <c r="P1447" s="1122"/>
    </row>
    <row r="1448" spans="6:16">
      <c r="F1448" s="1121">
        <f t="shared" si="95"/>
        <v>1.2471752908928983E-2</v>
      </c>
      <c r="G1448" s="1122"/>
      <c r="H1448" s="436">
        <v>42500</v>
      </c>
      <c r="I1448" s="738">
        <v>2084.39</v>
      </c>
      <c r="J1448" s="440">
        <f t="shared" si="94"/>
        <v>1.2483666797817872E-2</v>
      </c>
      <c r="L1448" s="436">
        <v>42500</v>
      </c>
      <c r="M1448" s="738">
        <v>244.36</v>
      </c>
      <c r="N1448" s="115">
        <f t="shared" si="93"/>
        <v>1.6810918774966765E-2</v>
      </c>
      <c r="O1448" s="1121">
        <f t="shared" si="96"/>
        <v>1.6799004886077877E-2</v>
      </c>
      <c r="P1448" s="1122"/>
    </row>
    <row r="1449" spans="6:16">
      <c r="F1449" s="1121">
        <f t="shared" si="95"/>
        <v>-9.5734642705351883E-3</v>
      </c>
      <c r="G1449" s="1122"/>
      <c r="H1449" s="436">
        <v>42501</v>
      </c>
      <c r="I1449" s="738">
        <v>2064.46</v>
      </c>
      <c r="J1449" s="440">
        <f t="shared" si="94"/>
        <v>-9.5615503816462999E-3</v>
      </c>
      <c r="L1449" s="436">
        <v>42501</v>
      </c>
      <c r="M1449" s="738">
        <v>241.83</v>
      </c>
      <c r="N1449" s="115">
        <f t="shared" si="93"/>
        <v>-1.0353576690129374E-2</v>
      </c>
      <c r="O1449" s="1121">
        <f t="shared" si="96"/>
        <v>-1.0365490579018262E-2</v>
      </c>
      <c r="P1449" s="1122"/>
    </row>
    <row r="1450" spans="6:16">
      <c r="F1450" s="1121">
        <f t="shared" si="95"/>
        <v>-1.8144974814505353E-4</v>
      </c>
      <c r="G1450" s="1122"/>
      <c r="H1450" s="436">
        <v>42502</v>
      </c>
      <c r="I1450" s="738">
        <v>2064.11</v>
      </c>
      <c r="J1450" s="440">
        <f t="shared" si="94"/>
        <v>-1.6953585925616466E-4</v>
      </c>
      <c r="L1450" s="436">
        <v>42502</v>
      </c>
      <c r="M1450" s="738">
        <v>244.94</v>
      </c>
      <c r="N1450" s="115">
        <f t="shared" si="93"/>
        <v>1.2860273746019946E-2</v>
      </c>
      <c r="O1450" s="1121">
        <f t="shared" si="96"/>
        <v>1.2848359857131057E-2</v>
      </c>
      <c r="P1450" s="1122"/>
    </row>
    <row r="1451" spans="6:16">
      <c r="F1451" s="1121">
        <f t="shared" si="95"/>
        <v>-8.4901442157611154E-3</v>
      </c>
      <c r="G1451" s="1122"/>
      <c r="H1451" s="436">
        <v>42503</v>
      </c>
      <c r="I1451" s="738">
        <v>2046.61</v>
      </c>
      <c r="J1451" s="440">
        <f t="shared" si="94"/>
        <v>-8.478230326872227E-3</v>
      </c>
      <c r="L1451" s="436">
        <v>42503</v>
      </c>
      <c r="M1451" s="738">
        <v>242.12</v>
      </c>
      <c r="N1451" s="115">
        <f t="shared" si="93"/>
        <v>-1.1513023597615746E-2</v>
      </c>
      <c r="O1451" s="1121">
        <f t="shared" si="96"/>
        <v>-1.1524937486504634E-2</v>
      </c>
      <c r="P1451" s="1122"/>
    </row>
    <row r="1452" spans="6:16">
      <c r="F1452" s="1121">
        <f t="shared" si="95"/>
        <v>9.7847742930313661E-3</v>
      </c>
      <c r="G1452" s="1122"/>
      <c r="H1452" s="436">
        <v>42506</v>
      </c>
      <c r="I1452" s="738">
        <v>2066.66</v>
      </c>
      <c r="J1452" s="440">
        <f t="shared" si="94"/>
        <v>9.7966881819202545E-3</v>
      </c>
      <c r="L1452" s="436">
        <v>42506</v>
      </c>
      <c r="M1452" s="738">
        <v>242.97</v>
      </c>
      <c r="N1452" s="115">
        <f t="shared" si="93"/>
        <v>3.5106558731208271E-3</v>
      </c>
      <c r="O1452" s="1121">
        <f t="shared" si="96"/>
        <v>3.4987419842319382E-3</v>
      </c>
      <c r="P1452" s="1122"/>
    </row>
    <row r="1453" spans="6:16">
      <c r="F1453" s="1121">
        <f t="shared" si="95"/>
        <v>-9.4232345705683798E-3</v>
      </c>
      <c r="G1453" s="1122"/>
      <c r="H1453" s="436">
        <v>42507</v>
      </c>
      <c r="I1453" s="738">
        <v>2047.21</v>
      </c>
      <c r="J1453" s="440">
        <f t="shared" si="94"/>
        <v>-9.4113206816794914E-3</v>
      </c>
      <c r="L1453" s="436">
        <v>42507</v>
      </c>
      <c r="M1453" s="738">
        <v>241.53</v>
      </c>
      <c r="N1453" s="115">
        <f t="shared" si="93"/>
        <v>-5.9266576120509118E-3</v>
      </c>
      <c r="O1453" s="1121">
        <f t="shared" si="96"/>
        <v>-5.9385715009398011E-3</v>
      </c>
      <c r="P1453" s="1122"/>
    </row>
    <row r="1454" spans="6:16">
      <c r="F1454" s="1121">
        <f t="shared" si="95"/>
        <v>1.9324337392256176E-4</v>
      </c>
      <c r="G1454" s="1122"/>
      <c r="H1454" s="436">
        <v>42508</v>
      </c>
      <c r="I1454" s="738">
        <v>2047.63</v>
      </c>
      <c r="J1454" s="440">
        <f t="shared" si="94"/>
        <v>2.0515726281145064E-4</v>
      </c>
      <c r="L1454" s="436">
        <v>42508</v>
      </c>
      <c r="M1454" s="738">
        <v>241.58</v>
      </c>
      <c r="N1454" s="115">
        <f t="shared" si="93"/>
        <v>2.0701362149644353E-4</v>
      </c>
      <c r="O1454" s="1121">
        <f t="shared" si="96"/>
        <v>1.9509973260755466E-4</v>
      </c>
      <c r="P1454" s="1122"/>
    </row>
    <row r="1455" spans="6:16">
      <c r="F1455" s="1121">
        <f t="shared" si="95"/>
        <v>-3.7186382482702414E-3</v>
      </c>
      <c r="G1455" s="1122"/>
      <c r="H1455" s="436">
        <v>42509</v>
      </c>
      <c r="I1455" s="738">
        <v>2040.04</v>
      </c>
      <c r="J1455" s="440">
        <f t="shared" si="94"/>
        <v>-3.7067243593813526E-3</v>
      </c>
      <c r="L1455" s="436">
        <v>42509</v>
      </c>
      <c r="M1455" s="738">
        <v>238.89</v>
      </c>
      <c r="N1455" s="115">
        <f t="shared" si="93"/>
        <v>-1.1135027734084035E-2</v>
      </c>
      <c r="O1455" s="1121">
        <f t="shared" si="96"/>
        <v>-1.1146941622972924E-2</v>
      </c>
      <c r="P1455" s="1122"/>
    </row>
    <row r="1456" spans="6:16">
      <c r="F1456" s="1121">
        <f t="shared" si="95"/>
        <v>6.0075759250365268E-3</v>
      </c>
      <c r="G1456" s="1122"/>
      <c r="H1456" s="436">
        <v>42510</v>
      </c>
      <c r="I1456" s="738">
        <v>2052.3200000000002</v>
      </c>
      <c r="J1456" s="440">
        <f t="shared" si="94"/>
        <v>6.019489813925416E-3</v>
      </c>
      <c r="L1456" s="436">
        <v>42510</v>
      </c>
      <c r="M1456" s="738">
        <v>240.07</v>
      </c>
      <c r="N1456" s="115">
        <f t="shared" si="93"/>
        <v>4.9395119092470186E-3</v>
      </c>
      <c r="O1456" s="1121">
        <f t="shared" si="96"/>
        <v>4.9275980203581293E-3</v>
      </c>
      <c r="P1456" s="1122"/>
    </row>
    <row r="1457" spans="6:16">
      <c r="F1457" s="1121">
        <f t="shared" si="95"/>
        <v>-2.0973586538378737E-3</v>
      </c>
      <c r="G1457" s="1122"/>
      <c r="H1457" s="436">
        <v>42513</v>
      </c>
      <c r="I1457" s="738">
        <v>2048.04</v>
      </c>
      <c r="J1457" s="440">
        <f t="shared" si="94"/>
        <v>-2.0854447649489849E-3</v>
      </c>
      <c r="L1457" s="436">
        <v>42513</v>
      </c>
      <c r="M1457" s="738">
        <v>239.52</v>
      </c>
      <c r="N1457" s="115">
        <f t="shared" ref="N1457:N1520" si="97">M1457/M1456-1</f>
        <v>-2.2909984587827781E-3</v>
      </c>
      <c r="O1457" s="1121">
        <f t="shared" si="96"/>
        <v>-2.3029123476716669E-3</v>
      </c>
      <c r="P1457" s="1122"/>
    </row>
    <row r="1458" spans="6:16">
      <c r="F1458" s="1121">
        <f t="shared" si="95"/>
        <v>1.3669459521786657E-2</v>
      </c>
      <c r="G1458" s="1122"/>
      <c r="H1458" s="436">
        <v>42514</v>
      </c>
      <c r="I1458" s="738">
        <v>2076.06</v>
      </c>
      <c r="J1458" s="440">
        <f t="shared" si="94"/>
        <v>1.3681373410675546E-2</v>
      </c>
      <c r="L1458" s="436">
        <v>42514</v>
      </c>
      <c r="M1458" s="738">
        <v>240.97</v>
      </c>
      <c r="N1458" s="115">
        <f t="shared" si="97"/>
        <v>6.0537742150967855E-3</v>
      </c>
      <c r="O1458" s="1121">
        <f t="shared" si="96"/>
        <v>6.0418603262078962E-3</v>
      </c>
      <c r="P1458" s="1122"/>
    </row>
    <row r="1459" spans="6:16">
      <c r="F1459" s="1121">
        <f t="shared" si="95"/>
        <v>6.9628363591772635E-3</v>
      </c>
      <c r="G1459" s="1122"/>
      <c r="H1459" s="436">
        <v>42515</v>
      </c>
      <c r="I1459" s="738">
        <v>2090.54</v>
      </c>
      <c r="J1459" s="440">
        <f t="shared" si="94"/>
        <v>6.9747502480661527E-3</v>
      </c>
      <c r="L1459" s="436">
        <v>42515</v>
      </c>
      <c r="M1459" s="738">
        <v>240.84</v>
      </c>
      <c r="N1459" s="115">
        <f t="shared" si="97"/>
        <v>-5.3948624310073967E-4</v>
      </c>
      <c r="O1459" s="1121">
        <f t="shared" si="96"/>
        <v>-5.514001319896286E-4</v>
      </c>
      <c r="P1459" s="1122"/>
    </row>
    <row r="1460" spans="6:16">
      <c r="F1460" s="1121">
        <f t="shared" si="95"/>
        <v>-2.2238582436973818E-4</v>
      </c>
      <c r="G1460" s="1122"/>
      <c r="H1460" s="436">
        <v>42516</v>
      </c>
      <c r="I1460" s="738">
        <v>2090.1</v>
      </c>
      <c r="J1460" s="440">
        <f t="shared" si="94"/>
        <v>-2.104719354808493E-4</v>
      </c>
      <c r="L1460" s="436">
        <v>42516</v>
      </c>
      <c r="M1460" s="738">
        <v>241.54</v>
      </c>
      <c r="N1460" s="115">
        <f t="shared" si="97"/>
        <v>2.9064939378840027E-3</v>
      </c>
      <c r="O1460" s="1121">
        <f t="shared" si="96"/>
        <v>2.8945800489951139E-3</v>
      </c>
      <c r="P1460" s="1122"/>
    </row>
    <row r="1461" spans="6:16">
      <c r="F1461" s="1121">
        <f t="shared" si="95"/>
        <v>4.2749623371290879E-3</v>
      </c>
      <c r="G1461" s="1122"/>
      <c r="H1461" s="436">
        <v>42517</v>
      </c>
      <c r="I1461" s="738">
        <v>2099.06</v>
      </c>
      <c r="J1461" s="440">
        <f t="shared" si="94"/>
        <v>4.2868762260179771E-3</v>
      </c>
      <c r="L1461" s="436">
        <v>42517</v>
      </c>
      <c r="M1461" s="738">
        <v>240.09</v>
      </c>
      <c r="N1461" s="115">
        <f t="shared" si="97"/>
        <v>-6.0031464767740239E-3</v>
      </c>
      <c r="O1461" s="1121">
        <f t="shared" si="96"/>
        <v>-6.0150603656629132E-3</v>
      </c>
      <c r="P1461" s="1122"/>
    </row>
    <row r="1462" spans="6:16">
      <c r="F1462" s="1121">
        <f t="shared" si="95"/>
        <v>-1.1913888888888887E-5</v>
      </c>
      <c r="G1462" s="1122"/>
      <c r="H1462" s="436">
        <v>42520</v>
      </c>
      <c r="I1462" s="738">
        <v>2099.06</v>
      </c>
      <c r="J1462" s="440">
        <f t="shared" si="94"/>
        <v>0</v>
      </c>
      <c r="L1462" s="436">
        <v>42520</v>
      </c>
      <c r="M1462" s="738">
        <v>240.09</v>
      </c>
      <c r="N1462" s="115">
        <f t="shared" si="97"/>
        <v>0</v>
      </c>
      <c r="O1462" s="1121">
        <f t="shared" si="96"/>
        <v>-1.1913888888888887E-5</v>
      </c>
      <c r="P1462" s="1122"/>
    </row>
    <row r="1463" spans="6:16">
      <c r="F1463" s="1121">
        <f t="shared" si="95"/>
        <v>-1.0123617083890387E-3</v>
      </c>
      <c r="G1463" s="1122"/>
      <c r="H1463" s="436">
        <v>42521</v>
      </c>
      <c r="I1463" s="738">
        <v>2096.96</v>
      </c>
      <c r="J1463" s="440">
        <f t="shared" si="94"/>
        <v>-1.0004478195001498E-3</v>
      </c>
      <c r="L1463" s="436">
        <v>42521</v>
      </c>
      <c r="M1463" s="738">
        <v>236.23</v>
      </c>
      <c r="N1463" s="115">
        <f t="shared" si="97"/>
        <v>-1.6077304344204291E-2</v>
      </c>
      <c r="O1463" s="1121">
        <f t="shared" si="96"/>
        <v>-1.6089218233093179E-2</v>
      </c>
      <c r="P1463" s="1122"/>
    </row>
    <row r="1464" spans="6:16">
      <c r="F1464" s="1121">
        <f t="shared" si="95"/>
        <v>1.1182936496431021E-3</v>
      </c>
      <c r="G1464" s="1122"/>
      <c r="H1464" s="436">
        <v>42522</v>
      </c>
      <c r="I1464" s="738">
        <v>2099.33</v>
      </c>
      <c r="J1464" s="440">
        <f t="shared" si="94"/>
        <v>1.130207538531991E-3</v>
      </c>
      <c r="L1464" s="436">
        <v>42522</v>
      </c>
      <c r="M1464" s="738">
        <v>238.08</v>
      </c>
      <c r="N1464" s="115">
        <f t="shared" si="97"/>
        <v>7.8313508021843337E-3</v>
      </c>
      <c r="O1464" s="1121">
        <f t="shared" si="96"/>
        <v>7.8194369132954453E-3</v>
      </c>
      <c r="P1464" s="1122"/>
    </row>
    <row r="1465" spans="6:16">
      <c r="F1465" s="1121">
        <f t="shared" si="95"/>
        <v>2.8127968521572881E-3</v>
      </c>
      <c r="G1465" s="1122"/>
      <c r="H1465" s="436">
        <v>42523</v>
      </c>
      <c r="I1465" s="738">
        <v>2105.2600000000002</v>
      </c>
      <c r="J1465" s="440">
        <f t="shared" si="94"/>
        <v>2.8247107410461769E-3</v>
      </c>
      <c r="L1465" s="436">
        <v>42523</v>
      </c>
      <c r="M1465" s="738">
        <v>237.83</v>
      </c>
      <c r="N1465" s="115">
        <f t="shared" si="97"/>
        <v>-1.0500672043011194E-3</v>
      </c>
      <c r="O1465" s="1121">
        <f t="shared" si="96"/>
        <v>-1.0619810931900083E-3</v>
      </c>
      <c r="P1465" s="1122"/>
    </row>
    <row r="1466" spans="6:16">
      <c r="F1466" s="1121">
        <f t="shared" si="95"/>
        <v>-2.9236682565204693E-3</v>
      </c>
      <c r="G1466" s="1122"/>
      <c r="H1466" s="436">
        <v>42524</v>
      </c>
      <c r="I1466" s="738">
        <v>2099.13</v>
      </c>
      <c r="J1466" s="440">
        <f t="shared" si="94"/>
        <v>-2.9117543676315805E-3</v>
      </c>
      <c r="L1466" s="436">
        <v>42524</v>
      </c>
      <c r="M1466" s="738">
        <v>238.92</v>
      </c>
      <c r="N1466" s="115">
        <f t="shared" si="97"/>
        <v>4.5831055796154985E-3</v>
      </c>
      <c r="O1466" s="1121">
        <f t="shared" si="96"/>
        <v>4.5711916907266092E-3</v>
      </c>
      <c r="P1466" s="1122"/>
    </row>
    <row r="1467" spans="6:16">
      <c r="F1467" s="1121">
        <f t="shared" si="95"/>
        <v>4.8853530740909845E-3</v>
      </c>
      <c r="G1467" s="1122"/>
      <c r="H1467" s="436">
        <v>42527</v>
      </c>
      <c r="I1467" s="738">
        <v>2109.41</v>
      </c>
      <c r="J1467" s="440">
        <f t="shared" si="94"/>
        <v>4.8972669629798737E-3</v>
      </c>
      <c r="L1467" s="436">
        <v>42527</v>
      </c>
      <c r="M1467" s="738">
        <v>239.4</v>
      </c>
      <c r="N1467" s="115">
        <f t="shared" si="97"/>
        <v>2.0090406830739482E-3</v>
      </c>
      <c r="O1467" s="1121">
        <f t="shared" si="96"/>
        <v>1.9971267941850594E-3</v>
      </c>
      <c r="P1467" s="1122"/>
    </row>
    <row r="1468" spans="6:16">
      <c r="F1468" s="1121">
        <f t="shared" si="95"/>
        <v>1.2775461971069528E-3</v>
      </c>
      <c r="G1468" s="1122"/>
      <c r="H1468" s="436">
        <v>42528</v>
      </c>
      <c r="I1468" s="738">
        <v>2112.13</v>
      </c>
      <c r="J1468" s="440">
        <f t="shared" si="94"/>
        <v>1.2894600859958416E-3</v>
      </c>
      <c r="L1468" s="436">
        <v>42528</v>
      </c>
      <c r="M1468" s="738">
        <v>239.5</v>
      </c>
      <c r="N1468" s="115">
        <f t="shared" si="97"/>
        <v>4.1771094402665021E-4</v>
      </c>
      <c r="O1468" s="1121">
        <f t="shared" si="96"/>
        <v>4.0579705513776133E-4</v>
      </c>
      <c r="P1468" s="1122"/>
    </row>
    <row r="1469" spans="6:16">
      <c r="F1469" s="1121">
        <f t="shared" si="95"/>
        <v>3.297541495012594E-3</v>
      </c>
      <c r="G1469" s="1122"/>
      <c r="H1469" s="436">
        <v>42529</v>
      </c>
      <c r="I1469" s="738">
        <v>2119.12</v>
      </c>
      <c r="J1469" s="440">
        <f t="shared" si="94"/>
        <v>3.3094553839014829E-3</v>
      </c>
      <c r="L1469" s="436">
        <v>42529</v>
      </c>
      <c r="M1469" s="738">
        <v>240.38</v>
      </c>
      <c r="N1469" s="115">
        <f t="shared" si="97"/>
        <v>3.6743215031314058E-3</v>
      </c>
      <c r="O1469" s="1121">
        <f t="shared" si="96"/>
        <v>3.662407614242517E-3</v>
      </c>
      <c r="P1469" s="1122"/>
    </row>
    <row r="1470" spans="6:16">
      <c r="F1470" s="1121">
        <f t="shared" si="95"/>
        <v>-1.7296080260778075E-3</v>
      </c>
      <c r="G1470" s="1122"/>
      <c r="H1470" s="436">
        <v>42530</v>
      </c>
      <c r="I1470" s="738">
        <v>2115.48</v>
      </c>
      <c r="J1470" s="440">
        <f t="shared" si="94"/>
        <v>-1.7176941371889187E-3</v>
      </c>
      <c r="L1470" s="436">
        <v>42530</v>
      </c>
      <c r="M1470" s="738">
        <v>240.67</v>
      </c>
      <c r="N1470" s="115">
        <f t="shared" si="97"/>
        <v>1.2064231633246436E-3</v>
      </c>
      <c r="O1470" s="1121">
        <f t="shared" si="96"/>
        <v>1.1945092744357548E-3</v>
      </c>
      <c r="P1470" s="1122"/>
    </row>
    <row r="1471" spans="6:16">
      <c r="F1471" s="1121">
        <f t="shared" si="95"/>
        <v>-9.1871365333949864E-3</v>
      </c>
      <c r="G1471" s="1122"/>
      <c r="H1471" s="436">
        <v>42531</v>
      </c>
      <c r="I1471" s="738">
        <v>2096.0700000000002</v>
      </c>
      <c r="J1471" s="440">
        <f t="shared" si="94"/>
        <v>-9.175222644506098E-3</v>
      </c>
      <c r="L1471" s="436">
        <v>42531</v>
      </c>
      <c r="M1471" s="738">
        <v>240.58</v>
      </c>
      <c r="N1471" s="115">
        <f t="shared" si="97"/>
        <v>-3.7395603938994437E-4</v>
      </c>
      <c r="O1471" s="1121">
        <f t="shared" si="96"/>
        <v>-3.8586992827883325E-4</v>
      </c>
      <c r="P1471" s="1122"/>
    </row>
    <row r="1472" spans="6:16">
      <c r="F1472" s="1121">
        <f t="shared" si="95"/>
        <v>-8.1271008816897819E-3</v>
      </c>
      <c r="G1472" s="1122"/>
      <c r="H1472" s="436">
        <v>42534</v>
      </c>
      <c r="I1472" s="738">
        <v>2079.06</v>
      </c>
      <c r="J1472" s="440">
        <f t="shared" si="94"/>
        <v>-8.1151869928008935E-3</v>
      </c>
      <c r="L1472" s="436">
        <v>42534</v>
      </c>
      <c r="M1472" s="738">
        <v>237.95</v>
      </c>
      <c r="N1472" s="115">
        <f t="shared" si="97"/>
        <v>-1.0931914539862086E-2</v>
      </c>
      <c r="O1472" s="1121">
        <f t="shared" si="96"/>
        <v>-1.0943828428750975E-2</v>
      </c>
      <c r="P1472" s="1122"/>
    </row>
    <row r="1473" spans="6:16">
      <c r="F1473" s="1121">
        <f t="shared" si="95"/>
        <v>-1.8108037718166455E-3</v>
      </c>
      <c r="G1473" s="1122"/>
      <c r="H1473" s="436">
        <v>42535</v>
      </c>
      <c r="I1473" s="738">
        <v>2075.3200000000002</v>
      </c>
      <c r="J1473" s="440">
        <f t="shared" si="94"/>
        <v>-1.7988898829277566E-3</v>
      </c>
      <c r="L1473" s="436">
        <v>42535</v>
      </c>
      <c r="M1473" s="738">
        <v>239.7</v>
      </c>
      <c r="N1473" s="115">
        <f t="shared" si="97"/>
        <v>7.3544862366043962E-3</v>
      </c>
      <c r="O1473" s="1121">
        <f t="shared" si="96"/>
        <v>7.3425723477155069E-3</v>
      </c>
      <c r="P1473" s="1122"/>
    </row>
    <row r="1474" spans="6:16">
      <c r="F1474" s="1121">
        <f t="shared" si="95"/>
        <v>-1.8525938804083782E-3</v>
      </c>
      <c r="G1474" s="1122"/>
      <c r="H1474" s="436">
        <v>42536</v>
      </c>
      <c r="I1474" s="738">
        <v>2071.5</v>
      </c>
      <c r="J1474" s="440">
        <f t="shared" si="94"/>
        <v>-1.8406799915194894E-3</v>
      </c>
      <c r="L1474" s="436">
        <v>42536</v>
      </c>
      <c r="M1474" s="738">
        <v>239.45</v>
      </c>
      <c r="N1474" s="115">
        <f t="shared" si="97"/>
        <v>-1.0429703796411838E-3</v>
      </c>
      <c r="O1474" s="1121">
        <f t="shared" si="96"/>
        <v>-1.0548842685300726E-3</v>
      </c>
      <c r="P1474" s="1122"/>
    </row>
    <row r="1475" spans="6:16">
      <c r="F1475" s="1121">
        <f t="shared" si="95"/>
        <v>3.1210815250622896E-3</v>
      </c>
      <c r="G1475" s="1122"/>
      <c r="H1475" s="436">
        <v>42537</v>
      </c>
      <c r="I1475" s="738">
        <v>2077.9899999999998</v>
      </c>
      <c r="J1475" s="440">
        <f t="shared" si="94"/>
        <v>3.1329954139511784E-3</v>
      </c>
      <c r="L1475" s="436">
        <v>42537</v>
      </c>
      <c r="M1475" s="738">
        <v>239.87</v>
      </c>
      <c r="N1475" s="115">
        <f t="shared" si="97"/>
        <v>1.7540196283150067E-3</v>
      </c>
      <c r="O1475" s="1121">
        <f t="shared" si="96"/>
        <v>1.7421057394261179E-3</v>
      </c>
      <c r="P1475" s="1122"/>
    </row>
    <row r="1476" spans="6:16">
      <c r="F1476" s="1121">
        <f t="shared" si="95"/>
        <v>-3.2698698944520006E-3</v>
      </c>
      <c r="G1476" s="1122"/>
      <c r="H1476" s="436">
        <v>42538</v>
      </c>
      <c r="I1476" s="738">
        <v>2071.2199999999998</v>
      </c>
      <c r="J1476" s="440">
        <f t="shared" si="94"/>
        <v>-3.2579560055631118E-3</v>
      </c>
      <c r="L1476" s="436">
        <v>42538</v>
      </c>
      <c r="M1476" s="738">
        <v>237.56</v>
      </c>
      <c r="N1476" s="115">
        <f t="shared" si="97"/>
        <v>-9.6302163671989627E-3</v>
      </c>
      <c r="O1476" s="1121">
        <f t="shared" si="96"/>
        <v>-9.6421302560878511E-3</v>
      </c>
      <c r="P1476" s="1122"/>
    </row>
    <row r="1477" spans="6:16">
      <c r="F1477" s="1121">
        <f t="shared" si="95"/>
        <v>5.796257140745823E-3</v>
      </c>
      <c r="G1477" s="1122"/>
      <c r="H1477" s="436">
        <v>42541</v>
      </c>
      <c r="I1477" s="738">
        <v>2083.25</v>
      </c>
      <c r="J1477" s="440">
        <f t="shared" si="94"/>
        <v>5.8081710296347122E-3</v>
      </c>
      <c r="L1477" s="436">
        <v>42541</v>
      </c>
      <c r="M1477" s="738">
        <v>238.64</v>
      </c>
      <c r="N1477" s="115">
        <f t="shared" si="97"/>
        <v>4.5462199023404981E-3</v>
      </c>
      <c r="O1477" s="1121">
        <f t="shared" si="96"/>
        <v>4.5343060134516089E-3</v>
      </c>
      <c r="P1477" s="1122"/>
    </row>
    <row r="1478" spans="6:16">
      <c r="F1478" s="1121">
        <f t="shared" si="95"/>
        <v>2.7001945954504484E-3</v>
      </c>
      <c r="G1478" s="1122"/>
      <c r="H1478" s="436">
        <v>42542</v>
      </c>
      <c r="I1478" s="738">
        <v>2088.9</v>
      </c>
      <c r="J1478" s="440">
        <f t="shared" si="94"/>
        <v>2.7121084843393373E-3</v>
      </c>
      <c r="L1478" s="436">
        <v>42542</v>
      </c>
      <c r="M1478" s="738">
        <v>238.55</v>
      </c>
      <c r="N1478" s="115">
        <f t="shared" si="97"/>
        <v>-3.7713711029152552E-4</v>
      </c>
      <c r="O1478" s="1121">
        <f t="shared" si="96"/>
        <v>-3.890509991804144E-4</v>
      </c>
      <c r="P1478" s="1122"/>
    </row>
    <row r="1479" spans="6:16">
      <c r="F1479" s="1121">
        <f t="shared" si="95"/>
        <v>-1.6635008485328469E-3</v>
      </c>
      <c r="G1479" s="1122"/>
      <c r="H1479" s="436">
        <v>42543</v>
      </c>
      <c r="I1479" s="738">
        <v>2085.4499999999998</v>
      </c>
      <c r="J1479" s="440">
        <f t="shared" si="94"/>
        <v>-1.6515869596439581E-3</v>
      </c>
      <c r="L1479" s="436">
        <v>42543</v>
      </c>
      <c r="M1479" s="738">
        <v>238.17</v>
      </c>
      <c r="N1479" s="115">
        <f t="shared" si="97"/>
        <v>-1.5929574512681954E-3</v>
      </c>
      <c r="O1479" s="1121">
        <f t="shared" si="96"/>
        <v>-1.6048713401570843E-3</v>
      </c>
      <c r="P1479" s="1122"/>
    </row>
    <row r="1480" spans="6:16">
      <c r="F1480" s="1121">
        <f t="shared" si="95"/>
        <v>1.3352108264603417E-2</v>
      </c>
      <c r="G1480" s="1122"/>
      <c r="H1480" s="436">
        <v>42544</v>
      </c>
      <c r="I1480" s="738">
        <v>2113.3200000000002</v>
      </c>
      <c r="J1480" s="440">
        <f t="shared" si="94"/>
        <v>1.3364022153492305E-2</v>
      </c>
      <c r="L1480" s="436">
        <v>42544</v>
      </c>
      <c r="M1480" s="738">
        <v>240</v>
      </c>
      <c r="N1480" s="115">
        <f t="shared" si="97"/>
        <v>7.6835873535709975E-3</v>
      </c>
      <c r="O1480" s="1121">
        <f t="shared" si="96"/>
        <v>7.6716734646821083E-3</v>
      </c>
      <c r="P1480" s="1122"/>
    </row>
    <row r="1481" spans="6:16">
      <c r="F1481" s="1121">
        <f t="shared" si="95"/>
        <v>-3.5931698871759517E-2</v>
      </c>
      <c r="G1481" s="1122"/>
      <c r="H1481" s="436">
        <v>42545</v>
      </c>
      <c r="I1481" s="738">
        <v>2037.41</v>
      </c>
      <c r="J1481" s="440">
        <f t="shared" si="94"/>
        <v>-3.5919784982870628E-2</v>
      </c>
      <c r="L1481" s="436">
        <v>42545</v>
      </c>
      <c r="M1481" s="738">
        <v>239.7</v>
      </c>
      <c r="N1481" s="115">
        <f t="shared" si="97"/>
        <v>-1.2500000000000844E-3</v>
      </c>
      <c r="O1481" s="1121">
        <f t="shared" si="96"/>
        <v>-1.2619138888889732E-3</v>
      </c>
      <c r="P1481" s="1122"/>
    </row>
    <row r="1482" spans="6:16">
      <c r="F1482" s="1121">
        <f t="shared" si="95"/>
        <v>-1.8108418765177998E-2</v>
      </c>
      <c r="G1482" s="1122"/>
      <c r="H1482" s="436">
        <v>42548</v>
      </c>
      <c r="I1482" s="738">
        <v>2000.54</v>
      </c>
      <c r="J1482" s="440">
        <f t="shared" si="94"/>
        <v>-1.809650487628911E-2</v>
      </c>
      <c r="L1482" s="436">
        <v>42548</v>
      </c>
      <c r="M1482" s="738">
        <v>239.29</v>
      </c>
      <c r="N1482" s="115">
        <f t="shared" si="97"/>
        <v>-1.7104714226116036E-3</v>
      </c>
      <c r="O1482" s="1121">
        <f t="shared" si="96"/>
        <v>-1.7223853115004924E-3</v>
      </c>
      <c r="P1482" s="1122"/>
    </row>
    <row r="1483" spans="6:16">
      <c r="F1483" s="1121">
        <f t="shared" si="95"/>
        <v>1.7758288156558881E-2</v>
      </c>
      <c r="G1483" s="1122"/>
      <c r="H1483" s="436">
        <v>42549</v>
      </c>
      <c r="I1483" s="738">
        <v>2036.09</v>
      </c>
      <c r="J1483" s="440">
        <f t="shared" si="94"/>
        <v>1.7770202045447769E-2</v>
      </c>
      <c r="L1483" s="436">
        <v>42549</v>
      </c>
      <c r="M1483" s="738">
        <v>240.91</v>
      </c>
      <c r="N1483" s="115">
        <f t="shared" si="97"/>
        <v>6.7700279994984403E-3</v>
      </c>
      <c r="O1483" s="1121">
        <f t="shared" si="96"/>
        <v>6.758114110609551E-3</v>
      </c>
      <c r="P1483" s="1122"/>
    </row>
    <row r="1484" spans="6:16">
      <c r="F1484" s="1121">
        <f t="shared" si="95"/>
        <v>1.7020732015761701E-2</v>
      </c>
      <c r="G1484" s="1122"/>
      <c r="H1484" s="436">
        <v>42550</v>
      </c>
      <c r="I1484" s="738">
        <v>2070.77</v>
      </c>
      <c r="J1484" s="440">
        <f t="shared" si="94"/>
        <v>1.703264590465059E-2</v>
      </c>
      <c r="L1484" s="436">
        <v>42550</v>
      </c>
      <c r="M1484" s="738">
        <v>244.08</v>
      </c>
      <c r="N1484" s="115">
        <f t="shared" si="97"/>
        <v>1.3158440911543723E-2</v>
      </c>
      <c r="O1484" s="1121">
        <f t="shared" si="96"/>
        <v>1.3146527022654834E-2</v>
      </c>
      <c r="P1484" s="1122"/>
    </row>
    <row r="1485" spans="6:16">
      <c r="F1485" s="1121">
        <f t="shared" si="95"/>
        <v>1.355308850152636E-2</v>
      </c>
      <c r="G1485" s="1122"/>
      <c r="H1485" s="436">
        <v>42551</v>
      </c>
      <c r="I1485" s="738">
        <v>2098.86</v>
      </c>
      <c r="J1485" s="440">
        <f t="shared" si="94"/>
        <v>1.3565002390415248E-2</v>
      </c>
      <c r="L1485" s="436">
        <v>42551</v>
      </c>
      <c r="M1485" s="738">
        <v>248.17</v>
      </c>
      <c r="N1485" s="115">
        <f t="shared" si="97"/>
        <v>1.6756801048836367E-2</v>
      </c>
      <c r="O1485" s="1121">
        <f t="shared" si="96"/>
        <v>1.6744887159947479E-2</v>
      </c>
      <c r="P1485" s="1122"/>
    </row>
    <row r="1486" spans="6:16">
      <c r="F1486" s="1121">
        <f t="shared" si="95"/>
        <v>1.9367630119048111E-3</v>
      </c>
      <c r="G1486" s="1122"/>
      <c r="H1486" s="436">
        <v>42552</v>
      </c>
      <c r="I1486" s="738">
        <v>2102.9499999999998</v>
      </c>
      <c r="J1486" s="440">
        <f t="shared" si="94"/>
        <v>1.9486769007936999E-3</v>
      </c>
      <c r="L1486" s="436">
        <v>42552</v>
      </c>
      <c r="M1486" s="738">
        <v>249.35</v>
      </c>
      <c r="N1486" s="115">
        <f t="shared" si="97"/>
        <v>4.7548051738728336E-3</v>
      </c>
      <c r="O1486" s="1121">
        <f t="shared" si="96"/>
        <v>4.7428912849839444E-3</v>
      </c>
      <c r="P1486" s="1122"/>
    </row>
    <row r="1487" spans="6:16">
      <c r="F1487" s="1121">
        <f t="shared" si="95"/>
        <v>-1.1913888888888887E-5</v>
      </c>
      <c r="G1487" s="1122"/>
      <c r="H1487" s="436">
        <v>42555</v>
      </c>
      <c r="I1487" s="738">
        <v>2102.9499999999998</v>
      </c>
      <c r="J1487" s="440">
        <f t="shared" si="94"/>
        <v>0</v>
      </c>
      <c r="L1487" s="436">
        <v>42555</v>
      </c>
      <c r="M1487" s="738">
        <v>249.35</v>
      </c>
      <c r="N1487" s="115">
        <f t="shared" si="97"/>
        <v>0</v>
      </c>
      <c r="O1487" s="1121">
        <f t="shared" si="96"/>
        <v>-1.1913888888888887E-5</v>
      </c>
      <c r="P1487" s="1122"/>
    </row>
    <row r="1488" spans="6:16">
      <c r="F1488" s="1121">
        <f t="shared" si="95"/>
        <v>-6.8594376055724016E-3</v>
      </c>
      <c r="G1488" s="1122"/>
      <c r="H1488" s="436">
        <v>42556</v>
      </c>
      <c r="I1488" s="738">
        <v>2088.5500000000002</v>
      </c>
      <c r="J1488" s="440">
        <f t="shared" si="94"/>
        <v>-6.8475237166835123E-3</v>
      </c>
      <c r="L1488" s="436">
        <v>42556</v>
      </c>
      <c r="M1488" s="738">
        <v>249.51</v>
      </c>
      <c r="N1488" s="115">
        <f t="shared" si="97"/>
        <v>6.4166833767798082E-4</v>
      </c>
      <c r="O1488" s="1121">
        <f t="shared" si="96"/>
        <v>6.2975444878909188E-4</v>
      </c>
      <c r="P1488" s="1122"/>
    </row>
    <row r="1489" spans="6:16">
      <c r="F1489" s="1121">
        <f t="shared" si="95"/>
        <v>5.3410822088822895E-3</v>
      </c>
      <c r="G1489" s="1122"/>
      <c r="H1489" s="436">
        <v>42557</v>
      </c>
      <c r="I1489" s="738">
        <v>2099.73</v>
      </c>
      <c r="J1489" s="440">
        <f t="shared" si="94"/>
        <v>5.3529960977711788E-3</v>
      </c>
      <c r="L1489" s="436">
        <v>42557</v>
      </c>
      <c r="M1489" s="738">
        <v>250.08</v>
      </c>
      <c r="N1489" s="115">
        <f t="shared" si="97"/>
        <v>2.2844775760491043E-3</v>
      </c>
      <c r="O1489" s="1121">
        <f t="shared" si="96"/>
        <v>2.2725636871602155E-3</v>
      </c>
      <c r="P1489" s="1122"/>
    </row>
    <row r="1490" spans="6:16">
      <c r="F1490" s="1121">
        <f t="shared" si="95"/>
        <v>-8.8345451554084546E-4</v>
      </c>
      <c r="G1490" s="1122"/>
      <c r="H1490" s="436">
        <v>42558</v>
      </c>
      <c r="I1490" s="738">
        <v>2097.9</v>
      </c>
      <c r="J1490" s="440">
        <f t="shared" si="94"/>
        <v>-8.7154062665195653E-4</v>
      </c>
      <c r="L1490" s="436">
        <v>42558</v>
      </c>
      <c r="M1490" s="738">
        <v>249.77</v>
      </c>
      <c r="N1490" s="115">
        <f t="shared" si="97"/>
        <v>-1.2396033269354012E-3</v>
      </c>
      <c r="O1490" s="1121">
        <f t="shared" si="96"/>
        <v>-1.25151721582429E-3</v>
      </c>
      <c r="P1490" s="1122"/>
    </row>
    <row r="1491" spans="6:16">
      <c r="F1491" s="1121">
        <f t="shared" si="95"/>
        <v>1.5241434697793037E-2</v>
      </c>
      <c r="G1491" s="1122"/>
      <c r="H1491" s="436">
        <v>42559</v>
      </c>
      <c r="I1491" s="738">
        <v>2129.9</v>
      </c>
      <c r="J1491" s="440">
        <f t="shared" si="94"/>
        <v>1.5253348586681925E-2</v>
      </c>
      <c r="L1491" s="436">
        <v>42559</v>
      </c>
      <c r="M1491" s="738">
        <v>251.9</v>
      </c>
      <c r="N1491" s="115">
        <f t="shared" si="97"/>
        <v>8.5278456179684881E-3</v>
      </c>
      <c r="O1491" s="1121">
        <f t="shared" si="96"/>
        <v>8.5159317290795997E-3</v>
      </c>
      <c r="P1491" s="1122"/>
    </row>
    <row r="1492" spans="6:16">
      <c r="F1492" s="1121">
        <f t="shared" si="95"/>
        <v>3.3966968440092208E-3</v>
      </c>
      <c r="G1492" s="1122"/>
      <c r="H1492" s="436">
        <v>42562</v>
      </c>
      <c r="I1492" s="738">
        <v>2137.16</v>
      </c>
      <c r="J1492" s="440">
        <f t="shared" si="94"/>
        <v>3.4086107328981097E-3</v>
      </c>
      <c r="L1492" s="436">
        <v>42562</v>
      </c>
      <c r="M1492" s="738">
        <v>254.39</v>
      </c>
      <c r="N1492" s="115">
        <f t="shared" si="97"/>
        <v>9.8848749503770428E-3</v>
      </c>
      <c r="O1492" s="1121">
        <f t="shared" si="96"/>
        <v>9.8729610614881544E-3</v>
      </c>
      <c r="P1492" s="1122"/>
    </row>
    <row r="1493" spans="6:16">
      <c r="F1493" s="1121">
        <f t="shared" si="95"/>
        <v>6.9973881755330735E-3</v>
      </c>
      <c r="G1493" s="1122"/>
      <c r="H1493" s="436">
        <v>42563</v>
      </c>
      <c r="I1493" s="738">
        <v>2152.14</v>
      </c>
      <c r="J1493" s="440">
        <f t="shared" si="94"/>
        <v>7.0093020644219628E-3</v>
      </c>
      <c r="L1493" s="436">
        <v>42563</v>
      </c>
      <c r="M1493" s="738">
        <v>254.7</v>
      </c>
      <c r="N1493" s="115">
        <f t="shared" si="97"/>
        <v>1.2186013601163115E-3</v>
      </c>
      <c r="O1493" s="1121">
        <f t="shared" si="96"/>
        <v>1.2066874712274227E-3</v>
      </c>
      <c r="P1493" s="1122"/>
    </row>
    <row r="1494" spans="6:16">
      <c r="F1494" s="1121">
        <f t="shared" si="95"/>
        <v>1.228357091854685E-4</v>
      </c>
      <c r="G1494" s="1122"/>
      <c r="H1494" s="436">
        <v>42564</v>
      </c>
      <c r="I1494" s="738">
        <v>2152.4299999999998</v>
      </c>
      <c r="J1494" s="440">
        <f t="shared" si="94"/>
        <v>1.3474959807435738E-4</v>
      </c>
      <c r="L1494" s="436">
        <v>42564</v>
      </c>
      <c r="M1494" s="738">
        <v>255.9</v>
      </c>
      <c r="N1494" s="115">
        <f t="shared" si="97"/>
        <v>4.7114252061248862E-3</v>
      </c>
      <c r="O1494" s="1121">
        <f t="shared" si="96"/>
        <v>4.699511317235997E-3</v>
      </c>
      <c r="P1494" s="1122"/>
    </row>
    <row r="1495" spans="6:16">
      <c r="F1495" s="1121">
        <f t="shared" si="95"/>
        <v>5.2472583025412389E-3</v>
      </c>
      <c r="G1495" s="1122"/>
      <c r="H1495" s="436">
        <v>42565</v>
      </c>
      <c r="I1495" s="738">
        <v>2163.75</v>
      </c>
      <c r="J1495" s="440">
        <f t="shared" si="94"/>
        <v>5.2591721914301282E-3</v>
      </c>
      <c r="L1495" s="436">
        <v>42565</v>
      </c>
      <c r="M1495" s="738">
        <v>256</v>
      </c>
      <c r="N1495" s="115">
        <f t="shared" si="97"/>
        <v>3.9077764751849209E-4</v>
      </c>
      <c r="O1495" s="1121">
        <f t="shared" si="96"/>
        <v>3.7886375862960321E-4</v>
      </c>
      <c r="P1495" s="1122"/>
    </row>
    <row r="1496" spans="6:16">
      <c r="F1496" s="1121">
        <f t="shared" si="95"/>
        <v>-9.4085669651467667E-4</v>
      </c>
      <c r="G1496" s="1122"/>
      <c r="H1496" s="436">
        <v>42566</v>
      </c>
      <c r="I1496" s="738">
        <v>2161.7399999999998</v>
      </c>
      <c r="J1496" s="440">
        <f t="shared" si="94"/>
        <v>-9.2894280762578774E-4</v>
      </c>
      <c r="L1496" s="436">
        <v>42566</v>
      </c>
      <c r="M1496" s="738">
        <v>256.98</v>
      </c>
      <c r="N1496" s="115">
        <f t="shared" si="97"/>
        <v>3.8281250000000711E-3</v>
      </c>
      <c r="O1496" s="1121">
        <f t="shared" si="96"/>
        <v>3.8162111111111822E-3</v>
      </c>
      <c r="P1496" s="1122"/>
    </row>
    <row r="1497" spans="6:16">
      <c r="F1497" s="1121">
        <f t="shared" si="95"/>
        <v>2.3704262630258525E-3</v>
      </c>
      <c r="G1497" s="1122"/>
      <c r="H1497" s="436">
        <v>42569</v>
      </c>
      <c r="I1497" s="738">
        <v>2166.89</v>
      </c>
      <c r="J1497" s="440">
        <f t="shared" si="94"/>
        <v>2.3823401519147414E-3</v>
      </c>
      <c r="L1497" s="436">
        <v>42569</v>
      </c>
      <c r="M1497" s="738">
        <v>256.29000000000002</v>
      </c>
      <c r="N1497" s="115">
        <f t="shared" si="97"/>
        <v>-2.6850338547746988E-3</v>
      </c>
      <c r="O1497" s="1121">
        <f t="shared" si="96"/>
        <v>-2.6969477436635876E-3</v>
      </c>
      <c r="P1497" s="1122"/>
    </row>
    <row r="1498" spans="6:16">
      <c r="F1498" s="1121">
        <f t="shared" si="95"/>
        <v>-1.4471505644929679E-3</v>
      </c>
      <c r="G1498" s="1122"/>
      <c r="H1498" s="436">
        <v>42570</v>
      </c>
      <c r="I1498" s="738">
        <v>2163.7800000000002</v>
      </c>
      <c r="J1498" s="440">
        <f t="shared" si="94"/>
        <v>-1.4352366756040791E-3</v>
      </c>
      <c r="L1498" s="436">
        <v>42570</v>
      </c>
      <c r="M1498" s="738">
        <v>258.95999999999998</v>
      </c>
      <c r="N1498" s="115">
        <f t="shared" si="97"/>
        <v>1.0417885988528441E-2</v>
      </c>
      <c r="O1498" s="1121">
        <f t="shared" si="96"/>
        <v>1.0405972099639553E-2</v>
      </c>
      <c r="P1498" s="1122"/>
    </row>
    <row r="1499" spans="6:16">
      <c r="F1499" s="1121">
        <f t="shared" si="95"/>
        <v>4.2583908555858729E-3</v>
      </c>
      <c r="G1499" s="1122"/>
      <c r="H1499" s="436">
        <v>42571</v>
      </c>
      <c r="I1499" s="738">
        <v>2173.02</v>
      </c>
      <c r="J1499" s="440">
        <f t="shared" si="94"/>
        <v>4.2703047444747622E-3</v>
      </c>
      <c r="L1499" s="436">
        <v>42571</v>
      </c>
      <c r="M1499" s="738">
        <v>256.66989999999998</v>
      </c>
      <c r="N1499" s="115">
        <f t="shared" si="97"/>
        <v>-8.8434507259808059E-3</v>
      </c>
      <c r="O1499" s="1121">
        <f t="shared" si="96"/>
        <v>-8.8553646148696943E-3</v>
      </c>
      <c r="P1499" s="1122"/>
    </row>
    <row r="1500" spans="6:16">
      <c r="F1500" s="1121">
        <f t="shared" si="95"/>
        <v>-3.6243978973195053E-3</v>
      </c>
      <c r="G1500" s="1122"/>
      <c r="H1500" s="436">
        <v>42572</v>
      </c>
      <c r="I1500" s="738">
        <v>2165.17</v>
      </c>
      <c r="J1500" s="440">
        <f t="shared" si="94"/>
        <v>-3.6124840084306165E-3</v>
      </c>
      <c r="L1500" s="436">
        <v>42572</v>
      </c>
      <c r="M1500" s="738">
        <v>254.14</v>
      </c>
      <c r="N1500" s="115">
        <f t="shared" si="97"/>
        <v>-9.8566290788284494E-3</v>
      </c>
      <c r="O1500" s="1121">
        <f t="shared" si="96"/>
        <v>-9.8685429677173378E-3</v>
      </c>
      <c r="P1500" s="1122"/>
    </row>
    <row r="1501" spans="6:16">
      <c r="F1501" s="1121">
        <f t="shared" si="95"/>
        <v>4.5420010461970561E-3</v>
      </c>
      <c r="G1501" s="1122"/>
      <c r="H1501" s="436">
        <v>42573</v>
      </c>
      <c r="I1501" s="738">
        <v>2175.0300000000002</v>
      </c>
      <c r="J1501" s="440">
        <f t="shared" ref="J1501:J1564" si="98">I1501/I1500-1</f>
        <v>4.5539149350859454E-3</v>
      </c>
      <c r="L1501" s="436">
        <v>42573</v>
      </c>
      <c r="M1501" s="738">
        <v>257.31009999999998</v>
      </c>
      <c r="N1501" s="115">
        <f t="shared" si="97"/>
        <v>1.2473833320217231E-2</v>
      </c>
      <c r="O1501" s="1121">
        <f t="shared" si="96"/>
        <v>1.2461919431328343E-2</v>
      </c>
      <c r="P1501" s="1122"/>
    </row>
    <row r="1502" spans="6:16">
      <c r="F1502" s="1121">
        <f t="shared" ref="F1502:F1565" si="99">J1502-$I$19</f>
        <v>-3.0233666044836645E-3</v>
      </c>
      <c r="G1502" s="1122"/>
      <c r="H1502" s="436">
        <v>42576</v>
      </c>
      <c r="I1502" s="738">
        <v>2168.48</v>
      </c>
      <c r="J1502" s="440">
        <f t="shared" si="98"/>
        <v>-3.0114527155947757E-3</v>
      </c>
      <c r="L1502" s="436">
        <v>42576</v>
      </c>
      <c r="M1502" s="738">
        <v>255.62</v>
      </c>
      <c r="N1502" s="115">
        <f t="shared" si="97"/>
        <v>-6.5683391363182686E-3</v>
      </c>
      <c r="O1502" s="1121">
        <f t="shared" ref="O1502:O1565" si="100">N1502-$I$19</f>
        <v>-6.5802530252071579E-3</v>
      </c>
      <c r="P1502" s="1122"/>
    </row>
    <row r="1503" spans="6:16">
      <c r="F1503" s="1121">
        <f t="shared" si="99"/>
        <v>3.1089286976226184E-4</v>
      </c>
      <c r="G1503" s="1122"/>
      <c r="H1503" s="436">
        <v>42577</v>
      </c>
      <c r="I1503" s="738">
        <v>2169.1799999999998</v>
      </c>
      <c r="J1503" s="440">
        <f t="shared" si="98"/>
        <v>3.2280675865115072E-4</v>
      </c>
      <c r="L1503" s="436">
        <v>42577</v>
      </c>
      <c r="M1503" s="738">
        <v>254.76</v>
      </c>
      <c r="N1503" s="115">
        <f t="shared" si="97"/>
        <v>-3.3643689852125291E-3</v>
      </c>
      <c r="O1503" s="1121">
        <f t="shared" si="100"/>
        <v>-3.376282874101418E-3</v>
      </c>
      <c r="P1503" s="1122"/>
    </row>
    <row r="1504" spans="6:16">
      <c r="F1504" s="1121">
        <f t="shared" si="99"/>
        <v>-1.2105235017378997E-3</v>
      </c>
      <c r="G1504" s="1122"/>
      <c r="H1504" s="436">
        <v>42578</v>
      </c>
      <c r="I1504" s="738">
        <v>2166.58</v>
      </c>
      <c r="J1504" s="440">
        <f t="shared" si="98"/>
        <v>-1.1986096128490109E-3</v>
      </c>
      <c r="L1504" s="436">
        <v>42578</v>
      </c>
      <c r="M1504" s="738">
        <v>254.16</v>
      </c>
      <c r="N1504" s="115">
        <f t="shared" si="97"/>
        <v>-2.3551577955722713E-3</v>
      </c>
      <c r="O1504" s="1121">
        <f t="shared" si="100"/>
        <v>-2.3670716844611602E-3</v>
      </c>
      <c r="P1504" s="1122"/>
    </row>
    <row r="1505" spans="6:16">
      <c r="F1505" s="1121">
        <f t="shared" si="99"/>
        <v>1.5943042059888206E-3</v>
      </c>
      <c r="G1505" s="1122"/>
      <c r="H1505" s="436">
        <v>42579</v>
      </c>
      <c r="I1505" s="738">
        <v>2170.06</v>
      </c>
      <c r="J1505" s="440">
        <f t="shared" si="98"/>
        <v>1.6062180948777094E-3</v>
      </c>
      <c r="L1505" s="436">
        <v>42579</v>
      </c>
      <c r="M1505" s="738">
        <v>254.55</v>
      </c>
      <c r="N1505" s="115">
        <f t="shared" si="97"/>
        <v>1.5344664778094153E-3</v>
      </c>
      <c r="O1505" s="1121">
        <f t="shared" si="100"/>
        <v>1.5225525889205264E-3</v>
      </c>
      <c r="P1505" s="1122"/>
    </row>
    <row r="1506" spans="6:16">
      <c r="F1506" s="1121">
        <f t="shared" si="99"/>
        <v>1.6193774118123875E-3</v>
      </c>
      <c r="G1506" s="1122"/>
      <c r="H1506" s="436">
        <v>42580</v>
      </c>
      <c r="I1506" s="738">
        <v>2173.6</v>
      </c>
      <c r="J1506" s="440">
        <f t="shared" si="98"/>
        <v>1.6312913007012764E-3</v>
      </c>
      <c r="L1506" s="436">
        <v>42580</v>
      </c>
      <c r="M1506" s="738">
        <v>252.73</v>
      </c>
      <c r="N1506" s="115">
        <f t="shared" si="97"/>
        <v>-7.1498723237085615E-3</v>
      </c>
      <c r="O1506" s="1121">
        <f t="shared" si="100"/>
        <v>-7.1617862125974508E-3</v>
      </c>
      <c r="P1506" s="1122"/>
    </row>
    <row r="1507" spans="6:16">
      <c r="F1507" s="1121">
        <f t="shared" si="99"/>
        <v>-1.2816967376190276E-3</v>
      </c>
      <c r="G1507" s="1122"/>
      <c r="H1507" s="436">
        <v>42583</v>
      </c>
      <c r="I1507" s="738">
        <v>2170.84</v>
      </c>
      <c r="J1507" s="440">
        <f t="shared" si="98"/>
        <v>-1.2697828487301388E-3</v>
      </c>
      <c r="L1507" s="436">
        <v>42583</v>
      </c>
      <c r="M1507" s="738">
        <v>254.84</v>
      </c>
      <c r="N1507" s="115">
        <f t="shared" si="97"/>
        <v>8.3488307680132934E-3</v>
      </c>
      <c r="O1507" s="1121">
        <f t="shared" si="100"/>
        <v>8.336916879124405E-3</v>
      </c>
      <c r="P1507" s="1122"/>
    </row>
    <row r="1508" spans="6:16">
      <c r="F1508" s="1121">
        <f t="shared" si="99"/>
        <v>-6.3735066363966942E-3</v>
      </c>
      <c r="G1508" s="1122"/>
      <c r="H1508" s="436">
        <v>42584</v>
      </c>
      <c r="I1508" s="738">
        <v>2157.0300000000002</v>
      </c>
      <c r="J1508" s="440">
        <f t="shared" si="98"/>
        <v>-6.3615927475078049E-3</v>
      </c>
      <c r="L1508" s="436">
        <v>42584</v>
      </c>
      <c r="M1508" s="738">
        <v>257</v>
      </c>
      <c r="N1508" s="115">
        <f t="shared" si="97"/>
        <v>8.4759064511066295E-3</v>
      </c>
      <c r="O1508" s="1121">
        <f t="shared" si="100"/>
        <v>8.4639925622177412E-3</v>
      </c>
      <c r="P1508" s="1122"/>
    </row>
    <row r="1509" spans="6:16">
      <c r="F1509" s="1121">
        <f t="shared" si="99"/>
        <v>3.1220249065843013E-3</v>
      </c>
      <c r="G1509" s="1122"/>
      <c r="H1509" s="436">
        <v>42585</v>
      </c>
      <c r="I1509" s="738">
        <v>2163.79</v>
      </c>
      <c r="J1509" s="440">
        <f t="shared" si="98"/>
        <v>3.1339387954731901E-3</v>
      </c>
      <c r="L1509" s="436">
        <v>42585</v>
      </c>
      <c r="M1509" s="738">
        <v>256.8501</v>
      </c>
      <c r="N1509" s="115">
        <f t="shared" si="97"/>
        <v>-5.832684824902401E-4</v>
      </c>
      <c r="O1509" s="1121">
        <f t="shared" si="100"/>
        <v>-5.9518237137912904E-4</v>
      </c>
      <c r="P1509" s="1122"/>
    </row>
    <row r="1510" spans="6:16">
      <c r="F1510" s="1121">
        <f t="shared" si="99"/>
        <v>2.0067605745521057E-4</v>
      </c>
      <c r="G1510" s="1122"/>
      <c r="H1510" s="436">
        <v>42586</v>
      </c>
      <c r="I1510" s="738">
        <v>2164.25</v>
      </c>
      <c r="J1510" s="440">
        <f t="shared" si="98"/>
        <v>2.1258994634409945E-4</v>
      </c>
      <c r="L1510" s="436">
        <v>42586</v>
      </c>
      <c r="M1510" s="738">
        <v>257.75</v>
      </c>
      <c r="N1510" s="115">
        <f t="shared" si="97"/>
        <v>3.5035999596650935E-3</v>
      </c>
      <c r="O1510" s="1121">
        <f t="shared" si="100"/>
        <v>3.4916860707762047E-3</v>
      </c>
      <c r="P1510" s="1122"/>
    </row>
    <row r="1511" spans="6:16">
      <c r="F1511" s="1121">
        <f t="shared" si="99"/>
        <v>8.5915284121390531E-3</v>
      </c>
      <c r="G1511" s="1122"/>
      <c r="H1511" s="436">
        <v>42587</v>
      </c>
      <c r="I1511" s="738">
        <v>2182.87</v>
      </c>
      <c r="J1511" s="440">
        <f t="shared" si="98"/>
        <v>8.6034423010279415E-3</v>
      </c>
      <c r="L1511" s="436">
        <v>42587</v>
      </c>
      <c r="M1511" s="738">
        <v>260.29000000000002</v>
      </c>
      <c r="N1511" s="115">
        <f t="shared" si="97"/>
        <v>9.8545101842870686E-3</v>
      </c>
      <c r="O1511" s="1121">
        <f t="shared" si="100"/>
        <v>9.8425962953981802E-3</v>
      </c>
      <c r="P1511" s="1122"/>
    </row>
    <row r="1512" spans="6:16">
      <c r="F1512" s="1121">
        <f t="shared" si="99"/>
        <v>-9.1897660906926275E-4</v>
      </c>
      <c r="G1512" s="1122"/>
      <c r="H1512" s="436">
        <v>42590</v>
      </c>
      <c r="I1512" s="738">
        <v>2180.89</v>
      </c>
      <c r="J1512" s="440">
        <f t="shared" si="98"/>
        <v>-9.0706272018037382E-4</v>
      </c>
      <c r="L1512" s="436">
        <v>42590</v>
      </c>
      <c r="M1512" s="738">
        <v>260.18990000000002</v>
      </c>
      <c r="N1512" s="115">
        <f t="shared" si="97"/>
        <v>-3.8457105536127134E-4</v>
      </c>
      <c r="O1512" s="1121">
        <f t="shared" si="100"/>
        <v>-3.9648494425016022E-4</v>
      </c>
      <c r="P1512" s="1122"/>
    </row>
    <row r="1513" spans="6:16">
      <c r="F1513" s="1121">
        <f t="shared" si="99"/>
        <v>3.778352502240493E-4</v>
      </c>
      <c r="G1513" s="1122"/>
      <c r="H1513" s="436">
        <v>42591</v>
      </c>
      <c r="I1513" s="738">
        <v>2181.7399999999998</v>
      </c>
      <c r="J1513" s="440">
        <f t="shared" si="98"/>
        <v>3.8974913911293818E-4</v>
      </c>
      <c r="L1513" s="436">
        <v>42591</v>
      </c>
      <c r="M1513" s="738">
        <v>260.65989999999999</v>
      </c>
      <c r="N1513" s="115">
        <f t="shared" si="97"/>
        <v>1.806372960672098E-3</v>
      </c>
      <c r="O1513" s="1121">
        <f t="shared" si="100"/>
        <v>1.7944590717832091E-3</v>
      </c>
      <c r="P1513" s="1122"/>
    </row>
    <row r="1514" spans="6:16">
      <c r="F1514" s="1121">
        <f t="shared" si="99"/>
        <v>-2.8765998734700056E-3</v>
      </c>
      <c r="G1514" s="1122"/>
      <c r="H1514" s="436">
        <v>42592</v>
      </c>
      <c r="I1514" s="738">
        <v>2175.4899999999998</v>
      </c>
      <c r="J1514" s="440">
        <f t="shared" si="98"/>
        <v>-2.8646859845811168E-3</v>
      </c>
      <c r="L1514" s="436">
        <v>42592</v>
      </c>
      <c r="M1514" s="738">
        <v>261.3</v>
      </c>
      <c r="N1514" s="115">
        <f t="shared" si="97"/>
        <v>2.4556903459258539E-3</v>
      </c>
      <c r="O1514" s="1121">
        <f t="shared" si="100"/>
        <v>2.4437764570369651E-3</v>
      </c>
      <c r="P1514" s="1122"/>
    </row>
    <row r="1515" spans="6:16">
      <c r="F1515" s="1121">
        <f t="shared" si="99"/>
        <v>4.7226516572639243E-3</v>
      </c>
      <c r="G1515" s="1122"/>
      <c r="H1515" s="436">
        <v>42593</v>
      </c>
      <c r="I1515" s="738">
        <v>2185.79</v>
      </c>
      <c r="J1515" s="440">
        <f t="shared" si="98"/>
        <v>4.7345655461528136E-3</v>
      </c>
      <c r="L1515" s="436">
        <v>42593</v>
      </c>
      <c r="M1515" s="738">
        <v>262.54000000000002</v>
      </c>
      <c r="N1515" s="115">
        <f t="shared" si="97"/>
        <v>4.7455032529659658E-3</v>
      </c>
      <c r="O1515" s="1121">
        <f t="shared" si="100"/>
        <v>4.7335893640770765E-3</v>
      </c>
      <c r="P1515" s="1122"/>
    </row>
    <row r="1516" spans="6:16">
      <c r="F1516" s="1121">
        <f t="shared" si="99"/>
        <v>-8.0796474464340433E-4</v>
      </c>
      <c r="G1516" s="1122"/>
      <c r="H1516" s="436">
        <v>42594</v>
      </c>
      <c r="I1516" s="738">
        <v>2184.0500000000002</v>
      </c>
      <c r="J1516" s="440">
        <f t="shared" si="98"/>
        <v>-7.960508557545154E-4</v>
      </c>
      <c r="L1516" s="436">
        <v>42594</v>
      </c>
      <c r="M1516" s="738">
        <v>264.1499</v>
      </c>
      <c r="N1516" s="115">
        <f t="shared" si="97"/>
        <v>6.1320179782127227E-3</v>
      </c>
      <c r="O1516" s="1121">
        <f t="shared" si="100"/>
        <v>6.1201040893238334E-3</v>
      </c>
      <c r="P1516" s="1122"/>
    </row>
    <row r="1517" spans="6:16">
      <c r="F1517" s="1121">
        <f t="shared" si="99"/>
        <v>2.7810624623850681E-3</v>
      </c>
      <c r="G1517" s="1122"/>
      <c r="H1517" s="436">
        <v>42597</v>
      </c>
      <c r="I1517" s="738">
        <v>2190.15</v>
      </c>
      <c r="J1517" s="440">
        <f t="shared" si="98"/>
        <v>2.7929763512739569E-3</v>
      </c>
      <c r="L1517" s="436">
        <v>42597</v>
      </c>
      <c r="M1517" s="738">
        <v>266.5</v>
      </c>
      <c r="N1517" s="115">
        <f t="shared" si="97"/>
        <v>8.8968422853841211E-3</v>
      </c>
      <c r="O1517" s="1121">
        <f t="shared" si="100"/>
        <v>8.8849283964952327E-3</v>
      </c>
      <c r="P1517" s="1122"/>
    </row>
    <row r="1518" spans="6:16">
      <c r="F1518" s="1121">
        <f t="shared" si="99"/>
        <v>-5.4909906644522522E-3</v>
      </c>
      <c r="G1518" s="1122"/>
      <c r="H1518" s="436">
        <v>42598</v>
      </c>
      <c r="I1518" s="738">
        <v>2178.15</v>
      </c>
      <c r="J1518" s="440">
        <f t="shared" si="98"/>
        <v>-5.4790767755633629E-3</v>
      </c>
      <c r="L1518" s="436">
        <v>42598</v>
      </c>
      <c r="M1518" s="738">
        <v>256.77</v>
      </c>
      <c r="N1518" s="115">
        <f t="shared" si="97"/>
        <v>-3.6510318949343423E-2</v>
      </c>
      <c r="O1518" s="1121">
        <f t="shared" si="100"/>
        <v>-3.6522232838232312E-2</v>
      </c>
      <c r="P1518" s="1122"/>
    </row>
    <row r="1519" spans="6:16">
      <c r="F1519" s="1121">
        <f t="shared" si="99"/>
        <v>1.8566442912178942E-3</v>
      </c>
      <c r="G1519" s="1122"/>
      <c r="H1519" s="436">
        <v>42599</v>
      </c>
      <c r="I1519" s="738">
        <v>2182.2199999999998</v>
      </c>
      <c r="J1519" s="440">
        <f t="shared" si="98"/>
        <v>1.868558180106783E-3</v>
      </c>
      <c r="L1519" s="436">
        <v>42599</v>
      </c>
      <c r="M1519" s="738">
        <v>255.64</v>
      </c>
      <c r="N1519" s="115">
        <f t="shared" si="97"/>
        <v>-4.4008256416248059E-3</v>
      </c>
      <c r="O1519" s="1121">
        <f t="shared" si="100"/>
        <v>-4.4127395305136952E-3</v>
      </c>
      <c r="P1519" s="1122"/>
    </row>
    <row r="1520" spans="6:16">
      <c r="F1520" s="1121">
        <f t="shared" si="99"/>
        <v>2.1876810190489741E-3</v>
      </c>
      <c r="G1520" s="1122"/>
      <c r="H1520" s="436">
        <v>42600</v>
      </c>
      <c r="I1520" s="738">
        <v>2187.02</v>
      </c>
      <c r="J1520" s="440">
        <f t="shared" si="98"/>
        <v>2.1995949079378629E-3</v>
      </c>
      <c r="L1520" s="436">
        <v>42600</v>
      </c>
      <c r="M1520" s="738">
        <v>255.42</v>
      </c>
      <c r="N1520" s="115">
        <f t="shared" si="97"/>
        <v>-8.6058519793463795E-4</v>
      </c>
      <c r="O1520" s="1121">
        <f t="shared" si="100"/>
        <v>-8.7249908682352688E-4</v>
      </c>
      <c r="P1520" s="1122"/>
    </row>
    <row r="1521" spans="6:16">
      <c r="F1521" s="1121">
        <f t="shared" si="99"/>
        <v>-1.4522299353814179E-3</v>
      </c>
      <c r="G1521" s="1122"/>
      <c r="H1521" s="436">
        <v>42601</v>
      </c>
      <c r="I1521" s="738">
        <v>2183.87</v>
      </c>
      <c r="J1521" s="440">
        <f t="shared" si="98"/>
        <v>-1.4403160464925291E-3</v>
      </c>
      <c r="L1521" s="436">
        <v>42601</v>
      </c>
      <c r="M1521" s="738">
        <v>254.12</v>
      </c>
      <c r="N1521" s="115">
        <f t="shared" ref="N1521:N1584" si="101">M1521/M1520-1</f>
        <v>-5.0896562524468392E-3</v>
      </c>
      <c r="O1521" s="1121">
        <f t="shared" si="100"/>
        <v>-5.1015701413357284E-3</v>
      </c>
      <c r="P1521" s="1122"/>
    </row>
    <row r="1522" spans="6:16">
      <c r="F1522" s="1121">
        <f t="shared" si="99"/>
        <v>-5.7513422709588229E-4</v>
      </c>
      <c r="G1522" s="1122"/>
      <c r="H1522" s="436">
        <v>42604</v>
      </c>
      <c r="I1522" s="738">
        <v>2182.64</v>
      </c>
      <c r="J1522" s="440">
        <f t="shared" si="98"/>
        <v>-5.6322033820699335E-4</v>
      </c>
      <c r="L1522" s="436">
        <v>42604</v>
      </c>
      <c r="M1522" s="738">
        <v>254.2</v>
      </c>
      <c r="N1522" s="115">
        <f t="shared" si="101"/>
        <v>3.1481189988968872E-4</v>
      </c>
      <c r="O1522" s="1121">
        <f t="shared" si="100"/>
        <v>3.0289801100079984E-4</v>
      </c>
      <c r="P1522" s="1122"/>
    </row>
    <row r="1523" spans="6:16">
      <c r="F1523" s="1121">
        <f t="shared" si="99"/>
        <v>1.9398509463565065E-3</v>
      </c>
      <c r="G1523" s="1122"/>
      <c r="H1523" s="436">
        <v>42605</v>
      </c>
      <c r="I1523" s="738">
        <v>2186.9</v>
      </c>
      <c r="J1523" s="440">
        <f t="shared" si="98"/>
        <v>1.9517648352453953E-3</v>
      </c>
      <c r="L1523" s="436">
        <v>42605</v>
      </c>
      <c r="M1523" s="738">
        <v>249.75</v>
      </c>
      <c r="N1523" s="115">
        <f t="shared" si="101"/>
        <v>-1.7505900865460222E-2</v>
      </c>
      <c r="O1523" s="1121">
        <f t="shared" si="100"/>
        <v>-1.7517814754349111E-2</v>
      </c>
      <c r="P1523" s="1122"/>
    </row>
    <row r="1524" spans="6:16">
      <c r="F1524" s="1121">
        <f t="shared" si="99"/>
        <v>-5.2522083696607902E-3</v>
      </c>
      <c r="G1524" s="1122"/>
      <c r="H1524" s="436">
        <v>42606</v>
      </c>
      <c r="I1524" s="738">
        <v>2175.44</v>
      </c>
      <c r="J1524" s="440">
        <f t="shared" si="98"/>
        <v>-5.240294480771901E-3</v>
      </c>
      <c r="L1524" s="436">
        <v>42606</v>
      </c>
      <c r="M1524" s="738">
        <v>248.12</v>
      </c>
      <c r="N1524" s="115">
        <f t="shared" si="101"/>
        <v>-6.5265265265265215E-3</v>
      </c>
      <c r="O1524" s="1121">
        <f t="shared" si="100"/>
        <v>-6.5384404154154108E-3</v>
      </c>
      <c r="P1524" s="1122"/>
    </row>
    <row r="1525" spans="6:16">
      <c r="F1525" s="1121">
        <f t="shared" si="99"/>
        <v>-1.3771549435721638E-3</v>
      </c>
      <c r="G1525" s="1122"/>
      <c r="H1525" s="436">
        <v>42607</v>
      </c>
      <c r="I1525" s="738">
        <v>2172.4699999999998</v>
      </c>
      <c r="J1525" s="440">
        <f t="shared" si="98"/>
        <v>-1.3652410546832749E-3</v>
      </c>
      <c r="L1525" s="436">
        <v>42607</v>
      </c>
      <c r="M1525" s="738">
        <v>248.53</v>
      </c>
      <c r="N1525" s="115">
        <f t="shared" si="101"/>
        <v>1.6524262453652128E-3</v>
      </c>
      <c r="O1525" s="1121">
        <f t="shared" si="100"/>
        <v>1.6405123564763239E-3</v>
      </c>
      <c r="P1525" s="1122"/>
    </row>
    <row r="1526" spans="6:16">
      <c r="F1526" s="1121">
        <f t="shared" si="99"/>
        <v>-1.5907619282172843E-3</v>
      </c>
      <c r="G1526" s="1122"/>
      <c r="H1526" s="436">
        <v>42608</v>
      </c>
      <c r="I1526" s="738">
        <v>2169.04</v>
      </c>
      <c r="J1526" s="440">
        <f t="shared" si="98"/>
        <v>-1.5788480393283955E-3</v>
      </c>
      <c r="L1526" s="436">
        <v>42608</v>
      </c>
      <c r="M1526" s="738">
        <v>244.44</v>
      </c>
      <c r="N1526" s="115">
        <f t="shared" si="101"/>
        <v>-1.6456765782802862E-2</v>
      </c>
      <c r="O1526" s="1121">
        <f t="shared" si="100"/>
        <v>-1.6468679671691751E-2</v>
      </c>
      <c r="P1526" s="1122"/>
    </row>
    <row r="1527" spans="6:16">
      <c r="F1527" s="1121">
        <f t="shared" si="99"/>
        <v>5.2162054634513544E-3</v>
      </c>
      <c r="G1527" s="1122"/>
      <c r="H1527" s="436">
        <v>42611</v>
      </c>
      <c r="I1527" s="738">
        <v>2180.38</v>
      </c>
      <c r="J1527" s="440">
        <f t="shared" si="98"/>
        <v>5.2281193523402436E-3</v>
      </c>
      <c r="L1527" s="436">
        <v>42611</v>
      </c>
      <c r="M1527" s="738">
        <v>244.3</v>
      </c>
      <c r="N1527" s="115">
        <f t="shared" si="101"/>
        <v>-5.7273768613974596E-4</v>
      </c>
      <c r="O1527" s="1121">
        <f t="shared" si="100"/>
        <v>-5.8465157502863489E-4</v>
      </c>
      <c r="P1527" s="1122"/>
    </row>
    <row r="1528" spans="6:16">
      <c r="F1528" s="1121">
        <f t="shared" si="99"/>
        <v>-1.9657017607278633E-3</v>
      </c>
      <c r="G1528" s="1122"/>
      <c r="H1528" s="436">
        <v>42612</v>
      </c>
      <c r="I1528" s="738">
        <v>2176.12</v>
      </c>
      <c r="J1528" s="440">
        <f t="shared" si="98"/>
        <v>-1.9537878718389745E-3</v>
      </c>
      <c r="L1528" s="436">
        <v>42612</v>
      </c>
      <c r="M1528" s="738">
        <v>239.45</v>
      </c>
      <c r="N1528" s="115">
        <f t="shared" si="101"/>
        <v>-1.9852640196479809E-2</v>
      </c>
      <c r="O1528" s="1121">
        <f t="shared" si="100"/>
        <v>-1.9864554085368698E-2</v>
      </c>
      <c r="P1528" s="1122"/>
    </row>
    <row r="1529" spans="6:16">
      <c r="F1529" s="1121">
        <f t="shared" si="99"/>
        <v>-2.3877019888098945E-3</v>
      </c>
      <c r="G1529" s="1122"/>
      <c r="H1529" s="436">
        <v>42613</v>
      </c>
      <c r="I1529" s="738">
        <v>2170.9499999999998</v>
      </c>
      <c r="J1529" s="440">
        <f t="shared" si="98"/>
        <v>-2.3757880999210057E-3</v>
      </c>
      <c r="L1529" s="436">
        <v>42613</v>
      </c>
      <c r="M1529" s="738">
        <v>242.97</v>
      </c>
      <c r="N1529" s="115">
        <f t="shared" si="101"/>
        <v>1.4700354980162977E-2</v>
      </c>
      <c r="O1529" s="1121">
        <f t="shared" si="100"/>
        <v>1.4688441091274089E-2</v>
      </c>
      <c r="P1529" s="1122"/>
    </row>
    <row r="1530" spans="6:16">
      <c r="F1530" s="1121">
        <f t="shared" si="99"/>
        <v>-5.3370394105363923E-5</v>
      </c>
      <c r="G1530" s="1122"/>
      <c r="H1530" s="436">
        <v>42614</v>
      </c>
      <c r="I1530" s="738">
        <v>2170.86</v>
      </c>
      <c r="J1530" s="440">
        <f t="shared" si="98"/>
        <v>-4.1456505216475037E-5</v>
      </c>
      <c r="L1530" s="436">
        <v>42614</v>
      </c>
      <c r="M1530" s="738">
        <v>243.61</v>
      </c>
      <c r="N1530" s="115">
        <f t="shared" si="101"/>
        <v>2.6340700498004299E-3</v>
      </c>
      <c r="O1530" s="1121">
        <f t="shared" si="100"/>
        <v>2.6221561609115411E-3</v>
      </c>
      <c r="P1530" s="1122"/>
    </row>
    <row r="1531" spans="6:16">
      <c r="F1531" s="1121">
        <f t="shared" si="99"/>
        <v>4.1891861359860593E-3</v>
      </c>
      <c r="G1531" s="1122"/>
      <c r="H1531" s="436">
        <v>42615</v>
      </c>
      <c r="I1531" s="738">
        <v>2179.98</v>
      </c>
      <c r="J1531" s="440">
        <f t="shared" si="98"/>
        <v>4.2011000248749486E-3</v>
      </c>
      <c r="L1531" s="436">
        <v>42615</v>
      </c>
      <c r="M1531" s="738">
        <v>243.32</v>
      </c>
      <c r="N1531" s="115">
        <f t="shared" si="101"/>
        <v>-1.1904273223596329E-3</v>
      </c>
      <c r="O1531" s="1121">
        <f t="shared" si="100"/>
        <v>-1.2023412112485217E-3</v>
      </c>
      <c r="P1531" s="1122"/>
    </row>
    <row r="1532" spans="6:16">
      <c r="F1532" s="1121">
        <f t="shared" si="99"/>
        <v>-1.1913888888888887E-5</v>
      </c>
      <c r="G1532" s="1122"/>
      <c r="H1532" s="436">
        <v>42618</v>
      </c>
      <c r="I1532" s="738">
        <v>2179.98</v>
      </c>
      <c r="J1532" s="440">
        <f t="shared" si="98"/>
        <v>0</v>
      </c>
      <c r="L1532" s="436">
        <v>42618</v>
      </c>
      <c r="M1532" s="738">
        <v>243.32</v>
      </c>
      <c r="N1532" s="115">
        <f t="shared" si="101"/>
        <v>0</v>
      </c>
      <c r="O1532" s="1121">
        <f t="shared" si="100"/>
        <v>-1.1913888888888887E-5</v>
      </c>
      <c r="P1532" s="1122"/>
    </row>
    <row r="1533" spans="6:16">
      <c r="F1533" s="1121">
        <f t="shared" si="99"/>
        <v>2.9697648421086391E-3</v>
      </c>
      <c r="G1533" s="1122"/>
      <c r="H1533" s="436">
        <v>42619</v>
      </c>
      <c r="I1533" s="738">
        <v>2186.48</v>
      </c>
      <c r="J1533" s="440">
        <f t="shared" si="98"/>
        <v>2.9816787309975279E-3</v>
      </c>
      <c r="L1533" s="436">
        <v>42619</v>
      </c>
      <c r="M1533" s="738">
        <v>243</v>
      </c>
      <c r="N1533" s="115">
        <f t="shared" si="101"/>
        <v>-1.3151405556468543E-3</v>
      </c>
      <c r="O1533" s="1121">
        <f t="shared" si="100"/>
        <v>-1.3270544445357431E-3</v>
      </c>
      <c r="P1533" s="1122"/>
    </row>
    <row r="1534" spans="6:16">
      <c r="F1534" s="1121">
        <f t="shared" si="99"/>
        <v>-1.5826784593409769E-4</v>
      </c>
      <c r="G1534" s="1122"/>
      <c r="H1534" s="436">
        <v>42620</v>
      </c>
      <c r="I1534" s="738">
        <v>2186.16</v>
      </c>
      <c r="J1534" s="440">
        <f t="shared" si="98"/>
        <v>-1.4635395704520882E-4</v>
      </c>
      <c r="L1534" s="436">
        <v>42620</v>
      </c>
      <c r="M1534" s="738">
        <v>241.37</v>
      </c>
      <c r="N1534" s="115">
        <f t="shared" si="101"/>
        <v>-6.7078189300411317E-3</v>
      </c>
      <c r="O1534" s="1121">
        <f t="shared" si="100"/>
        <v>-6.719732818930021E-3</v>
      </c>
      <c r="P1534" s="1122"/>
    </row>
    <row r="1535" spans="6:16">
      <c r="F1535" s="1121">
        <f t="shared" si="99"/>
        <v>-2.2349899674922809E-3</v>
      </c>
      <c r="G1535" s="1122"/>
      <c r="H1535" s="436">
        <v>42621</v>
      </c>
      <c r="I1535" s="738">
        <v>2181.3000000000002</v>
      </c>
      <c r="J1535" s="440">
        <f t="shared" si="98"/>
        <v>-2.2230760786033921E-3</v>
      </c>
      <c r="L1535" s="436">
        <v>42621</v>
      </c>
      <c r="M1535" s="738">
        <v>241.63</v>
      </c>
      <c r="N1535" s="115">
        <f t="shared" si="101"/>
        <v>1.0771844056842728E-3</v>
      </c>
      <c r="O1535" s="1121">
        <f t="shared" si="100"/>
        <v>1.0652705167953839E-3</v>
      </c>
      <c r="P1535" s="1122"/>
    </row>
    <row r="1536" spans="6:16">
      <c r="F1536" s="1121">
        <f t="shared" si="99"/>
        <v>-2.4533987881462223E-2</v>
      </c>
      <c r="G1536" s="1122"/>
      <c r="H1536" s="436">
        <v>42622</v>
      </c>
      <c r="I1536" s="738">
        <v>2127.81</v>
      </c>
      <c r="J1536" s="440">
        <f t="shared" si="98"/>
        <v>-2.4522073992573334E-2</v>
      </c>
      <c r="L1536" s="436">
        <v>42622</v>
      </c>
      <c r="M1536" s="738">
        <v>237.94</v>
      </c>
      <c r="N1536" s="115">
        <f t="shared" si="101"/>
        <v>-1.5271282539419784E-2</v>
      </c>
      <c r="O1536" s="1121">
        <f t="shared" si="100"/>
        <v>-1.5283196428308672E-2</v>
      </c>
      <c r="P1536" s="1122"/>
    </row>
    <row r="1537" spans="6:16">
      <c r="F1537" s="1121">
        <f t="shared" si="99"/>
        <v>1.4665148442804303E-2</v>
      </c>
      <c r="G1537" s="1122"/>
      <c r="H1537" s="436">
        <v>42625</v>
      </c>
      <c r="I1537" s="738">
        <v>2159.04</v>
      </c>
      <c r="J1537" s="440">
        <f t="shared" si="98"/>
        <v>1.4677062331693191E-2</v>
      </c>
      <c r="L1537" s="436">
        <v>42625</v>
      </c>
      <c r="M1537" s="738">
        <v>238.8</v>
      </c>
      <c r="N1537" s="115">
        <f t="shared" si="101"/>
        <v>3.614356560477594E-3</v>
      </c>
      <c r="O1537" s="1121">
        <f t="shared" si="100"/>
        <v>3.6024426715887052E-3</v>
      </c>
      <c r="P1537" s="1122"/>
    </row>
    <row r="1538" spans="6:16">
      <c r="F1538" s="1121">
        <f t="shared" si="99"/>
        <v>-1.4842579369843352E-2</v>
      </c>
      <c r="G1538" s="1122"/>
      <c r="H1538" s="436">
        <v>42626</v>
      </c>
      <c r="I1538" s="738">
        <v>2127.02</v>
      </c>
      <c r="J1538" s="440">
        <f t="shared" si="98"/>
        <v>-1.4830665480954464E-2</v>
      </c>
      <c r="L1538" s="436">
        <v>42626</v>
      </c>
      <c r="M1538" s="738">
        <v>237.41</v>
      </c>
      <c r="N1538" s="115">
        <f t="shared" si="101"/>
        <v>-5.8207705192629966E-3</v>
      </c>
      <c r="O1538" s="1121">
        <f t="shared" si="100"/>
        <v>-5.8326844081518859E-3</v>
      </c>
      <c r="P1538" s="1122"/>
    </row>
    <row r="1539" spans="6:16">
      <c r="F1539" s="1121">
        <f t="shared" si="99"/>
        <v>-5.9959054449155362E-4</v>
      </c>
      <c r="G1539" s="1122"/>
      <c r="H1539" s="436">
        <v>42627</v>
      </c>
      <c r="I1539" s="738">
        <v>2125.77</v>
      </c>
      <c r="J1539" s="440">
        <f t="shared" si="98"/>
        <v>-5.8767665560266469E-4</v>
      </c>
      <c r="L1539" s="436">
        <v>42627</v>
      </c>
      <c r="M1539" s="738">
        <v>237.41</v>
      </c>
      <c r="N1539" s="115">
        <f t="shared" si="101"/>
        <v>0</v>
      </c>
      <c r="O1539" s="1121">
        <f t="shared" si="100"/>
        <v>-1.1913888888888887E-5</v>
      </c>
      <c r="P1539" s="1122"/>
    </row>
    <row r="1540" spans="6:16">
      <c r="F1540" s="1121">
        <f t="shared" si="99"/>
        <v>1.0097364160947302E-2</v>
      </c>
      <c r="G1540" s="1122"/>
      <c r="H1540" s="436">
        <v>42628</v>
      </c>
      <c r="I1540" s="738">
        <v>2147.2600000000002</v>
      </c>
      <c r="J1540" s="440">
        <f t="shared" si="98"/>
        <v>1.010927804983619E-2</v>
      </c>
      <c r="L1540" s="436">
        <v>42628</v>
      </c>
      <c r="M1540" s="738">
        <v>239.09</v>
      </c>
      <c r="N1540" s="115">
        <f t="shared" si="101"/>
        <v>7.0763657807169089E-3</v>
      </c>
      <c r="O1540" s="1121">
        <f t="shared" si="100"/>
        <v>7.0644518918280197E-3</v>
      </c>
      <c r="P1540" s="1122"/>
    </row>
    <row r="1541" spans="6:16">
      <c r="F1541" s="1121">
        <f t="shared" si="99"/>
        <v>-3.7841631740245314E-3</v>
      </c>
      <c r="G1541" s="1122"/>
      <c r="H1541" s="436">
        <v>42629</v>
      </c>
      <c r="I1541" s="738">
        <v>2139.16</v>
      </c>
      <c r="J1541" s="440">
        <f t="shared" si="98"/>
        <v>-3.7722492851356426E-3</v>
      </c>
      <c r="L1541" s="436">
        <v>42629</v>
      </c>
      <c r="M1541" s="738">
        <v>237.45</v>
      </c>
      <c r="N1541" s="115">
        <f t="shared" si="101"/>
        <v>-6.8593416705007293E-3</v>
      </c>
      <c r="O1541" s="1121">
        <f t="shared" si="100"/>
        <v>-6.8712555593896186E-3</v>
      </c>
      <c r="P1541" s="1122"/>
    </row>
    <row r="1542" spans="6:16">
      <c r="F1542" s="1121">
        <f t="shared" si="99"/>
        <v>-3.0612817440219481E-5</v>
      </c>
      <c r="G1542" s="1122"/>
      <c r="H1542" s="436">
        <v>42632</v>
      </c>
      <c r="I1542" s="738">
        <v>2139.12</v>
      </c>
      <c r="J1542" s="440">
        <f t="shared" si="98"/>
        <v>-1.8698928551330596E-5</v>
      </c>
      <c r="L1542" s="436">
        <v>42632</v>
      </c>
      <c r="M1542" s="738">
        <v>240.88</v>
      </c>
      <c r="N1542" s="115">
        <f t="shared" si="101"/>
        <v>1.4445146346599325E-2</v>
      </c>
      <c r="O1542" s="1121">
        <f t="shared" si="100"/>
        <v>1.4433232457710436E-2</v>
      </c>
      <c r="P1542" s="1122"/>
    </row>
    <row r="1543" spans="6:16">
      <c r="F1543" s="1121">
        <f t="shared" si="99"/>
        <v>2.8727456243703798E-4</v>
      </c>
      <c r="G1543" s="1122"/>
      <c r="H1543" s="436">
        <v>42633</v>
      </c>
      <c r="I1543" s="738">
        <v>2139.7600000000002</v>
      </c>
      <c r="J1543" s="440">
        <f t="shared" si="98"/>
        <v>2.9918845132592686E-4</v>
      </c>
      <c r="L1543" s="436">
        <v>42633</v>
      </c>
      <c r="M1543" s="738">
        <v>240.48</v>
      </c>
      <c r="N1543" s="115">
        <f t="shared" si="101"/>
        <v>-1.6605778811026317E-3</v>
      </c>
      <c r="O1543" s="1121">
        <f t="shared" si="100"/>
        <v>-1.6724917699915205E-3</v>
      </c>
      <c r="P1543" s="1122"/>
    </row>
    <row r="1544" spans="6:16">
      <c r="F1544" s="1121">
        <f t="shared" si="99"/>
        <v>1.090519831060998E-2</v>
      </c>
      <c r="G1544" s="1122"/>
      <c r="H1544" s="436">
        <v>42634</v>
      </c>
      <c r="I1544" s="738">
        <v>2163.12</v>
      </c>
      <c r="J1544" s="440">
        <f t="shared" si="98"/>
        <v>1.0917112199498868E-2</v>
      </c>
      <c r="L1544" s="436">
        <v>42634</v>
      </c>
      <c r="M1544" s="738">
        <v>243.82</v>
      </c>
      <c r="N1544" s="115">
        <f t="shared" si="101"/>
        <v>1.388888888888884E-2</v>
      </c>
      <c r="O1544" s="1121">
        <f t="shared" si="100"/>
        <v>1.3876974999999951E-2</v>
      </c>
      <c r="P1544" s="1122"/>
    </row>
    <row r="1545" spans="6:16">
      <c r="F1545" s="1121">
        <f t="shared" si="99"/>
        <v>6.4879566684542455E-3</v>
      </c>
      <c r="G1545" s="1122"/>
      <c r="H1545" s="436">
        <v>42635</v>
      </c>
      <c r="I1545" s="738">
        <v>2177.1799999999998</v>
      </c>
      <c r="J1545" s="440">
        <f t="shared" si="98"/>
        <v>6.4998705573431348E-3</v>
      </c>
      <c r="L1545" s="436">
        <v>42635</v>
      </c>
      <c r="M1545" s="738">
        <v>246.62</v>
      </c>
      <c r="N1545" s="115">
        <f t="shared" si="101"/>
        <v>1.148388155196467E-2</v>
      </c>
      <c r="O1545" s="1121">
        <f t="shared" si="100"/>
        <v>1.1471967663075781E-2</v>
      </c>
      <c r="P1545" s="1122"/>
    </row>
    <row r="1546" spans="6:16">
      <c r="F1546" s="1121">
        <f t="shared" si="99"/>
        <v>-5.7486926577549136E-3</v>
      </c>
      <c r="G1546" s="1122"/>
      <c r="H1546" s="436">
        <v>42636</v>
      </c>
      <c r="I1546" s="738">
        <v>2164.69</v>
      </c>
      <c r="J1546" s="440">
        <f t="shared" si="98"/>
        <v>-5.7367787688660243E-3</v>
      </c>
      <c r="L1546" s="436">
        <v>42636</v>
      </c>
      <c r="M1546" s="738">
        <v>245.84</v>
      </c>
      <c r="N1546" s="115">
        <f t="shared" si="101"/>
        <v>-3.1627605222609434E-3</v>
      </c>
      <c r="O1546" s="1121">
        <f t="shared" si="100"/>
        <v>-3.1746744111498322E-3</v>
      </c>
      <c r="P1546" s="1122"/>
    </row>
    <row r="1547" spans="6:16">
      <c r="F1547" s="1121">
        <f t="shared" si="99"/>
        <v>-8.5997486365895284E-3</v>
      </c>
      <c r="G1547" s="1122"/>
      <c r="H1547" s="436">
        <v>42639</v>
      </c>
      <c r="I1547" s="738">
        <v>2146.1</v>
      </c>
      <c r="J1547" s="440">
        <f t="shared" si="98"/>
        <v>-8.58783474770064E-3</v>
      </c>
      <c r="L1547" s="436">
        <v>42639</v>
      </c>
      <c r="M1547" s="738">
        <v>245.53</v>
      </c>
      <c r="N1547" s="115">
        <f t="shared" si="101"/>
        <v>-1.2609827530101203E-3</v>
      </c>
      <c r="O1547" s="1121">
        <f t="shared" si="100"/>
        <v>-1.2728966418990091E-3</v>
      </c>
      <c r="P1547" s="1122"/>
    </row>
    <row r="1548" spans="6:16">
      <c r="F1548" s="1121">
        <f t="shared" si="99"/>
        <v>6.4323338162507382E-3</v>
      </c>
      <c r="G1548" s="1122"/>
      <c r="H1548" s="436">
        <v>42640</v>
      </c>
      <c r="I1548" s="738">
        <v>2159.9299999999998</v>
      </c>
      <c r="J1548" s="440">
        <f t="shared" si="98"/>
        <v>6.4442477051396274E-3</v>
      </c>
      <c r="L1548" s="436">
        <v>42640</v>
      </c>
      <c r="M1548" s="738">
        <v>245.79</v>
      </c>
      <c r="N1548" s="115">
        <f t="shared" si="101"/>
        <v>1.0589337351851746E-3</v>
      </c>
      <c r="O1548" s="1121">
        <f t="shared" si="100"/>
        <v>1.0470198462962858E-3</v>
      </c>
      <c r="P1548" s="1122"/>
    </row>
    <row r="1549" spans="6:16">
      <c r="F1549" s="1121">
        <f t="shared" si="99"/>
        <v>5.284554052201843E-3</v>
      </c>
      <c r="G1549" s="1122"/>
      <c r="H1549" s="436">
        <v>42641</v>
      </c>
      <c r="I1549" s="738">
        <v>2171.37</v>
      </c>
      <c r="J1549" s="440">
        <f t="shared" si="98"/>
        <v>5.2964679410907323E-3</v>
      </c>
      <c r="L1549" s="436">
        <v>42641</v>
      </c>
      <c r="M1549" s="738">
        <v>245.75</v>
      </c>
      <c r="N1549" s="115">
        <f t="shared" si="101"/>
        <v>-1.6274055087672767E-4</v>
      </c>
      <c r="O1549" s="1121">
        <f t="shared" si="100"/>
        <v>-1.7465443976561655E-4</v>
      </c>
      <c r="P1549" s="1122"/>
    </row>
    <row r="1550" spans="6:16">
      <c r="F1550" s="1121">
        <f t="shared" si="99"/>
        <v>-9.3332179503798976E-3</v>
      </c>
      <c r="G1550" s="1122"/>
      <c r="H1550" s="436">
        <v>42642</v>
      </c>
      <c r="I1550" s="738">
        <v>2151.13</v>
      </c>
      <c r="J1550" s="440">
        <f t="shared" si="98"/>
        <v>-9.3213040614910092E-3</v>
      </c>
      <c r="L1550" s="436">
        <v>42642</v>
      </c>
      <c r="M1550" s="738">
        <v>242.34</v>
      </c>
      <c r="N1550" s="115">
        <f t="shared" si="101"/>
        <v>-1.3875890132248214E-2</v>
      </c>
      <c r="O1550" s="1121">
        <f t="shared" si="100"/>
        <v>-1.3887804021137103E-2</v>
      </c>
      <c r="P1550" s="1122"/>
    </row>
    <row r="1551" spans="6:16">
      <c r="F1551" s="1121">
        <f t="shared" si="99"/>
        <v>7.9559913516126166E-3</v>
      </c>
      <c r="G1551" s="1122"/>
      <c r="H1551" s="436">
        <v>42643</v>
      </c>
      <c r="I1551" s="738">
        <v>2168.27</v>
      </c>
      <c r="J1551" s="440">
        <f t="shared" si="98"/>
        <v>7.9679052405015049E-3</v>
      </c>
      <c r="L1551" s="436">
        <v>42643</v>
      </c>
      <c r="M1551" s="738">
        <v>239.72</v>
      </c>
      <c r="N1551" s="115">
        <f t="shared" si="101"/>
        <v>-1.0811256911776868E-2</v>
      </c>
      <c r="O1551" s="1121">
        <f t="shared" si="100"/>
        <v>-1.0823170800665756E-2</v>
      </c>
      <c r="P1551" s="1122"/>
    </row>
    <row r="1552" spans="6:16">
      <c r="F1552" s="1121">
        <f t="shared" si="99"/>
        <v>-3.2725779205824497E-3</v>
      </c>
      <c r="G1552" s="1122"/>
      <c r="H1552" s="436">
        <v>42646</v>
      </c>
      <c r="I1552" s="738">
        <v>2161.1999999999998</v>
      </c>
      <c r="J1552" s="440">
        <f t="shared" si="98"/>
        <v>-3.2606640316935609E-3</v>
      </c>
      <c r="L1552" s="436">
        <v>42646</v>
      </c>
      <c r="M1552" s="738">
        <v>240.58</v>
      </c>
      <c r="N1552" s="115">
        <f t="shared" si="101"/>
        <v>3.5875187719005552E-3</v>
      </c>
      <c r="O1552" s="1121">
        <f t="shared" si="100"/>
        <v>3.5756048830116664E-3</v>
      </c>
      <c r="P1552" s="1122"/>
    </row>
    <row r="1553" spans="6:16">
      <c r="F1553" s="1121">
        <f t="shared" si="99"/>
        <v>-4.9674941220926383E-3</v>
      </c>
      <c r="G1553" s="1122"/>
      <c r="H1553" s="436">
        <v>42647</v>
      </c>
      <c r="I1553" s="738">
        <v>2150.4899999999998</v>
      </c>
      <c r="J1553" s="440">
        <f t="shared" si="98"/>
        <v>-4.9555802332037491E-3</v>
      </c>
      <c r="L1553" s="436">
        <v>42647</v>
      </c>
      <c r="M1553" s="738">
        <v>237.1</v>
      </c>
      <c r="N1553" s="115">
        <f t="shared" si="101"/>
        <v>-1.446504281320149E-2</v>
      </c>
      <c r="O1553" s="1121">
        <f t="shared" si="100"/>
        <v>-1.4476956702090378E-2</v>
      </c>
      <c r="P1553" s="1122"/>
    </row>
    <row r="1554" spans="6:16">
      <c r="F1554" s="1121">
        <f t="shared" si="99"/>
        <v>4.2847812829093146E-3</v>
      </c>
      <c r="G1554" s="1122"/>
      <c r="H1554" s="436">
        <v>42648</v>
      </c>
      <c r="I1554" s="738">
        <v>2159.73</v>
      </c>
      <c r="J1554" s="440">
        <f t="shared" si="98"/>
        <v>4.2966951717982038E-3</v>
      </c>
      <c r="L1554" s="436">
        <v>42648</v>
      </c>
      <c r="M1554" s="738">
        <v>236.6</v>
      </c>
      <c r="N1554" s="115">
        <f t="shared" si="101"/>
        <v>-2.108814846056517E-3</v>
      </c>
      <c r="O1554" s="1121">
        <f t="shared" si="100"/>
        <v>-2.1207287349454059E-3</v>
      </c>
      <c r="P1554" s="1122"/>
    </row>
    <row r="1555" spans="6:16">
      <c r="F1555" s="1121">
        <f t="shared" si="99"/>
        <v>4.6962778530189965E-4</v>
      </c>
      <c r="G1555" s="1122"/>
      <c r="H1555" s="436">
        <v>42649</v>
      </c>
      <c r="I1555" s="738">
        <v>2160.77</v>
      </c>
      <c r="J1555" s="440">
        <f t="shared" si="98"/>
        <v>4.8154167419078853E-4</v>
      </c>
      <c r="L1555" s="436">
        <v>42649</v>
      </c>
      <c r="M1555" s="738">
        <v>234.72</v>
      </c>
      <c r="N1555" s="115">
        <f t="shared" si="101"/>
        <v>-7.9459002535925416E-3</v>
      </c>
      <c r="O1555" s="1121">
        <f t="shared" si="100"/>
        <v>-7.95781414248143E-3</v>
      </c>
      <c r="P1555" s="1122"/>
    </row>
    <row r="1556" spans="6:16">
      <c r="F1556" s="1121">
        <f t="shared" si="99"/>
        <v>-3.2653837167744356E-3</v>
      </c>
      <c r="G1556" s="1122"/>
      <c r="H1556" s="436">
        <v>42650</v>
      </c>
      <c r="I1556" s="738">
        <v>2153.7399999999998</v>
      </c>
      <c r="J1556" s="440">
        <f t="shared" si="98"/>
        <v>-3.2534698278855467E-3</v>
      </c>
      <c r="L1556" s="436">
        <v>42650</v>
      </c>
      <c r="M1556" s="738">
        <v>233.53</v>
      </c>
      <c r="N1556" s="115">
        <f t="shared" si="101"/>
        <v>-5.0698704839808872E-3</v>
      </c>
      <c r="O1556" s="1121">
        <f t="shared" si="100"/>
        <v>-5.0817843728697765E-3</v>
      </c>
      <c r="P1556" s="1122"/>
    </row>
    <row r="1557" spans="6:16">
      <c r="F1557" s="1121">
        <f t="shared" si="99"/>
        <v>4.5940274039321027E-3</v>
      </c>
      <c r="G1557" s="1122"/>
      <c r="H1557" s="436">
        <v>42653</v>
      </c>
      <c r="I1557" s="738">
        <v>2163.66</v>
      </c>
      <c r="J1557" s="440">
        <f t="shared" si="98"/>
        <v>4.605941292820992E-3</v>
      </c>
      <c r="L1557" s="436">
        <v>42653</v>
      </c>
      <c r="M1557" s="738">
        <v>233.29</v>
      </c>
      <c r="N1557" s="115">
        <f t="shared" si="101"/>
        <v>-1.0277052198861547E-3</v>
      </c>
      <c r="O1557" s="1121">
        <f t="shared" si="100"/>
        <v>-1.0396191087750435E-3</v>
      </c>
      <c r="P1557" s="1122"/>
    </row>
    <row r="1558" spans="6:16">
      <c r="F1558" s="1121">
        <f t="shared" si="99"/>
        <v>-1.2458416574153593E-2</v>
      </c>
      <c r="G1558" s="1122"/>
      <c r="H1558" s="436">
        <v>42654</v>
      </c>
      <c r="I1558" s="738">
        <v>2136.73</v>
      </c>
      <c r="J1558" s="440">
        <f t="shared" si="98"/>
        <v>-1.2446502685264704E-2</v>
      </c>
      <c r="L1558" s="436">
        <v>42654</v>
      </c>
      <c r="M1558" s="738">
        <v>231.85</v>
      </c>
      <c r="N1558" s="115">
        <f t="shared" si="101"/>
        <v>-6.1725749067683688E-3</v>
      </c>
      <c r="O1558" s="1121">
        <f t="shared" si="100"/>
        <v>-6.1844887956572581E-3</v>
      </c>
      <c r="P1558" s="1122"/>
    </row>
    <row r="1559" spans="6:16">
      <c r="F1559" s="1121">
        <f t="shared" si="99"/>
        <v>1.1346979900100844E-3</v>
      </c>
      <c r="G1559" s="1122"/>
      <c r="H1559" s="436">
        <v>42655</v>
      </c>
      <c r="I1559" s="738">
        <v>2139.1799999999998</v>
      </c>
      <c r="J1559" s="440">
        <f t="shared" si="98"/>
        <v>1.1466118788989732E-3</v>
      </c>
      <c r="L1559" s="436">
        <v>42655</v>
      </c>
      <c r="M1559" s="738">
        <v>232.1</v>
      </c>
      <c r="N1559" s="115">
        <f t="shared" si="101"/>
        <v>1.0782833728704144E-3</v>
      </c>
      <c r="O1559" s="1121">
        <f t="shared" si="100"/>
        <v>1.0663694839815256E-3</v>
      </c>
      <c r="P1559" s="1122"/>
    </row>
    <row r="1560" spans="6:16">
      <c r="F1560" s="1121">
        <f t="shared" si="99"/>
        <v>-3.1112323193153231E-3</v>
      </c>
      <c r="G1560" s="1122"/>
      <c r="H1560" s="436">
        <v>42656</v>
      </c>
      <c r="I1560" s="738">
        <v>2132.5500000000002</v>
      </c>
      <c r="J1560" s="440">
        <f t="shared" si="98"/>
        <v>-3.0993184304264343E-3</v>
      </c>
      <c r="L1560" s="436">
        <v>42656</v>
      </c>
      <c r="M1560" s="738">
        <v>232.99</v>
      </c>
      <c r="N1560" s="115">
        <f t="shared" si="101"/>
        <v>3.8345540715210014E-3</v>
      </c>
      <c r="O1560" s="1121">
        <f t="shared" si="100"/>
        <v>3.8226401826321125E-3</v>
      </c>
      <c r="P1560" s="1122"/>
    </row>
    <row r="1561" spans="6:16">
      <c r="F1561" s="1121">
        <f t="shared" si="99"/>
        <v>1.8972264952742769E-4</v>
      </c>
      <c r="G1561" s="1122"/>
      <c r="H1561" s="436">
        <v>42657</v>
      </c>
      <c r="I1561" s="738">
        <v>2132.98</v>
      </c>
      <c r="J1561" s="440">
        <f t="shared" si="98"/>
        <v>2.0163653841631657E-4</v>
      </c>
      <c r="L1561" s="436">
        <v>42657</v>
      </c>
      <c r="M1561" s="738">
        <v>232.57</v>
      </c>
      <c r="N1561" s="115">
        <f t="shared" si="101"/>
        <v>-1.8026524743551819E-3</v>
      </c>
      <c r="O1561" s="1121">
        <f t="shared" si="100"/>
        <v>-1.8145663632440708E-3</v>
      </c>
      <c r="P1561" s="1122"/>
    </row>
    <row r="1562" spans="6:16">
      <c r="F1562" s="1121">
        <f t="shared" si="99"/>
        <v>-3.0499170581638276E-3</v>
      </c>
      <c r="G1562" s="1122"/>
      <c r="H1562" s="436">
        <v>42660</v>
      </c>
      <c r="I1562" s="738">
        <v>2126.5</v>
      </c>
      <c r="J1562" s="440">
        <f t="shared" si="98"/>
        <v>-3.0380031692749387E-3</v>
      </c>
      <c r="L1562" s="436">
        <v>42660</v>
      </c>
      <c r="M1562" s="738">
        <v>232.77</v>
      </c>
      <c r="N1562" s="115">
        <f t="shared" si="101"/>
        <v>8.5995614223688399E-4</v>
      </c>
      <c r="O1562" s="1121">
        <f t="shared" si="100"/>
        <v>8.4804225334799506E-4</v>
      </c>
      <c r="P1562" s="1122"/>
    </row>
    <row r="1563" spans="6:16">
      <c r="F1563" s="1121">
        <f t="shared" si="99"/>
        <v>6.1484435058912689E-3</v>
      </c>
      <c r="G1563" s="1122"/>
      <c r="H1563" s="436">
        <v>42661</v>
      </c>
      <c r="I1563" s="738">
        <v>2139.6</v>
      </c>
      <c r="J1563" s="440">
        <f t="shared" si="98"/>
        <v>6.1603573947801582E-3</v>
      </c>
      <c r="L1563" s="436">
        <v>42661</v>
      </c>
      <c r="M1563" s="738">
        <v>232.79</v>
      </c>
      <c r="N1563" s="115">
        <f t="shared" si="101"/>
        <v>8.5921725308191199E-5</v>
      </c>
      <c r="O1563" s="1121">
        <f t="shared" si="100"/>
        <v>7.4007836419302307E-5</v>
      </c>
      <c r="P1563" s="1122"/>
    </row>
    <row r="1564" spans="6:16">
      <c r="F1564" s="1121">
        <f t="shared" si="99"/>
        <v>2.1800846155045554E-3</v>
      </c>
      <c r="G1564" s="1122"/>
      <c r="H1564" s="436">
        <v>42662</v>
      </c>
      <c r="I1564" s="738">
        <v>2144.29</v>
      </c>
      <c r="J1564" s="440">
        <f t="shared" si="98"/>
        <v>2.1919985043934442E-3</v>
      </c>
      <c r="L1564" s="436">
        <v>42662</v>
      </c>
      <c r="M1564" s="738">
        <v>232.33</v>
      </c>
      <c r="N1564" s="115">
        <f t="shared" si="101"/>
        <v>-1.9760298981914559E-3</v>
      </c>
      <c r="O1564" s="1121">
        <f t="shared" si="100"/>
        <v>-1.9879437870803447E-3</v>
      </c>
      <c r="P1564" s="1122"/>
    </row>
    <row r="1565" spans="6:16">
      <c r="F1565" s="1121">
        <f t="shared" si="99"/>
        <v>-1.387660639561535E-3</v>
      </c>
      <c r="G1565" s="1122"/>
      <c r="H1565" s="436">
        <v>42663</v>
      </c>
      <c r="I1565" s="738">
        <v>2141.34</v>
      </c>
      <c r="J1565" s="440">
        <f t="shared" ref="J1565:J1628" si="102">I1565/I1564-1</f>
        <v>-1.3757467506726462E-3</v>
      </c>
      <c r="L1565" s="436">
        <v>42663</v>
      </c>
      <c r="M1565" s="738">
        <v>231.83</v>
      </c>
      <c r="N1565" s="115">
        <f t="shared" si="101"/>
        <v>-2.1521112211079219E-3</v>
      </c>
      <c r="O1565" s="1121">
        <f t="shared" si="100"/>
        <v>-2.1640251099968107E-3</v>
      </c>
      <c r="P1565" s="1122"/>
    </row>
    <row r="1566" spans="6:16">
      <c r="F1566" s="1121">
        <f t="shared" ref="F1566:F1629" si="103">J1566-$I$19</f>
        <v>-9.5973403025036654E-5</v>
      </c>
      <c r="G1566" s="1122"/>
      <c r="H1566" s="436">
        <v>42664</v>
      </c>
      <c r="I1566" s="738">
        <v>2141.16</v>
      </c>
      <c r="J1566" s="440">
        <f t="shared" si="102"/>
        <v>-8.4059514136147762E-5</v>
      </c>
      <c r="L1566" s="436">
        <v>42664</v>
      </c>
      <c r="M1566" s="738">
        <v>230.52</v>
      </c>
      <c r="N1566" s="115">
        <f t="shared" si="101"/>
        <v>-5.6506923176465884E-3</v>
      </c>
      <c r="O1566" s="1121">
        <f t="shared" ref="O1566:O1629" si="104">N1566-$I$19</f>
        <v>-5.6626062065354777E-3</v>
      </c>
      <c r="P1566" s="1122"/>
    </row>
    <row r="1567" spans="6:16">
      <c r="F1567" s="1121">
        <f t="shared" si="103"/>
        <v>4.7378479224656688E-3</v>
      </c>
      <c r="G1567" s="1122"/>
      <c r="H1567" s="436">
        <v>42667</v>
      </c>
      <c r="I1567" s="738">
        <v>2151.33</v>
      </c>
      <c r="J1567" s="440">
        <f t="shared" si="102"/>
        <v>4.7497618113545581E-3</v>
      </c>
      <c r="L1567" s="436">
        <v>42667</v>
      </c>
      <c r="M1567" s="738">
        <v>232.16</v>
      </c>
      <c r="N1567" s="115">
        <f t="shared" si="101"/>
        <v>7.1143501648447405E-3</v>
      </c>
      <c r="O1567" s="1121">
        <f t="shared" si="104"/>
        <v>7.1024362759558512E-3</v>
      </c>
      <c r="P1567" s="1122"/>
    </row>
    <row r="1568" spans="6:16">
      <c r="F1568" s="1121">
        <f t="shared" si="103"/>
        <v>-3.8095646444680294E-3</v>
      </c>
      <c r="G1568" s="1122"/>
      <c r="H1568" s="436">
        <v>42668</v>
      </c>
      <c r="I1568" s="738">
        <v>2143.16</v>
      </c>
      <c r="J1568" s="440">
        <f t="shared" si="102"/>
        <v>-3.7976507555791406E-3</v>
      </c>
      <c r="L1568" s="436">
        <v>42668</v>
      </c>
      <c r="M1568" s="738">
        <v>249.26</v>
      </c>
      <c r="N1568" s="115">
        <f t="shared" si="101"/>
        <v>7.3656099241902195E-2</v>
      </c>
      <c r="O1568" s="1121">
        <f t="shared" si="104"/>
        <v>7.36441853530133E-2</v>
      </c>
      <c r="P1568" s="1122"/>
    </row>
    <row r="1569" spans="6:16">
      <c r="F1569" s="1121">
        <f t="shared" si="103"/>
        <v>-1.7523345760984761E-3</v>
      </c>
      <c r="G1569" s="1122"/>
      <c r="H1569" s="436">
        <v>42669</v>
      </c>
      <c r="I1569" s="738">
        <v>2139.4299999999998</v>
      </c>
      <c r="J1569" s="440">
        <f t="shared" si="102"/>
        <v>-1.7404206872095873E-3</v>
      </c>
      <c r="L1569" s="436">
        <v>42669</v>
      </c>
      <c r="M1569" s="738">
        <v>250.09</v>
      </c>
      <c r="N1569" s="115">
        <f t="shared" si="101"/>
        <v>3.3298563748695997E-3</v>
      </c>
      <c r="O1569" s="1121">
        <f t="shared" si="104"/>
        <v>3.3179424859807109E-3</v>
      </c>
      <c r="P1569" s="1122"/>
    </row>
    <row r="1570" spans="6:16">
      <c r="F1570" s="1121">
        <f t="shared" si="103"/>
        <v>-2.9986907406670611E-3</v>
      </c>
      <c r="G1570" s="1122"/>
      <c r="H1570" s="436">
        <v>42670</v>
      </c>
      <c r="I1570" s="738">
        <v>2133.04</v>
      </c>
      <c r="J1570" s="440">
        <f t="shared" si="102"/>
        <v>-2.9867768517781723E-3</v>
      </c>
      <c r="L1570" s="436">
        <v>42670</v>
      </c>
      <c r="M1570" s="738">
        <v>248.53</v>
      </c>
      <c r="N1570" s="115">
        <f t="shared" si="101"/>
        <v>-6.2377544084130099E-3</v>
      </c>
      <c r="O1570" s="1121">
        <f t="shared" si="104"/>
        <v>-6.2496682973018991E-3</v>
      </c>
      <c r="P1570" s="1122"/>
    </row>
    <row r="1571" spans="6:16">
      <c r="F1571" s="1121">
        <f t="shared" si="103"/>
        <v>-3.1201537718728097E-3</v>
      </c>
      <c r="G1571" s="1122"/>
      <c r="H1571" s="436">
        <v>42671</v>
      </c>
      <c r="I1571" s="738">
        <v>2126.41</v>
      </c>
      <c r="J1571" s="440">
        <f t="shared" si="102"/>
        <v>-3.1082398829839208E-3</v>
      </c>
      <c r="L1571" s="436">
        <v>42671</v>
      </c>
      <c r="M1571" s="738">
        <v>248</v>
      </c>
      <c r="N1571" s="115">
        <f t="shared" si="101"/>
        <v>-2.1325393312678909E-3</v>
      </c>
      <c r="O1571" s="1121">
        <f t="shared" si="104"/>
        <v>-2.1444532201567797E-3</v>
      </c>
      <c r="P1571" s="1122"/>
    </row>
    <row r="1572" spans="6:16">
      <c r="F1572" s="1121">
        <f t="shared" si="103"/>
        <v>-1.3418569912294252E-4</v>
      </c>
      <c r="G1572" s="1122"/>
      <c r="H1572" s="436">
        <v>42674</v>
      </c>
      <c r="I1572" s="738">
        <v>2126.15</v>
      </c>
      <c r="J1572" s="440">
        <f t="shared" si="102"/>
        <v>-1.2227181023405365E-4</v>
      </c>
      <c r="L1572" s="436">
        <v>42674</v>
      </c>
      <c r="M1572" s="738">
        <v>246.38</v>
      </c>
      <c r="N1572" s="115">
        <f t="shared" si="101"/>
        <v>-6.5322580645161832E-3</v>
      </c>
      <c r="O1572" s="1121">
        <f t="shared" si="104"/>
        <v>-6.5441719534050724E-3</v>
      </c>
      <c r="P1572" s="1122"/>
    </row>
    <row r="1573" spans="6:16">
      <c r="F1573" s="1121">
        <f t="shared" si="103"/>
        <v>-6.798829205306064E-3</v>
      </c>
      <c r="G1573" s="1122"/>
      <c r="H1573" s="436">
        <v>42675</v>
      </c>
      <c r="I1573" s="738">
        <v>2111.7199999999998</v>
      </c>
      <c r="J1573" s="440">
        <f t="shared" si="102"/>
        <v>-6.7869153164171747E-3</v>
      </c>
      <c r="L1573" s="436">
        <v>42675</v>
      </c>
      <c r="M1573" s="738">
        <v>244.98</v>
      </c>
      <c r="N1573" s="115">
        <f t="shared" si="101"/>
        <v>-5.6822794057959092E-3</v>
      </c>
      <c r="O1573" s="1121">
        <f t="shared" si="104"/>
        <v>-5.6941932946847984E-3</v>
      </c>
      <c r="P1573" s="1122"/>
    </row>
    <row r="1574" spans="6:16">
      <c r="F1574" s="1121">
        <f t="shared" si="103"/>
        <v>-6.5374002223042094E-3</v>
      </c>
      <c r="G1574" s="1122"/>
      <c r="H1574" s="436">
        <v>42676</v>
      </c>
      <c r="I1574" s="738">
        <v>2097.94</v>
      </c>
      <c r="J1574" s="440">
        <f t="shared" si="102"/>
        <v>-6.5254863334153201E-3</v>
      </c>
      <c r="L1574" s="436">
        <v>42676</v>
      </c>
      <c r="M1574" s="738">
        <v>245.11</v>
      </c>
      <c r="N1574" s="115">
        <f t="shared" si="101"/>
        <v>5.3065556371967304E-4</v>
      </c>
      <c r="O1574" s="1121">
        <f t="shared" si="104"/>
        <v>5.1874167483078411E-4</v>
      </c>
      <c r="P1574" s="1122"/>
    </row>
    <row r="1575" spans="6:16">
      <c r="F1575" s="1121">
        <f t="shared" si="103"/>
        <v>-4.4353006397016637E-3</v>
      </c>
      <c r="G1575" s="1122"/>
      <c r="H1575" s="436">
        <v>42677</v>
      </c>
      <c r="I1575" s="738">
        <v>2088.66</v>
      </c>
      <c r="J1575" s="440">
        <f t="shared" si="102"/>
        <v>-4.4233867508127744E-3</v>
      </c>
      <c r="L1575" s="436">
        <v>42677</v>
      </c>
      <c r="M1575" s="738">
        <v>238.7</v>
      </c>
      <c r="N1575" s="115">
        <f t="shared" si="101"/>
        <v>-2.6151523805638344E-2</v>
      </c>
      <c r="O1575" s="1121">
        <f t="shared" si="104"/>
        <v>-2.6163437694527232E-2</v>
      </c>
      <c r="P1575" s="1122"/>
    </row>
    <row r="1576" spans="6:16">
      <c r="F1576" s="1121">
        <f t="shared" si="103"/>
        <v>-1.678053902103079E-3</v>
      </c>
      <c r="G1576" s="1122"/>
      <c r="H1576" s="436">
        <v>42678</v>
      </c>
      <c r="I1576" s="738">
        <v>2085.1799999999998</v>
      </c>
      <c r="J1576" s="440">
        <f t="shared" si="102"/>
        <v>-1.6661400132141901E-3</v>
      </c>
      <c r="L1576" s="436">
        <v>42678</v>
      </c>
      <c r="M1576" s="738">
        <v>236.28</v>
      </c>
      <c r="N1576" s="115">
        <f t="shared" si="101"/>
        <v>-1.0138248847926246E-2</v>
      </c>
      <c r="O1576" s="1121">
        <f t="shared" si="104"/>
        <v>-1.0150162736815134E-2</v>
      </c>
      <c r="P1576" s="1122"/>
    </row>
    <row r="1577" spans="6:16">
      <c r="F1577" s="1121">
        <f t="shared" si="103"/>
        <v>2.2211587199746245E-2</v>
      </c>
      <c r="G1577" s="1122"/>
      <c r="H1577" s="436">
        <v>42681</v>
      </c>
      <c r="I1577" s="738">
        <v>2131.52</v>
      </c>
      <c r="J1577" s="440">
        <f t="shared" si="102"/>
        <v>2.2223501088635134E-2</v>
      </c>
      <c r="L1577" s="436">
        <v>42681</v>
      </c>
      <c r="M1577" s="738">
        <v>239.27</v>
      </c>
      <c r="N1577" s="115">
        <f t="shared" si="101"/>
        <v>1.2654477738276659E-2</v>
      </c>
      <c r="O1577" s="1121">
        <f t="shared" si="104"/>
        <v>1.2642563849387771E-2</v>
      </c>
      <c r="P1577" s="1122"/>
    </row>
    <row r="1578" spans="6:16">
      <c r="F1578" s="1121">
        <f t="shared" si="103"/>
        <v>3.7600422738493992E-3</v>
      </c>
      <c r="G1578" s="1122"/>
      <c r="H1578" s="436">
        <v>42682</v>
      </c>
      <c r="I1578" s="738">
        <v>2139.56</v>
      </c>
      <c r="J1578" s="440">
        <f t="shared" si="102"/>
        <v>3.771956162738288E-3</v>
      </c>
      <c r="L1578" s="436">
        <v>42682</v>
      </c>
      <c r="M1578" s="738">
        <v>239.19</v>
      </c>
      <c r="N1578" s="115">
        <f t="shared" si="101"/>
        <v>-3.3435031554318595E-4</v>
      </c>
      <c r="O1578" s="1121">
        <f t="shared" si="104"/>
        <v>-3.4626420443207483E-4</v>
      </c>
      <c r="P1578" s="1122"/>
    </row>
    <row r="1579" spans="6:16">
      <c r="F1579" s="1121">
        <f t="shared" si="103"/>
        <v>1.106512998929176E-2</v>
      </c>
      <c r="G1579" s="1122"/>
      <c r="H1579" s="436">
        <v>42683</v>
      </c>
      <c r="I1579" s="738">
        <v>2163.2600000000002</v>
      </c>
      <c r="J1579" s="440">
        <f t="shared" si="102"/>
        <v>1.1077043878180648E-2</v>
      </c>
      <c r="L1579" s="436">
        <v>42683</v>
      </c>
      <c r="M1579" s="738">
        <v>253.46</v>
      </c>
      <c r="N1579" s="115">
        <f t="shared" si="101"/>
        <v>5.9659684769430177E-2</v>
      </c>
      <c r="O1579" s="1121">
        <f t="shared" si="104"/>
        <v>5.9647770880541288E-2</v>
      </c>
      <c r="P1579" s="1122"/>
    </row>
    <row r="1580" spans="6:16">
      <c r="F1580" s="1121">
        <f t="shared" si="103"/>
        <v>1.9388456129739644E-3</v>
      </c>
      <c r="G1580" s="1122"/>
      <c r="H1580" s="436">
        <v>42684</v>
      </c>
      <c r="I1580" s="738">
        <v>2167.48</v>
      </c>
      <c r="J1580" s="440">
        <f t="shared" si="102"/>
        <v>1.9507595018628532E-3</v>
      </c>
      <c r="L1580" s="436">
        <v>42684</v>
      </c>
      <c r="M1580" s="738">
        <v>257.27</v>
      </c>
      <c r="N1580" s="115">
        <f t="shared" si="101"/>
        <v>1.5031957705357701E-2</v>
      </c>
      <c r="O1580" s="1121">
        <f t="shared" si="104"/>
        <v>1.5020043816468813E-2</v>
      </c>
      <c r="P1580" s="1122"/>
    </row>
    <row r="1581" spans="6:16">
      <c r="F1581" s="1121">
        <f t="shared" si="103"/>
        <v>-1.4098506633920612E-3</v>
      </c>
      <c r="G1581" s="1122"/>
      <c r="H1581" s="436">
        <v>42685</v>
      </c>
      <c r="I1581" s="738">
        <v>2164.4499999999998</v>
      </c>
      <c r="J1581" s="440">
        <f t="shared" si="102"/>
        <v>-1.3979367745031723E-3</v>
      </c>
      <c r="L1581" s="436">
        <v>42685</v>
      </c>
      <c r="M1581" s="738">
        <v>259.16989999999998</v>
      </c>
      <c r="N1581" s="115">
        <f t="shared" si="101"/>
        <v>7.3848486026353299E-3</v>
      </c>
      <c r="O1581" s="1121">
        <f t="shared" si="104"/>
        <v>7.3729347137464407E-3</v>
      </c>
      <c r="P1581" s="1122"/>
    </row>
    <row r="1582" spans="6:16">
      <c r="F1582" s="1121">
        <f t="shared" si="103"/>
        <v>-1.2741667250593857E-4</v>
      </c>
      <c r="G1582" s="1122"/>
      <c r="H1582" s="436">
        <v>42688</v>
      </c>
      <c r="I1582" s="738">
        <v>2164.1999999999998</v>
      </c>
      <c r="J1582" s="440">
        <f t="shared" si="102"/>
        <v>-1.1550278361704969E-4</v>
      </c>
      <c r="L1582" s="436">
        <v>42688</v>
      </c>
      <c r="M1582" s="738">
        <v>267.24</v>
      </c>
      <c r="N1582" s="115">
        <f t="shared" si="101"/>
        <v>3.1138261040344783E-2</v>
      </c>
      <c r="O1582" s="1121">
        <f t="shared" si="104"/>
        <v>3.1126347151455895E-2</v>
      </c>
      <c r="P1582" s="1122"/>
    </row>
    <row r="1583" spans="6:16">
      <c r="F1583" s="1121">
        <f t="shared" si="103"/>
        <v>7.4689104341866186E-3</v>
      </c>
      <c r="G1583" s="1122"/>
      <c r="H1583" s="436">
        <v>42689</v>
      </c>
      <c r="I1583" s="738">
        <v>2180.39</v>
      </c>
      <c r="J1583" s="440">
        <f t="shared" si="102"/>
        <v>7.4808243230755078E-3</v>
      </c>
      <c r="L1583" s="436">
        <v>42689</v>
      </c>
      <c r="M1583" s="738">
        <v>265.92989999999998</v>
      </c>
      <c r="N1583" s="115">
        <f t="shared" si="101"/>
        <v>-4.9023349797935323E-3</v>
      </c>
      <c r="O1583" s="1121">
        <f t="shared" si="104"/>
        <v>-4.9142488686824215E-3</v>
      </c>
      <c r="P1583" s="1122"/>
    </row>
    <row r="1584" spans="6:16">
      <c r="F1584" s="1121">
        <f t="shared" si="103"/>
        <v>-1.5941996267613352E-3</v>
      </c>
      <c r="G1584" s="1122"/>
      <c r="H1584" s="436">
        <v>42690</v>
      </c>
      <c r="I1584" s="738">
        <v>2176.94</v>
      </c>
      <c r="J1584" s="440">
        <f t="shared" si="102"/>
        <v>-1.5822857378724464E-3</v>
      </c>
      <c r="L1584" s="436">
        <v>42690</v>
      </c>
      <c r="M1584" s="738">
        <v>263.3501</v>
      </c>
      <c r="N1584" s="115">
        <f t="shared" si="101"/>
        <v>-9.701052796244336E-3</v>
      </c>
      <c r="O1584" s="1121">
        <f t="shared" si="104"/>
        <v>-9.7129666851332244E-3</v>
      </c>
      <c r="P1584" s="1122"/>
    </row>
    <row r="1585" spans="6:16">
      <c r="F1585" s="1121">
        <f t="shared" si="103"/>
        <v>4.6643748466755819E-3</v>
      </c>
      <c r="G1585" s="1122"/>
      <c r="H1585" s="436">
        <v>42691</v>
      </c>
      <c r="I1585" s="738">
        <v>2187.12</v>
      </c>
      <c r="J1585" s="440">
        <f t="shared" si="102"/>
        <v>4.6762887355644711E-3</v>
      </c>
      <c r="L1585" s="436">
        <v>42691</v>
      </c>
      <c r="M1585" s="738">
        <v>263.27999999999997</v>
      </c>
      <c r="N1585" s="115">
        <f t="shared" ref="N1585:N1648" si="105">M1585/M1584-1</f>
        <v>-2.6618558337365705E-4</v>
      </c>
      <c r="O1585" s="1121">
        <f t="shared" si="104"/>
        <v>-2.7809947226254593E-4</v>
      </c>
      <c r="P1585" s="1122"/>
    </row>
    <row r="1586" spans="6:16">
      <c r="F1586" s="1121">
        <f t="shared" si="103"/>
        <v>-2.3986142071155199E-3</v>
      </c>
      <c r="G1586" s="1122"/>
      <c r="H1586" s="436">
        <v>42692</v>
      </c>
      <c r="I1586" s="738">
        <v>2181.9</v>
      </c>
      <c r="J1586" s="440">
        <f t="shared" si="102"/>
        <v>-2.3867003182266311E-3</v>
      </c>
      <c r="L1586" s="436">
        <v>42692</v>
      </c>
      <c r="M1586" s="738">
        <v>263.09010000000001</v>
      </c>
      <c r="N1586" s="115">
        <f t="shared" si="105"/>
        <v>-7.2128532360971054E-4</v>
      </c>
      <c r="O1586" s="1121">
        <f t="shared" si="104"/>
        <v>-7.3319921249859947E-4</v>
      </c>
      <c r="P1586" s="1122"/>
    </row>
    <row r="1587" spans="6:16">
      <c r="F1587" s="1121">
        <f t="shared" si="103"/>
        <v>7.4494729757702471E-3</v>
      </c>
      <c r="G1587" s="1122"/>
      <c r="H1587" s="436">
        <v>42695</v>
      </c>
      <c r="I1587" s="738">
        <v>2198.1799999999998</v>
      </c>
      <c r="J1587" s="440">
        <f t="shared" si="102"/>
        <v>7.4613868646591364E-3</v>
      </c>
      <c r="L1587" s="436">
        <v>42695</v>
      </c>
      <c r="M1587" s="738">
        <v>263.41989999999998</v>
      </c>
      <c r="N1587" s="115">
        <f t="shared" si="105"/>
        <v>1.2535629428853667E-3</v>
      </c>
      <c r="O1587" s="1121">
        <f t="shared" si="104"/>
        <v>1.2416490539964779E-3</v>
      </c>
      <c r="P1587" s="1122"/>
    </row>
    <row r="1588" spans="6:16">
      <c r="F1588" s="1121">
        <f t="shared" si="103"/>
        <v>2.1535138740787978E-3</v>
      </c>
      <c r="G1588" s="1122"/>
      <c r="H1588" s="436">
        <v>42696</v>
      </c>
      <c r="I1588" s="738">
        <v>2202.94</v>
      </c>
      <c r="J1588" s="440">
        <f t="shared" si="102"/>
        <v>2.1654277629676866E-3</v>
      </c>
      <c r="L1588" s="436">
        <v>42696</v>
      </c>
      <c r="M1588" s="738">
        <v>264.65989999999999</v>
      </c>
      <c r="N1588" s="115">
        <f t="shared" si="105"/>
        <v>4.7073133047275117E-3</v>
      </c>
      <c r="O1588" s="1121">
        <f t="shared" si="104"/>
        <v>4.6953994158386225E-3</v>
      </c>
      <c r="P1588" s="1122"/>
    </row>
    <row r="1589" spans="6:16">
      <c r="F1589" s="1121">
        <f t="shared" si="103"/>
        <v>7.9609722353356867E-4</v>
      </c>
      <c r="G1589" s="1122"/>
      <c r="H1589" s="436">
        <v>42697</v>
      </c>
      <c r="I1589" s="738">
        <v>2204.7199999999998</v>
      </c>
      <c r="J1589" s="440">
        <f t="shared" si="102"/>
        <v>8.080111124224576E-4</v>
      </c>
      <c r="L1589" s="436">
        <v>42697</v>
      </c>
      <c r="M1589" s="738">
        <v>264.3999</v>
      </c>
      <c r="N1589" s="115">
        <f t="shared" si="105"/>
        <v>-9.8239287477996928E-4</v>
      </c>
      <c r="O1589" s="1121">
        <f t="shared" si="104"/>
        <v>-9.9430676366885811E-4</v>
      </c>
      <c r="P1589" s="1122"/>
    </row>
    <row r="1590" spans="6:16">
      <c r="F1590" s="1121">
        <f t="shared" si="103"/>
        <v>-1.1913888888888887E-5</v>
      </c>
      <c r="G1590" s="1122"/>
      <c r="H1590" s="436">
        <v>42698</v>
      </c>
      <c r="I1590" s="738">
        <v>2204.7199999999998</v>
      </c>
      <c r="J1590" s="440">
        <f t="shared" si="102"/>
        <v>0</v>
      </c>
      <c r="L1590" s="436">
        <v>42698</v>
      </c>
      <c r="M1590" s="738">
        <v>264.3999</v>
      </c>
      <c r="N1590" s="115">
        <f t="shared" si="105"/>
        <v>0</v>
      </c>
      <c r="O1590" s="1121">
        <f t="shared" si="104"/>
        <v>-1.1913888888888887E-5</v>
      </c>
      <c r="P1590" s="1122"/>
    </row>
    <row r="1591" spans="6:16">
      <c r="F1591" s="1121">
        <f t="shared" si="103"/>
        <v>3.9024153683410094E-3</v>
      </c>
      <c r="G1591" s="1122"/>
      <c r="H1591" s="436">
        <v>42699</v>
      </c>
      <c r="I1591" s="738">
        <v>2213.35</v>
      </c>
      <c r="J1591" s="440">
        <f t="shared" si="102"/>
        <v>3.9143292572298982E-3</v>
      </c>
      <c r="L1591" s="436">
        <v>42699</v>
      </c>
      <c r="M1591" s="738">
        <v>265.91989999999998</v>
      </c>
      <c r="N1591" s="115">
        <f t="shared" si="105"/>
        <v>5.7488675298287273E-3</v>
      </c>
      <c r="O1591" s="1121">
        <f t="shared" si="104"/>
        <v>5.736953640939838E-3</v>
      </c>
      <c r="P1591" s="1122"/>
    </row>
    <row r="1592" spans="6:16">
      <c r="F1592" s="1121">
        <f t="shared" si="103"/>
        <v>-5.2663923943219249E-3</v>
      </c>
      <c r="G1592" s="1122"/>
      <c r="H1592" s="436">
        <v>42702</v>
      </c>
      <c r="I1592" s="738">
        <v>2201.7199999999998</v>
      </c>
      <c r="J1592" s="440">
        <f t="shared" si="102"/>
        <v>-5.2544785054330356E-3</v>
      </c>
      <c r="L1592" s="436">
        <v>42702</v>
      </c>
      <c r="M1592" s="738">
        <v>265.92989999999998</v>
      </c>
      <c r="N1592" s="115">
        <f t="shared" si="105"/>
        <v>3.760530896701475E-5</v>
      </c>
      <c r="O1592" s="1121">
        <f t="shared" si="104"/>
        <v>2.5691420078125864E-5</v>
      </c>
      <c r="P1592" s="1122"/>
    </row>
    <row r="1593" spans="6:16">
      <c r="F1593" s="1121">
        <f t="shared" si="103"/>
        <v>1.3234057702867712E-3</v>
      </c>
      <c r="G1593" s="1122"/>
      <c r="H1593" s="436">
        <v>42703</v>
      </c>
      <c r="I1593" s="738">
        <v>2204.66</v>
      </c>
      <c r="J1593" s="440">
        <f t="shared" si="102"/>
        <v>1.33531965917566E-3</v>
      </c>
      <c r="L1593" s="436">
        <v>42703</v>
      </c>
      <c r="M1593" s="738">
        <v>266.58010000000002</v>
      </c>
      <c r="N1593" s="115">
        <f t="shared" si="105"/>
        <v>2.445005243863374E-3</v>
      </c>
      <c r="O1593" s="1121">
        <f t="shared" si="104"/>
        <v>2.4330913549744852E-3</v>
      </c>
      <c r="P1593" s="1122"/>
    </row>
    <row r="1594" spans="6:16">
      <c r="F1594" s="1121">
        <f t="shared" si="103"/>
        <v>-2.6653842652734146E-3</v>
      </c>
      <c r="G1594" s="1122"/>
      <c r="H1594" s="436">
        <v>42704</v>
      </c>
      <c r="I1594" s="738">
        <v>2198.81</v>
      </c>
      <c r="J1594" s="440">
        <f t="shared" si="102"/>
        <v>-2.6534703763845258E-3</v>
      </c>
      <c r="L1594" s="436">
        <v>42704</v>
      </c>
      <c r="M1594" s="738">
        <v>265.25</v>
      </c>
      <c r="N1594" s="115">
        <f t="shared" si="105"/>
        <v>-4.989494714721876E-3</v>
      </c>
      <c r="O1594" s="1121">
        <f t="shared" si="104"/>
        <v>-5.0014086036107653E-3</v>
      </c>
      <c r="P1594" s="1122"/>
    </row>
    <row r="1595" spans="6:16">
      <c r="F1595" s="1121">
        <f t="shared" si="103"/>
        <v>-3.5274518389618666E-3</v>
      </c>
      <c r="G1595" s="1122"/>
      <c r="H1595" s="436">
        <v>42705</v>
      </c>
      <c r="I1595" s="738">
        <v>2191.08</v>
      </c>
      <c r="J1595" s="440">
        <f t="shared" si="102"/>
        <v>-3.5155379500729778E-3</v>
      </c>
      <c r="L1595" s="436">
        <v>42705</v>
      </c>
      <c r="M1595" s="738">
        <v>266.3999</v>
      </c>
      <c r="N1595" s="115">
        <f t="shared" si="105"/>
        <v>4.3351555136663666E-3</v>
      </c>
      <c r="O1595" s="1121">
        <f t="shared" si="104"/>
        <v>4.3232416247774774E-3</v>
      </c>
      <c r="P1595" s="1122"/>
    </row>
    <row r="1596" spans="6:16">
      <c r="F1596" s="1121">
        <f t="shared" si="103"/>
        <v>3.8515057247267371E-4</v>
      </c>
      <c r="G1596" s="1122"/>
      <c r="H1596" s="436">
        <v>42706</v>
      </c>
      <c r="I1596" s="738">
        <v>2191.9499999999998</v>
      </c>
      <c r="J1596" s="440">
        <f t="shared" si="102"/>
        <v>3.9706446136156259E-4</v>
      </c>
      <c r="L1596" s="436">
        <v>42706</v>
      </c>
      <c r="M1596" s="738">
        <v>267.62009999999998</v>
      </c>
      <c r="N1596" s="115">
        <f t="shared" si="105"/>
        <v>4.5803320496740074E-3</v>
      </c>
      <c r="O1596" s="1121">
        <f t="shared" si="104"/>
        <v>4.5684181607851182E-3</v>
      </c>
      <c r="P1596" s="1122"/>
    </row>
    <row r="1597" spans="6:16">
      <c r="F1597" s="1121">
        <f t="shared" si="103"/>
        <v>5.8093867794658449E-3</v>
      </c>
      <c r="G1597" s="1122"/>
      <c r="H1597" s="436">
        <v>42709</v>
      </c>
      <c r="I1597" s="738">
        <v>2204.71</v>
      </c>
      <c r="J1597" s="440">
        <f t="shared" si="102"/>
        <v>5.8213006683547341E-3</v>
      </c>
      <c r="L1597" s="436">
        <v>42709</v>
      </c>
      <c r="M1597" s="738">
        <v>266.92989999999998</v>
      </c>
      <c r="N1597" s="115">
        <f t="shared" si="105"/>
        <v>-2.5790290041741715E-3</v>
      </c>
      <c r="O1597" s="1121">
        <f t="shared" si="104"/>
        <v>-2.5909428930630603E-3</v>
      </c>
      <c r="P1597" s="1122"/>
    </row>
    <row r="1598" spans="6:16">
      <c r="F1598" s="1121">
        <f t="shared" si="103"/>
        <v>3.3989655465017569E-3</v>
      </c>
      <c r="G1598" s="1122"/>
      <c r="H1598" s="436">
        <v>42710</v>
      </c>
      <c r="I1598" s="738">
        <v>2212.23</v>
      </c>
      <c r="J1598" s="440">
        <f t="shared" si="102"/>
        <v>3.4108794353906458E-3</v>
      </c>
      <c r="L1598" s="436">
        <v>42710</v>
      </c>
      <c r="M1598" s="738">
        <v>266</v>
      </c>
      <c r="N1598" s="115">
        <f t="shared" si="105"/>
        <v>-3.4836861662930207E-3</v>
      </c>
      <c r="O1598" s="1121">
        <f t="shared" si="104"/>
        <v>-3.4956000551819096E-3</v>
      </c>
      <c r="P1598" s="1122"/>
    </row>
    <row r="1599" spans="6:16">
      <c r="F1599" s="1121">
        <f t="shared" si="103"/>
        <v>1.3151274387194538E-2</v>
      </c>
      <c r="G1599" s="1122"/>
      <c r="H1599" s="436">
        <v>42711</v>
      </c>
      <c r="I1599" s="738">
        <v>2241.35</v>
      </c>
      <c r="J1599" s="440">
        <f t="shared" si="102"/>
        <v>1.3163188276083426E-2</v>
      </c>
      <c r="L1599" s="436">
        <v>42711</v>
      </c>
      <c r="M1599" s="738">
        <v>266.37990000000002</v>
      </c>
      <c r="N1599" s="115">
        <f t="shared" si="105"/>
        <v>1.4281954887218618E-3</v>
      </c>
      <c r="O1599" s="1121">
        <f t="shared" si="104"/>
        <v>1.4162815998329729E-3</v>
      </c>
      <c r="P1599" s="1122"/>
    </row>
    <row r="1600" spans="6:16">
      <c r="F1600" s="1121">
        <f t="shared" si="103"/>
        <v>2.1474989649715652E-3</v>
      </c>
      <c r="G1600" s="1122"/>
      <c r="H1600" s="436">
        <v>42712</v>
      </c>
      <c r="I1600" s="738">
        <v>2246.19</v>
      </c>
      <c r="J1600" s="440">
        <f t="shared" si="102"/>
        <v>2.159412853860454E-3</v>
      </c>
      <c r="L1600" s="436">
        <v>42712</v>
      </c>
      <c r="M1600" s="738">
        <v>259.25</v>
      </c>
      <c r="N1600" s="115">
        <f t="shared" si="105"/>
        <v>-2.6765908388733606E-2</v>
      </c>
      <c r="O1600" s="1121">
        <f t="shared" si="104"/>
        <v>-2.6777822277622494E-2</v>
      </c>
      <c r="P1600" s="1122"/>
    </row>
    <row r="1601" spans="6:16">
      <c r="F1601" s="1121">
        <f t="shared" si="103"/>
        <v>5.9270316143856727E-3</v>
      </c>
      <c r="G1601" s="1122"/>
      <c r="H1601" s="436">
        <v>42713</v>
      </c>
      <c r="I1601" s="738">
        <v>2259.5300000000002</v>
      </c>
      <c r="J1601" s="440">
        <f t="shared" si="102"/>
        <v>5.9389455032745619E-3</v>
      </c>
      <c r="L1601" s="436">
        <v>42713</v>
      </c>
      <c r="M1601" s="738">
        <v>259.52999999999997</v>
      </c>
      <c r="N1601" s="115">
        <f t="shared" si="105"/>
        <v>1.0800385728060302E-3</v>
      </c>
      <c r="O1601" s="1121">
        <f t="shared" si="104"/>
        <v>1.0681246839171414E-3</v>
      </c>
      <c r="P1601" s="1122"/>
    </row>
    <row r="1602" spans="6:16">
      <c r="F1602" s="1121">
        <f t="shared" si="103"/>
        <v>-1.1493185703934723E-3</v>
      </c>
      <c r="G1602" s="1122"/>
      <c r="H1602" s="436">
        <v>42716</v>
      </c>
      <c r="I1602" s="738">
        <v>2256.96</v>
      </c>
      <c r="J1602" s="440">
        <f t="shared" si="102"/>
        <v>-1.1374046815045835E-3</v>
      </c>
      <c r="L1602" s="436">
        <v>42716</v>
      </c>
      <c r="M1602" s="738">
        <v>253.11</v>
      </c>
      <c r="N1602" s="115">
        <f t="shared" si="105"/>
        <v>-2.4737024621430903E-2</v>
      </c>
      <c r="O1602" s="1121">
        <f t="shared" si="104"/>
        <v>-2.4748938510319791E-2</v>
      </c>
      <c r="P1602" s="1122"/>
    </row>
    <row r="1603" spans="6:16">
      <c r="F1603" s="1121">
        <f t="shared" si="103"/>
        <v>6.5278564216172319E-3</v>
      </c>
      <c r="G1603" s="1122"/>
      <c r="H1603" s="436">
        <v>42717</v>
      </c>
      <c r="I1603" s="738">
        <v>2271.7199999999998</v>
      </c>
      <c r="J1603" s="440">
        <f t="shared" si="102"/>
        <v>6.5397703105061211E-3</v>
      </c>
      <c r="L1603" s="436">
        <v>42717</v>
      </c>
      <c r="M1603" s="738">
        <v>251.69</v>
      </c>
      <c r="N1603" s="115">
        <f t="shared" si="105"/>
        <v>-5.6102090000396121E-3</v>
      </c>
      <c r="O1603" s="1121">
        <f t="shared" si="104"/>
        <v>-5.6221228889285014E-3</v>
      </c>
      <c r="P1603" s="1122"/>
    </row>
    <row r="1604" spans="6:16">
      <c r="F1604" s="1121">
        <f t="shared" si="103"/>
        <v>-8.1291114308392823E-3</v>
      </c>
      <c r="G1604" s="1122"/>
      <c r="H1604" s="436">
        <v>42718</v>
      </c>
      <c r="I1604" s="738">
        <v>2253.2800000000002</v>
      </c>
      <c r="J1604" s="440">
        <f t="shared" si="102"/>
        <v>-8.1171975419503939E-3</v>
      </c>
      <c r="L1604" s="436">
        <v>42718</v>
      </c>
      <c r="M1604" s="738">
        <v>252.3</v>
      </c>
      <c r="N1604" s="115">
        <f t="shared" si="105"/>
        <v>2.423616353450786E-3</v>
      </c>
      <c r="O1604" s="1121">
        <f t="shared" si="104"/>
        <v>2.4117024645618971E-3</v>
      </c>
      <c r="P1604" s="1122"/>
    </row>
    <row r="1605" spans="6:16">
      <c r="F1605" s="1121">
        <f t="shared" si="103"/>
        <v>3.8713141165077551E-3</v>
      </c>
      <c r="G1605" s="1122"/>
      <c r="H1605" s="436">
        <v>42719</v>
      </c>
      <c r="I1605" s="738">
        <v>2262.0300000000002</v>
      </c>
      <c r="J1605" s="440">
        <f t="shared" si="102"/>
        <v>3.8832280053966439E-3</v>
      </c>
      <c r="L1605" s="436">
        <v>42719</v>
      </c>
      <c r="M1605" s="738">
        <v>250.65</v>
      </c>
      <c r="N1605" s="115">
        <f t="shared" si="105"/>
        <v>-6.5398335315101086E-3</v>
      </c>
      <c r="O1605" s="1121">
        <f t="shared" si="104"/>
        <v>-6.5517474203989979E-3</v>
      </c>
      <c r="P1605" s="1122"/>
    </row>
    <row r="1606" spans="6:16">
      <c r="F1606" s="1121">
        <f t="shared" si="103"/>
        <v>-1.7625538008263571E-3</v>
      </c>
      <c r="G1606" s="1122"/>
      <c r="H1606" s="436">
        <v>42720</v>
      </c>
      <c r="I1606" s="738">
        <v>2258.0700000000002</v>
      </c>
      <c r="J1606" s="440">
        <f t="shared" si="102"/>
        <v>-1.7506399119374683E-3</v>
      </c>
      <c r="L1606" s="436">
        <v>42720</v>
      </c>
      <c r="M1606" s="738">
        <v>250.08</v>
      </c>
      <c r="N1606" s="115">
        <f t="shared" si="105"/>
        <v>-2.2740873728306354E-3</v>
      </c>
      <c r="O1606" s="1121">
        <f t="shared" si="104"/>
        <v>-2.2860012617195243E-3</v>
      </c>
      <c r="P1606" s="1122"/>
    </row>
    <row r="1607" spans="6:16">
      <c r="F1607" s="1121">
        <f t="shared" si="103"/>
        <v>1.9632241714900782E-3</v>
      </c>
      <c r="G1607" s="1122"/>
      <c r="H1607" s="436">
        <v>42723</v>
      </c>
      <c r="I1607" s="738">
        <v>2262.5300000000002</v>
      </c>
      <c r="J1607" s="440">
        <f t="shared" si="102"/>
        <v>1.975138060378967E-3</v>
      </c>
      <c r="L1607" s="436">
        <v>42723</v>
      </c>
      <c r="M1607" s="738">
        <v>252.18</v>
      </c>
      <c r="N1607" s="115">
        <f t="shared" si="105"/>
        <v>8.3973128598848756E-3</v>
      </c>
      <c r="O1607" s="1121">
        <f t="shared" si="104"/>
        <v>8.3853989709959872E-3</v>
      </c>
      <c r="P1607" s="1122"/>
    </row>
    <row r="1608" spans="6:16">
      <c r="F1608" s="1121">
        <f t="shared" si="103"/>
        <v>3.6256069395642558E-3</v>
      </c>
      <c r="G1608" s="1122"/>
      <c r="H1608" s="436">
        <v>42724</v>
      </c>
      <c r="I1608" s="738">
        <v>2270.7600000000002</v>
      </c>
      <c r="J1608" s="440">
        <f t="shared" si="102"/>
        <v>3.6375208284531446E-3</v>
      </c>
      <c r="L1608" s="436">
        <v>42724</v>
      </c>
      <c r="M1608" s="738">
        <v>253.73</v>
      </c>
      <c r="N1608" s="115">
        <f t="shared" si="105"/>
        <v>6.1464033626774661E-3</v>
      </c>
      <c r="O1608" s="1121">
        <f t="shared" si="104"/>
        <v>6.1344894737885769E-3</v>
      </c>
      <c r="P1608" s="1122"/>
    </row>
    <row r="1609" spans="6:16">
      <c r="F1609" s="1121">
        <f t="shared" si="103"/>
        <v>-2.46924095119417E-3</v>
      </c>
      <c r="G1609" s="1122"/>
      <c r="H1609" s="436">
        <v>42725</v>
      </c>
      <c r="I1609" s="738">
        <v>2265.1799999999998</v>
      </c>
      <c r="J1609" s="440">
        <f t="shared" si="102"/>
        <v>-2.4573270623052812E-3</v>
      </c>
      <c r="L1609" s="436">
        <v>42725</v>
      </c>
      <c r="M1609" s="738">
        <v>252.52</v>
      </c>
      <c r="N1609" s="115">
        <f t="shared" si="105"/>
        <v>-4.7688487762581611E-3</v>
      </c>
      <c r="O1609" s="1121">
        <f t="shared" si="104"/>
        <v>-4.7807626651470503E-3</v>
      </c>
      <c r="P1609" s="1122"/>
    </row>
    <row r="1610" spans="6:16">
      <c r="F1610" s="1121">
        <f t="shared" si="103"/>
        <v>-1.8749004948097688E-3</v>
      </c>
      <c r="G1610" s="1122"/>
      <c r="H1610" s="436">
        <v>42726</v>
      </c>
      <c r="I1610" s="738">
        <v>2260.96</v>
      </c>
      <c r="J1610" s="440">
        <f t="shared" si="102"/>
        <v>-1.8629866059208799E-3</v>
      </c>
      <c r="L1610" s="436">
        <v>42726</v>
      </c>
      <c r="M1610" s="738">
        <v>252.8</v>
      </c>
      <c r="N1610" s="115">
        <f t="shared" si="105"/>
        <v>1.1088230635196705E-3</v>
      </c>
      <c r="O1610" s="1121">
        <f t="shared" si="104"/>
        <v>1.0969091746307817E-3</v>
      </c>
      <c r="P1610" s="1122"/>
    </row>
    <row r="1611" spans="6:16">
      <c r="F1611" s="1121">
        <f t="shared" si="103"/>
        <v>1.2397668131137666E-3</v>
      </c>
      <c r="G1611" s="1122"/>
      <c r="H1611" s="436">
        <v>42727</v>
      </c>
      <c r="I1611" s="738">
        <v>2263.79</v>
      </c>
      <c r="J1611" s="440">
        <f t="shared" si="102"/>
        <v>1.2516807020026555E-3</v>
      </c>
      <c r="L1611" s="436">
        <v>42727</v>
      </c>
      <c r="M1611" s="738">
        <v>249.59</v>
      </c>
      <c r="N1611" s="115">
        <f t="shared" si="105"/>
        <v>-1.2697784810126622E-2</v>
      </c>
      <c r="O1611" s="1121">
        <f t="shared" si="104"/>
        <v>-1.2709698699015511E-2</v>
      </c>
      <c r="P1611" s="1122"/>
    </row>
    <row r="1612" spans="6:16">
      <c r="F1612" s="1121">
        <f t="shared" si="103"/>
        <v>-1.1913888888888887E-5</v>
      </c>
      <c r="G1612" s="1122"/>
      <c r="H1612" s="436">
        <v>42730</v>
      </c>
      <c r="I1612" s="738">
        <v>2263.79</v>
      </c>
      <c r="J1612" s="440">
        <f t="shared" si="102"/>
        <v>0</v>
      </c>
      <c r="L1612" s="436">
        <v>42730</v>
      </c>
      <c r="M1612" s="738">
        <v>249.59</v>
      </c>
      <c r="N1612" s="115">
        <f t="shared" si="105"/>
        <v>0</v>
      </c>
      <c r="O1612" s="1121">
        <f t="shared" si="104"/>
        <v>-1.1913888888888887E-5</v>
      </c>
      <c r="P1612" s="1122"/>
    </row>
    <row r="1613" spans="6:16">
      <c r="F1613" s="1121">
        <f t="shared" si="103"/>
        <v>2.2365278835371131E-3</v>
      </c>
      <c r="G1613" s="1122"/>
      <c r="H1613" s="436">
        <v>42731</v>
      </c>
      <c r="I1613" s="738">
        <v>2268.88</v>
      </c>
      <c r="J1613" s="440">
        <f t="shared" si="102"/>
        <v>2.248441772426002E-3</v>
      </c>
      <c r="L1613" s="436">
        <v>42731</v>
      </c>
      <c r="M1613" s="738">
        <v>250.86</v>
      </c>
      <c r="N1613" s="115">
        <f t="shared" si="105"/>
        <v>5.0883448856124947E-3</v>
      </c>
      <c r="O1613" s="1121">
        <f t="shared" si="104"/>
        <v>5.0764309967236054E-3</v>
      </c>
      <c r="P1613" s="1122"/>
    </row>
    <row r="1614" spans="6:16">
      <c r="F1614" s="1121">
        <f t="shared" si="103"/>
        <v>-8.3684598498916588E-3</v>
      </c>
      <c r="G1614" s="1122"/>
      <c r="H1614" s="436">
        <v>42732</v>
      </c>
      <c r="I1614" s="738">
        <v>2249.92</v>
      </c>
      <c r="J1614" s="440">
        <f t="shared" si="102"/>
        <v>-8.3565459610027704E-3</v>
      </c>
      <c r="L1614" s="436">
        <v>42732</v>
      </c>
      <c r="M1614" s="738">
        <v>249.58</v>
      </c>
      <c r="N1614" s="115">
        <f t="shared" si="105"/>
        <v>-5.1024475803237435E-3</v>
      </c>
      <c r="O1614" s="1121">
        <f t="shared" si="104"/>
        <v>-5.1143614692126327E-3</v>
      </c>
      <c r="P1614" s="1122"/>
    </row>
    <row r="1615" spans="6:16">
      <c r="F1615" s="1121">
        <f t="shared" si="103"/>
        <v>-3.0525765222267541E-4</v>
      </c>
      <c r="G1615" s="1122"/>
      <c r="H1615" s="436">
        <v>42733</v>
      </c>
      <c r="I1615" s="738">
        <v>2249.2600000000002</v>
      </c>
      <c r="J1615" s="440">
        <f t="shared" si="102"/>
        <v>-2.9334376333378653E-4</v>
      </c>
      <c r="L1615" s="436">
        <v>42733</v>
      </c>
      <c r="M1615" s="738">
        <v>250.59</v>
      </c>
      <c r="N1615" s="115">
        <f t="shared" si="105"/>
        <v>4.0467986216843332E-3</v>
      </c>
      <c r="O1615" s="1121">
        <f t="shared" si="104"/>
        <v>4.034884732795444E-3</v>
      </c>
      <c r="P1615" s="1122"/>
    </row>
    <row r="1616" spans="6:16">
      <c r="F1616" s="1121">
        <f t="shared" si="103"/>
        <v>-4.6489945287439072E-3</v>
      </c>
      <c r="G1616" s="1122"/>
      <c r="H1616" s="436">
        <v>42734</v>
      </c>
      <c r="I1616" s="738">
        <v>2238.83</v>
      </c>
      <c r="J1616" s="440">
        <f t="shared" si="102"/>
        <v>-4.6370806398550179E-3</v>
      </c>
      <c r="L1616" s="436">
        <v>42734</v>
      </c>
      <c r="M1616" s="738">
        <v>249.94</v>
      </c>
      <c r="N1616" s="115">
        <f t="shared" si="105"/>
        <v>-2.5938784468654275E-3</v>
      </c>
      <c r="O1616" s="1121">
        <f t="shared" si="104"/>
        <v>-2.6057923357543163E-3</v>
      </c>
      <c r="P1616" s="1122"/>
    </row>
    <row r="1617" spans="6:16">
      <c r="F1617" s="1121">
        <f t="shared" si="103"/>
        <v>-1.1913888888888887E-5</v>
      </c>
      <c r="G1617" s="1122"/>
      <c r="H1617" s="436">
        <v>42737</v>
      </c>
      <c r="I1617" s="738">
        <v>2238.83</v>
      </c>
      <c r="J1617" s="440">
        <f t="shared" si="102"/>
        <v>0</v>
      </c>
      <c r="L1617" s="436">
        <v>42737</v>
      </c>
      <c r="M1617" s="738">
        <v>249.94</v>
      </c>
      <c r="N1617" s="115">
        <f t="shared" si="105"/>
        <v>0</v>
      </c>
      <c r="O1617" s="1121">
        <f t="shared" si="104"/>
        <v>-1.1913888888888887E-5</v>
      </c>
      <c r="P1617" s="1122"/>
    </row>
    <row r="1618" spans="6:16">
      <c r="F1618" s="1121">
        <f t="shared" si="103"/>
        <v>8.4746616885332735E-3</v>
      </c>
      <c r="G1618" s="1122"/>
      <c r="H1618" s="436">
        <v>42738</v>
      </c>
      <c r="I1618" s="738">
        <v>2257.83</v>
      </c>
      <c r="J1618" s="440">
        <f t="shared" si="102"/>
        <v>8.4865755774221618E-3</v>
      </c>
      <c r="L1618" s="436">
        <v>42738</v>
      </c>
      <c r="M1618" s="738">
        <v>253.31</v>
      </c>
      <c r="N1618" s="115">
        <f t="shared" si="105"/>
        <v>1.3483235976634367E-2</v>
      </c>
      <c r="O1618" s="1121">
        <f t="shared" si="104"/>
        <v>1.3471322087745478E-2</v>
      </c>
      <c r="P1618" s="1122"/>
    </row>
    <row r="1619" spans="6:16">
      <c r="F1619" s="1121">
        <f t="shared" si="103"/>
        <v>5.7103946994460008E-3</v>
      </c>
      <c r="G1619" s="1122"/>
      <c r="H1619" s="436">
        <v>42739</v>
      </c>
      <c r="I1619" s="738">
        <v>2270.75</v>
      </c>
      <c r="J1619" s="440">
        <f t="shared" si="102"/>
        <v>5.7223085883348901E-3</v>
      </c>
      <c r="L1619" s="436">
        <v>42739</v>
      </c>
      <c r="M1619" s="738">
        <v>253.99</v>
      </c>
      <c r="N1619" s="115">
        <f t="shared" si="105"/>
        <v>2.6844577790059443E-3</v>
      </c>
      <c r="O1619" s="1121">
        <f t="shared" si="104"/>
        <v>2.6725438901170555E-3</v>
      </c>
      <c r="P1619" s="1122"/>
    </row>
    <row r="1620" spans="6:16">
      <c r="F1620" s="1121">
        <f t="shared" si="103"/>
        <v>-7.8258437220935699E-4</v>
      </c>
      <c r="G1620" s="1122"/>
      <c r="H1620" s="436">
        <v>42740</v>
      </c>
      <c r="I1620" s="738">
        <v>2269</v>
      </c>
      <c r="J1620" s="440">
        <f t="shared" si="102"/>
        <v>-7.7067048332046806E-4</v>
      </c>
      <c r="L1620" s="436">
        <v>42740</v>
      </c>
      <c r="M1620" s="738">
        <v>255.98</v>
      </c>
      <c r="N1620" s="115">
        <f t="shared" si="105"/>
        <v>7.8349541320523741E-3</v>
      </c>
      <c r="O1620" s="1121">
        <f t="shared" si="104"/>
        <v>7.8230402431634857E-3</v>
      </c>
      <c r="P1620" s="1122"/>
    </row>
    <row r="1621" spans="6:16">
      <c r="F1621" s="1121">
        <f t="shared" si="103"/>
        <v>3.5050539383477612E-3</v>
      </c>
      <c r="G1621" s="1122"/>
      <c r="H1621" s="436">
        <v>42741</v>
      </c>
      <c r="I1621" s="738">
        <v>2276.98</v>
      </c>
      <c r="J1621" s="440">
        <f t="shared" si="102"/>
        <v>3.51696782723665E-3</v>
      </c>
      <c r="L1621" s="436">
        <v>42741</v>
      </c>
      <c r="M1621" s="738">
        <v>257.8501</v>
      </c>
      <c r="N1621" s="115">
        <f t="shared" si="105"/>
        <v>7.3056488788187934E-3</v>
      </c>
      <c r="O1621" s="1121">
        <f t="shared" si="104"/>
        <v>7.2937349899299042E-3</v>
      </c>
      <c r="P1621" s="1122"/>
    </row>
    <row r="1622" spans="6:16">
      <c r="F1622" s="1121">
        <f t="shared" si="103"/>
        <v>-3.5604738235390861E-3</v>
      </c>
      <c r="G1622" s="1122"/>
      <c r="H1622" s="436">
        <v>42744</v>
      </c>
      <c r="I1622" s="738">
        <v>2268.9</v>
      </c>
      <c r="J1622" s="440">
        <f t="shared" si="102"/>
        <v>-3.5485599346501973E-3</v>
      </c>
      <c r="L1622" s="436">
        <v>42744</v>
      </c>
      <c r="M1622" s="738">
        <v>257.81009999999998</v>
      </c>
      <c r="N1622" s="115">
        <f t="shared" si="105"/>
        <v>-1.551288907780668E-4</v>
      </c>
      <c r="O1622" s="1121">
        <f t="shared" si="104"/>
        <v>-1.6704277966695568E-4</v>
      </c>
      <c r="P1622" s="1122"/>
    </row>
    <row r="1623" spans="6:16">
      <c r="F1623" s="1121">
        <f t="shared" si="103"/>
        <v>-1.1913888888888887E-5</v>
      </c>
      <c r="G1623" s="1122"/>
      <c r="H1623" s="436">
        <v>42745</v>
      </c>
      <c r="I1623" s="738">
        <v>2268.9</v>
      </c>
      <c r="J1623" s="440">
        <f t="shared" si="102"/>
        <v>0</v>
      </c>
      <c r="L1623" s="436">
        <v>42745</v>
      </c>
      <c r="M1623" s="738">
        <v>256.16989999999998</v>
      </c>
      <c r="N1623" s="115">
        <f t="shared" si="105"/>
        <v>-6.3620471036627269E-3</v>
      </c>
      <c r="O1623" s="1121">
        <f t="shared" si="104"/>
        <v>-6.3739609925516161E-3</v>
      </c>
      <c r="P1623" s="1122"/>
    </row>
    <row r="1624" spans="6:16">
      <c r="F1624" s="1121">
        <f t="shared" si="103"/>
        <v>2.8176510985499152E-3</v>
      </c>
      <c r="G1624" s="1122"/>
      <c r="H1624" s="436">
        <v>42746</v>
      </c>
      <c r="I1624" s="738">
        <v>2275.3200000000002</v>
      </c>
      <c r="J1624" s="440">
        <f t="shared" si="102"/>
        <v>2.829564987438804E-3</v>
      </c>
      <c r="L1624" s="436">
        <v>42746</v>
      </c>
      <c r="M1624" s="738">
        <v>255.13</v>
      </c>
      <c r="N1624" s="115">
        <f t="shared" si="105"/>
        <v>-4.0594152552660967E-3</v>
      </c>
      <c r="O1624" s="1121">
        <f t="shared" si="104"/>
        <v>-4.071329144154986E-3</v>
      </c>
      <c r="P1624" s="1122"/>
    </row>
    <row r="1625" spans="6:16">
      <c r="F1625" s="1121">
        <f t="shared" si="103"/>
        <v>-2.1566671543636969E-3</v>
      </c>
      <c r="G1625" s="1122"/>
      <c r="H1625" s="436">
        <v>42747</v>
      </c>
      <c r="I1625" s="738">
        <v>2270.44</v>
      </c>
      <c r="J1625" s="440">
        <f t="shared" si="102"/>
        <v>-2.144753265474808E-3</v>
      </c>
      <c r="L1625" s="436">
        <v>42747</v>
      </c>
      <c r="M1625" s="738">
        <v>252.62</v>
      </c>
      <c r="N1625" s="115">
        <f t="shared" si="105"/>
        <v>-9.8381217418570532E-3</v>
      </c>
      <c r="O1625" s="1121">
        <f t="shared" si="104"/>
        <v>-9.8500356307459416E-3</v>
      </c>
      <c r="P1625" s="1122"/>
    </row>
    <row r="1626" spans="6:16">
      <c r="F1626" s="1121">
        <f t="shared" si="103"/>
        <v>1.8379478119266916E-3</v>
      </c>
      <c r="G1626" s="1122"/>
      <c r="H1626" s="436">
        <v>42748</v>
      </c>
      <c r="I1626" s="738">
        <v>2274.64</v>
      </c>
      <c r="J1626" s="440">
        <f t="shared" si="102"/>
        <v>1.8498617008155804E-3</v>
      </c>
      <c r="L1626" s="436">
        <v>42748</v>
      </c>
      <c r="M1626" s="738">
        <v>254.53</v>
      </c>
      <c r="N1626" s="115">
        <f t="shared" si="105"/>
        <v>7.5607632016467807E-3</v>
      </c>
      <c r="O1626" s="1121">
        <f t="shared" si="104"/>
        <v>7.5488493127578915E-3</v>
      </c>
      <c r="P1626" s="1122"/>
    </row>
    <row r="1627" spans="6:16">
      <c r="F1627" s="1121">
        <f t="shared" si="103"/>
        <v>-1.1913888888888887E-5</v>
      </c>
      <c r="G1627" s="1122"/>
      <c r="H1627" s="436">
        <v>42751</v>
      </c>
      <c r="I1627" s="738">
        <v>2274.64</v>
      </c>
      <c r="J1627" s="440">
        <f t="shared" si="102"/>
        <v>0</v>
      </c>
      <c r="L1627" s="436">
        <v>42751</v>
      </c>
      <c r="M1627" s="738">
        <v>254.53</v>
      </c>
      <c r="N1627" s="115">
        <f t="shared" si="105"/>
        <v>0</v>
      </c>
      <c r="O1627" s="1121">
        <f t="shared" si="104"/>
        <v>-1.1913888888888887E-5</v>
      </c>
      <c r="P1627" s="1122"/>
    </row>
    <row r="1628" spans="6:16">
      <c r="F1628" s="1121">
        <f t="shared" si="103"/>
        <v>-2.9794164387428952E-3</v>
      </c>
      <c r="G1628" s="1122"/>
      <c r="H1628" s="436">
        <v>42752</v>
      </c>
      <c r="I1628" s="738">
        <v>2267.89</v>
      </c>
      <c r="J1628" s="440">
        <f t="shared" si="102"/>
        <v>-2.9675025498540064E-3</v>
      </c>
      <c r="L1628" s="436">
        <v>42752</v>
      </c>
      <c r="M1628" s="738">
        <v>254.12</v>
      </c>
      <c r="N1628" s="115">
        <f t="shared" si="105"/>
        <v>-1.6108120850194529E-3</v>
      </c>
      <c r="O1628" s="1121">
        <f t="shared" si="104"/>
        <v>-1.6227259739083418E-3</v>
      </c>
      <c r="P1628" s="1122"/>
    </row>
    <row r="1629" spans="6:16">
      <c r="F1629" s="1121">
        <f t="shared" si="103"/>
        <v>1.7518400850692266E-3</v>
      </c>
      <c r="G1629" s="1122"/>
      <c r="H1629" s="436">
        <v>42753</v>
      </c>
      <c r="I1629" s="738">
        <v>2271.89</v>
      </c>
      <c r="J1629" s="440">
        <f t="shared" ref="J1629:J1692" si="106">I1629/I1628-1</f>
        <v>1.7637539739581154E-3</v>
      </c>
      <c r="L1629" s="436">
        <v>42753</v>
      </c>
      <c r="M1629" s="738">
        <v>254.07</v>
      </c>
      <c r="N1629" s="115">
        <f t="shared" si="105"/>
        <v>-1.9675743743119423E-4</v>
      </c>
      <c r="O1629" s="1121">
        <f t="shared" si="104"/>
        <v>-2.0867132632008311E-4</v>
      </c>
      <c r="P1629" s="1122"/>
    </row>
    <row r="1630" spans="6:16">
      <c r="F1630" s="1121">
        <f t="shared" ref="F1630:F1693" si="107">J1630-$I$19</f>
        <v>-3.6212435659418525E-3</v>
      </c>
      <c r="G1630" s="1122"/>
      <c r="H1630" s="436">
        <v>42754</v>
      </c>
      <c r="I1630" s="738">
        <v>2263.69</v>
      </c>
      <c r="J1630" s="440">
        <f t="shared" si="106"/>
        <v>-3.6093296770529637E-3</v>
      </c>
      <c r="L1630" s="436">
        <v>42754</v>
      </c>
      <c r="M1630" s="738">
        <v>257.02999999999997</v>
      </c>
      <c r="N1630" s="115">
        <f t="shared" si="105"/>
        <v>1.1650332585507961E-2</v>
      </c>
      <c r="O1630" s="1121">
        <f t="shared" ref="O1630:O1693" si="108">N1630-$I$19</f>
        <v>1.1638418696619073E-2</v>
      </c>
      <c r="P1630" s="1122"/>
    </row>
    <row r="1631" spans="6:16">
      <c r="F1631" s="1121">
        <f t="shared" si="107"/>
        <v>3.3542714103348341E-3</v>
      </c>
      <c r="G1631" s="1122"/>
      <c r="H1631" s="436">
        <v>42755</v>
      </c>
      <c r="I1631" s="738">
        <v>2271.31</v>
      </c>
      <c r="J1631" s="440">
        <f t="shared" si="106"/>
        <v>3.3661852992237229E-3</v>
      </c>
      <c r="L1631" s="436">
        <v>42755</v>
      </c>
      <c r="M1631" s="738">
        <v>257.73</v>
      </c>
      <c r="N1631" s="115">
        <f t="shared" si="105"/>
        <v>2.7234174999029026E-3</v>
      </c>
      <c r="O1631" s="1121">
        <f t="shared" si="108"/>
        <v>2.7115036110140138E-3</v>
      </c>
      <c r="P1631" s="1122"/>
    </row>
    <row r="1632" spans="6:16">
      <c r="F1632" s="1121">
        <f t="shared" si="107"/>
        <v>-2.7019914212380665E-3</v>
      </c>
      <c r="G1632" s="1122"/>
      <c r="H1632" s="436">
        <v>42758</v>
      </c>
      <c r="I1632" s="738">
        <v>2265.1999999999998</v>
      </c>
      <c r="J1632" s="440">
        <f t="shared" si="106"/>
        <v>-2.6900775323491777E-3</v>
      </c>
      <c r="L1632" s="436">
        <v>42758</v>
      </c>
      <c r="M1632" s="738">
        <v>257.48</v>
      </c>
      <c r="N1632" s="115">
        <f t="shared" si="105"/>
        <v>-9.7000737205599208E-4</v>
      </c>
      <c r="O1632" s="1121">
        <f t="shared" si="108"/>
        <v>-9.819212609448809E-4</v>
      </c>
      <c r="P1632" s="1122"/>
    </row>
    <row r="1633" spans="6:16">
      <c r="F1633" s="1121">
        <f t="shared" si="107"/>
        <v>6.5526278734281329E-3</v>
      </c>
      <c r="G1633" s="1122"/>
      <c r="H1633" s="436">
        <v>42759</v>
      </c>
      <c r="I1633" s="738">
        <v>2280.0700000000002</v>
      </c>
      <c r="J1633" s="440">
        <f t="shared" si="106"/>
        <v>6.5645417623170221E-3</v>
      </c>
      <c r="L1633" s="436">
        <v>42759</v>
      </c>
      <c r="M1633" s="738">
        <v>252.91</v>
      </c>
      <c r="N1633" s="115">
        <f t="shared" si="105"/>
        <v>-1.7748951374864097E-2</v>
      </c>
      <c r="O1633" s="1121">
        <f t="shared" si="108"/>
        <v>-1.7760865263752985E-2</v>
      </c>
      <c r="P1633" s="1122"/>
    </row>
    <row r="1634" spans="6:16">
      <c r="F1634" s="1121">
        <f t="shared" si="107"/>
        <v>8.0141554861740058E-3</v>
      </c>
      <c r="G1634" s="1122"/>
      <c r="H1634" s="436">
        <v>42760</v>
      </c>
      <c r="I1634" s="738">
        <v>2298.37</v>
      </c>
      <c r="J1634" s="440">
        <f t="shared" si="106"/>
        <v>8.0260693750628942E-3</v>
      </c>
      <c r="L1634" s="436">
        <v>42760</v>
      </c>
      <c r="M1634" s="738">
        <v>251</v>
      </c>
      <c r="N1634" s="115">
        <f t="shared" si="105"/>
        <v>-7.5520936301450847E-3</v>
      </c>
      <c r="O1634" s="1121">
        <f t="shared" si="108"/>
        <v>-7.564007519033974E-3</v>
      </c>
      <c r="P1634" s="1122"/>
    </row>
    <row r="1635" spans="6:16">
      <c r="F1635" s="1121">
        <f t="shared" si="107"/>
        <v>-7.4721760413055309E-4</v>
      </c>
      <c r="G1635" s="1122"/>
      <c r="H1635" s="436">
        <v>42761</v>
      </c>
      <c r="I1635" s="738">
        <v>2296.6799999999998</v>
      </c>
      <c r="J1635" s="440">
        <f t="shared" si="106"/>
        <v>-7.3530371524166416E-4</v>
      </c>
      <c r="L1635" s="436">
        <v>42761</v>
      </c>
      <c r="M1635" s="738">
        <v>254.97</v>
      </c>
      <c r="N1635" s="115">
        <f t="shared" si="105"/>
        <v>1.5816733067729016E-2</v>
      </c>
      <c r="O1635" s="1121">
        <f t="shared" si="108"/>
        <v>1.5804819178840128E-2</v>
      </c>
      <c r="P1635" s="1122"/>
    </row>
    <row r="1636" spans="6:16">
      <c r="F1636" s="1121">
        <f t="shared" si="107"/>
        <v>-8.7838200808699389E-4</v>
      </c>
      <c r="G1636" s="1122"/>
      <c r="H1636" s="436">
        <v>42762</v>
      </c>
      <c r="I1636" s="738">
        <v>2294.69</v>
      </c>
      <c r="J1636" s="440">
        <f t="shared" si="106"/>
        <v>-8.6646811919810496E-4</v>
      </c>
      <c r="L1636" s="436">
        <v>42762</v>
      </c>
      <c r="M1636" s="738">
        <v>253.5</v>
      </c>
      <c r="N1636" s="115">
        <f t="shared" si="105"/>
        <v>-5.7653841628426683E-3</v>
      </c>
      <c r="O1636" s="1121">
        <f t="shared" si="108"/>
        <v>-5.7772980517315576E-3</v>
      </c>
      <c r="P1636" s="1122"/>
    </row>
    <row r="1637" spans="6:16">
      <c r="F1637" s="1121">
        <f t="shared" si="107"/>
        <v>-6.021440230137628E-3</v>
      </c>
      <c r="G1637" s="1122"/>
      <c r="H1637" s="436">
        <v>42765</v>
      </c>
      <c r="I1637" s="738">
        <v>2280.9</v>
      </c>
      <c r="J1637" s="440">
        <f t="shared" si="106"/>
        <v>-6.0095263412487387E-3</v>
      </c>
      <c r="L1637" s="436">
        <v>42765</v>
      </c>
      <c r="M1637" s="738">
        <v>252.83</v>
      </c>
      <c r="N1637" s="115">
        <f t="shared" si="105"/>
        <v>-2.6429980276133636E-3</v>
      </c>
      <c r="O1637" s="1121">
        <f t="shared" si="108"/>
        <v>-2.6549119165022524E-3</v>
      </c>
      <c r="P1637" s="1122"/>
    </row>
    <row r="1638" spans="6:16">
      <c r="F1638" s="1121">
        <f t="shared" si="107"/>
        <v>-9.0191345046553766E-4</v>
      </c>
      <c r="G1638" s="1122"/>
      <c r="H1638" s="436">
        <v>42766</v>
      </c>
      <c r="I1638" s="738">
        <v>2278.87</v>
      </c>
      <c r="J1638" s="440">
        <f t="shared" si="106"/>
        <v>-8.8999956157664872E-4</v>
      </c>
      <c r="L1638" s="436">
        <v>42766</v>
      </c>
      <c r="M1638" s="738">
        <v>251.33</v>
      </c>
      <c r="N1638" s="115">
        <f t="shared" si="105"/>
        <v>-5.9328402483882492E-3</v>
      </c>
      <c r="O1638" s="1121">
        <f t="shared" si="108"/>
        <v>-5.9447541372771385E-3</v>
      </c>
      <c r="P1638" s="1122"/>
    </row>
    <row r="1639" spans="6:16">
      <c r="F1639" s="1121">
        <f t="shared" si="107"/>
        <v>2.8647961315397076E-4</v>
      </c>
      <c r="G1639" s="1122"/>
      <c r="H1639" s="436">
        <v>42767</v>
      </c>
      <c r="I1639" s="738">
        <v>2279.5500000000002</v>
      </c>
      <c r="J1639" s="440">
        <f t="shared" si="106"/>
        <v>2.9839350204285964E-4</v>
      </c>
      <c r="L1639" s="436">
        <v>42767</v>
      </c>
      <c r="M1639" s="738">
        <v>250.9</v>
      </c>
      <c r="N1639" s="115">
        <f t="shared" si="105"/>
        <v>-1.7108980225202242E-3</v>
      </c>
      <c r="O1639" s="1121">
        <f t="shared" si="108"/>
        <v>-1.722811911409113E-3</v>
      </c>
      <c r="P1639" s="1122"/>
    </row>
    <row r="1640" spans="6:16">
      <c r="F1640" s="1121">
        <f t="shared" si="107"/>
        <v>5.5837410654879045E-4</v>
      </c>
      <c r="G1640" s="1122"/>
      <c r="H1640" s="436">
        <v>42768</v>
      </c>
      <c r="I1640" s="738">
        <v>2280.85</v>
      </c>
      <c r="J1640" s="440">
        <f t="shared" si="106"/>
        <v>5.7028799543767938E-4</v>
      </c>
      <c r="L1640" s="436">
        <v>42768</v>
      </c>
      <c r="M1640" s="738">
        <v>251.97</v>
      </c>
      <c r="N1640" s="115">
        <f t="shared" si="105"/>
        <v>4.2646472698286697E-3</v>
      </c>
      <c r="O1640" s="1121">
        <f t="shared" si="108"/>
        <v>4.2527333809397804E-3</v>
      </c>
      <c r="P1640" s="1122"/>
    </row>
    <row r="1641" spans="6:16">
      <c r="F1641" s="1121">
        <f t="shared" si="107"/>
        <v>7.2529215891127185E-3</v>
      </c>
      <c r="G1641" s="1122"/>
      <c r="H1641" s="436">
        <v>42769</v>
      </c>
      <c r="I1641" s="738">
        <v>2297.42</v>
      </c>
      <c r="J1641" s="440">
        <f t="shared" si="106"/>
        <v>7.2648354780016078E-3</v>
      </c>
      <c r="L1641" s="436">
        <v>42769</v>
      </c>
      <c r="M1641" s="738">
        <v>254.46</v>
      </c>
      <c r="N1641" s="115">
        <f t="shared" si="105"/>
        <v>9.8821288248600592E-3</v>
      </c>
      <c r="O1641" s="1121">
        <f t="shared" si="108"/>
        <v>9.8702149359711708E-3</v>
      </c>
      <c r="P1641" s="1122"/>
    </row>
    <row r="1642" spans="6:16">
      <c r="F1642" s="1121">
        <f t="shared" si="107"/>
        <v>-2.127330312529326E-3</v>
      </c>
      <c r="G1642" s="1122"/>
      <c r="H1642" s="436">
        <v>42772</v>
      </c>
      <c r="I1642" s="738">
        <v>2292.56</v>
      </c>
      <c r="J1642" s="440">
        <f t="shared" si="106"/>
        <v>-2.1154164236404371E-3</v>
      </c>
      <c r="L1642" s="436">
        <v>42772</v>
      </c>
      <c r="M1642" s="738">
        <v>255.31</v>
      </c>
      <c r="N1642" s="115">
        <f t="shared" si="105"/>
        <v>3.3404071366816002E-3</v>
      </c>
      <c r="O1642" s="1121">
        <f t="shared" si="108"/>
        <v>3.3284932477927113E-3</v>
      </c>
      <c r="P1642" s="1122"/>
    </row>
    <row r="1643" spans="6:16">
      <c r="F1643" s="1121">
        <f t="shared" si="107"/>
        <v>2.1490678319812474E-4</v>
      </c>
      <c r="G1643" s="1122"/>
      <c r="H1643" s="436">
        <v>42773</v>
      </c>
      <c r="I1643" s="738">
        <v>2293.08</v>
      </c>
      <c r="J1643" s="440">
        <f t="shared" si="106"/>
        <v>2.2682067208701362E-4</v>
      </c>
      <c r="L1643" s="436">
        <v>42773</v>
      </c>
      <c r="M1643" s="738">
        <v>256.37009999999998</v>
      </c>
      <c r="N1643" s="115">
        <f t="shared" si="105"/>
        <v>4.152207120755147E-3</v>
      </c>
      <c r="O1643" s="1121">
        <f t="shared" si="108"/>
        <v>4.1402932318662577E-3</v>
      </c>
      <c r="P1643" s="1122"/>
    </row>
    <row r="1644" spans="6:16">
      <c r="F1644" s="1121">
        <f t="shared" si="107"/>
        <v>6.814766600672298E-4</v>
      </c>
      <c r="G1644" s="1122"/>
      <c r="H1644" s="436">
        <v>42774</v>
      </c>
      <c r="I1644" s="738">
        <v>2294.67</v>
      </c>
      <c r="J1644" s="440">
        <f t="shared" si="106"/>
        <v>6.9339054895611874E-4</v>
      </c>
      <c r="L1644" s="436">
        <v>42774</v>
      </c>
      <c r="M1644" s="738">
        <v>256.74</v>
      </c>
      <c r="N1644" s="115">
        <f t="shared" si="105"/>
        <v>1.4428359625402454E-3</v>
      </c>
      <c r="O1644" s="1121">
        <f t="shared" si="108"/>
        <v>1.4309220736513566E-3</v>
      </c>
      <c r="P1644" s="1122"/>
    </row>
    <row r="1645" spans="6:16">
      <c r="F1645" s="1121">
        <f t="shared" si="107"/>
        <v>5.7405472493138243E-3</v>
      </c>
      <c r="G1645" s="1122"/>
      <c r="H1645" s="436">
        <v>42775</v>
      </c>
      <c r="I1645" s="738">
        <v>2307.87</v>
      </c>
      <c r="J1645" s="440">
        <f t="shared" si="106"/>
        <v>5.7524611382027135E-3</v>
      </c>
      <c r="L1645" s="436">
        <v>42775</v>
      </c>
      <c r="M1645" s="738">
        <v>258.2</v>
      </c>
      <c r="N1645" s="115">
        <f t="shared" si="105"/>
        <v>5.686686920620021E-3</v>
      </c>
      <c r="O1645" s="1121">
        <f t="shared" si="108"/>
        <v>5.6747730317311318E-3</v>
      </c>
      <c r="P1645" s="1122"/>
    </row>
    <row r="1646" spans="6:16">
      <c r="F1646" s="1121">
        <f t="shared" si="107"/>
        <v>3.5541448579209304E-3</v>
      </c>
      <c r="G1646" s="1122"/>
      <c r="H1646" s="436">
        <v>42776</v>
      </c>
      <c r="I1646" s="738">
        <v>2316.1</v>
      </c>
      <c r="J1646" s="440">
        <f t="shared" si="106"/>
        <v>3.5660587468098193E-3</v>
      </c>
      <c r="L1646" s="436">
        <v>42776</v>
      </c>
      <c r="M1646" s="738">
        <v>260.55</v>
      </c>
      <c r="N1646" s="115">
        <f t="shared" si="105"/>
        <v>9.1014717273432133E-3</v>
      </c>
      <c r="O1646" s="1121">
        <f t="shared" si="108"/>
        <v>9.0895578384543249E-3</v>
      </c>
      <c r="P1646" s="1122"/>
    </row>
    <row r="1647" spans="6:16">
      <c r="F1647" s="1121">
        <f t="shared" si="107"/>
        <v>5.2339735943803733E-3</v>
      </c>
      <c r="G1647" s="1122"/>
      <c r="H1647" s="436">
        <v>42779</v>
      </c>
      <c r="I1647" s="738">
        <v>2328.25</v>
      </c>
      <c r="J1647" s="440">
        <f t="shared" si="106"/>
        <v>5.2458874832692626E-3</v>
      </c>
      <c r="L1647" s="436">
        <v>42779</v>
      </c>
      <c r="M1647" s="738">
        <v>262.3501</v>
      </c>
      <c r="N1647" s="115">
        <f t="shared" si="105"/>
        <v>6.9088466705047313E-3</v>
      </c>
      <c r="O1647" s="1121">
        <f t="shared" si="108"/>
        <v>6.8969327816158421E-3</v>
      </c>
      <c r="P1647" s="1122"/>
    </row>
    <row r="1648" spans="6:16">
      <c r="F1648" s="1121">
        <f t="shared" si="107"/>
        <v>3.9953877325006248E-3</v>
      </c>
      <c r="G1648" s="1122"/>
      <c r="H1648" s="436">
        <v>42780</v>
      </c>
      <c r="I1648" s="738">
        <v>2337.58</v>
      </c>
      <c r="J1648" s="440">
        <f t="shared" si="106"/>
        <v>4.0073016213895141E-3</v>
      </c>
      <c r="L1648" s="436">
        <v>42780</v>
      </c>
      <c r="M1648" s="738">
        <v>262.56009999999998</v>
      </c>
      <c r="N1648" s="115">
        <f t="shared" si="105"/>
        <v>8.0045709912046625E-4</v>
      </c>
      <c r="O1648" s="1121">
        <f t="shared" si="108"/>
        <v>7.8854321023157732E-4</v>
      </c>
      <c r="P1648" s="1122"/>
    </row>
    <row r="1649" spans="6:16">
      <c r="F1649" s="1121">
        <f t="shared" si="107"/>
        <v>4.980428619175129E-3</v>
      </c>
      <c r="G1649" s="1122"/>
      <c r="H1649" s="436">
        <v>42781</v>
      </c>
      <c r="I1649" s="738">
        <v>2349.25</v>
      </c>
      <c r="J1649" s="440">
        <f t="shared" si="106"/>
        <v>4.9923425080640182E-3</v>
      </c>
      <c r="L1649" s="436">
        <v>42781</v>
      </c>
      <c r="M1649" s="738">
        <v>263.45999999999998</v>
      </c>
      <c r="N1649" s="115">
        <f t="shared" ref="N1649:N1712" si="109">M1649/M1648-1</f>
        <v>3.42740576348044E-3</v>
      </c>
      <c r="O1649" s="1121">
        <f t="shared" si="108"/>
        <v>3.4154918745915512E-3</v>
      </c>
      <c r="P1649" s="1122"/>
    </row>
    <row r="1650" spans="6:16">
      <c r="F1650" s="1121">
        <f t="shared" si="107"/>
        <v>-8.7601945449501033E-4</v>
      </c>
      <c r="G1650" s="1122"/>
      <c r="H1650" s="436">
        <v>42782</v>
      </c>
      <c r="I1650" s="738">
        <v>2347.2199999999998</v>
      </c>
      <c r="J1650" s="440">
        <f t="shared" si="106"/>
        <v>-8.641055656061214E-4</v>
      </c>
      <c r="L1650" s="436">
        <v>42782</v>
      </c>
      <c r="M1650" s="738">
        <v>265.33010000000002</v>
      </c>
      <c r="N1650" s="115">
        <f t="shared" si="109"/>
        <v>7.0982312305474249E-3</v>
      </c>
      <c r="O1650" s="1121">
        <f t="shared" si="108"/>
        <v>7.0863173416585356E-3</v>
      </c>
      <c r="P1650" s="1122"/>
    </row>
    <row r="1651" spans="6:16">
      <c r="F1651" s="1121">
        <f t="shared" si="107"/>
        <v>1.6666675819575409E-3</v>
      </c>
      <c r="G1651" s="1122"/>
      <c r="H1651" s="436">
        <v>42783</v>
      </c>
      <c r="I1651" s="738">
        <v>2351.16</v>
      </c>
      <c r="J1651" s="440">
        <f t="shared" si="106"/>
        <v>1.6785814708464297E-3</v>
      </c>
      <c r="L1651" s="436">
        <v>42783</v>
      </c>
      <c r="M1651" s="738">
        <v>265.3501</v>
      </c>
      <c r="N1651" s="115">
        <f t="shared" si="109"/>
        <v>7.5377802970733043E-5</v>
      </c>
      <c r="O1651" s="1121">
        <f t="shared" si="108"/>
        <v>6.3463914081844151E-5</v>
      </c>
      <c r="P1651" s="1122"/>
    </row>
    <row r="1652" spans="6:16">
      <c r="F1652" s="1121">
        <f t="shared" si="107"/>
        <v>-1.1913888888888887E-5</v>
      </c>
      <c r="G1652" s="1122"/>
      <c r="H1652" s="436">
        <v>42786</v>
      </c>
      <c r="I1652" s="738">
        <v>2351.16</v>
      </c>
      <c r="J1652" s="440">
        <f t="shared" si="106"/>
        <v>0</v>
      </c>
      <c r="L1652" s="436">
        <v>42786</v>
      </c>
      <c r="M1652" s="738">
        <v>265.3501</v>
      </c>
      <c r="N1652" s="115">
        <f t="shared" si="109"/>
        <v>0</v>
      </c>
      <c r="O1652" s="1121">
        <f t="shared" si="108"/>
        <v>-1.1913888888888887E-5</v>
      </c>
      <c r="P1652" s="1122"/>
    </row>
    <row r="1653" spans="6:16">
      <c r="F1653" s="1121">
        <f t="shared" si="107"/>
        <v>6.0361645064564906E-3</v>
      </c>
      <c r="G1653" s="1122"/>
      <c r="H1653" s="436">
        <v>42787</v>
      </c>
      <c r="I1653" s="738">
        <v>2365.38</v>
      </c>
      <c r="J1653" s="440">
        <f t="shared" si="106"/>
        <v>6.0480783953453798E-3</v>
      </c>
      <c r="L1653" s="436">
        <v>42787</v>
      </c>
      <c r="M1653" s="738">
        <v>265.65989999999999</v>
      </c>
      <c r="N1653" s="115">
        <f t="shared" si="109"/>
        <v>1.1675141633638031E-3</v>
      </c>
      <c r="O1653" s="1121">
        <f t="shared" si="108"/>
        <v>1.1556002744749143E-3</v>
      </c>
      <c r="P1653" s="1122"/>
    </row>
    <row r="1654" spans="6:16">
      <c r="F1654" s="1121">
        <f t="shared" si="107"/>
        <v>-1.0941924234161367E-3</v>
      </c>
      <c r="G1654" s="1122"/>
      <c r="H1654" s="436">
        <v>42788</v>
      </c>
      <c r="I1654" s="738">
        <v>2362.8200000000002</v>
      </c>
      <c r="J1654" s="440">
        <f t="shared" si="106"/>
        <v>-1.0822785345272479E-3</v>
      </c>
      <c r="L1654" s="436">
        <v>42788</v>
      </c>
      <c r="M1654" s="738">
        <v>265.91989999999998</v>
      </c>
      <c r="N1654" s="115">
        <f t="shared" si="109"/>
        <v>9.7869494041069593E-4</v>
      </c>
      <c r="O1654" s="1121">
        <f t="shared" si="108"/>
        <v>9.66781051521807E-4</v>
      </c>
      <c r="P1654" s="1122"/>
    </row>
    <row r="1655" spans="6:16">
      <c r="F1655" s="1121">
        <f t="shared" si="107"/>
        <v>4.0707697795660337E-4</v>
      </c>
      <c r="G1655" s="1122"/>
      <c r="H1655" s="436">
        <v>42789</v>
      </c>
      <c r="I1655" s="738">
        <v>2363.81</v>
      </c>
      <c r="J1655" s="440">
        <f t="shared" si="106"/>
        <v>4.1899086684549225E-4</v>
      </c>
      <c r="L1655" s="436">
        <v>42789</v>
      </c>
      <c r="M1655" s="738">
        <v>264.8501</v>
      </c>
      <c r="N1655" s="115">
        <f t="shared" si="109"/>
        <v>-4.0230159533001242E-3</v>
      </c>
      <c r="O1655" s="1121">
        <f t="shared" si="108"/>
        <v>-4.0349298421890134E-3</v>
      </c>
      <c r="P1655" s="1122"/>
    </row>
    <row r="1656" spans="6:16">
      <c r="F1656" s="1121">
        <f t="shared" si="107"/>
        <v>1.4814379456494701E-3</v>
      </c>
      <c r="G1656" s="1122"/>
      <c r="H1656" s="436">
        <v>42790</v>
      </c>
      <c r="I1656" s="738">
        <v>2367.34</v>
      </c>
      <c r="J1656" s="440">
        <f t="shared" si="106"/>
        <v>1.493351834538359E-3</v>
      </c>
      <c r="L1656" s="436">
        <v>42790</v>
      </c>
      <c r="M1656" s="738">
        <v>266</v>
      </c>
      <c r="N1656" s="115">
        <f t="shared" si="109"/>
        <v>4.3417012113644571E-3</v>
      </c>
      <c r="O1656" s="1121">
        <f t="shared" si="108"/>
        <v>4.3297873224755678E-3</v>
      </c>
      <c r="P1656" s="1122"/>
    </row>
    <row r="1657" spans="6:16">
      <c r="F1657" s="1121">
        <f t="shared" si="107"/>
        <v>1.0061063363427862E-3</v>
      </c>
      <c r="G1657" s="1122"/>
      <c r="H1657" s="436">
        <v>42793</v>
      </c>
      <c r="I1657" s="738">
        <v>2369.75</v>
      </c>
      <c r="J1657" s="440">
        <f t="shared" si="106"/>
        <v>1.018020225231675E-3</v>
      </c>
      <c r="L1657" s="436">
        <v>42793</v>
      </c>
      <c r="M1657" s="738">
        <v>269.36009999999999</v>
      </c>
      <c r="N1657" s="115">
        <f t="shared" si="109"/>
        <v>1.2631954887218022E-2</v>
      </c>
      <c r="O1657" s="1121">
        <f t="shared" si="108"/>
        <v>1.2620040998329134E-2</v>
      </c>
      <c r="P1657" s="1122"/>
    </row>
    <row r="1658" spans="6:16">
      <c r="F1658" s="1121">
        <f t="shared" si="107"/>
        <v>-2.5902449364677634E-3</v>
      </c>
      <c r="G1658" s="1122"/>
      <c r="H1658" s="436">
        <v>42794</v>
      </c>
      <c r="I1658" s="738">
        <v>2363.64</v>
      </c>
      <c r="J1658" s="440">
        <f t="shared" si="106"/>
        <v>-2.5783310475788745E-3</v>
      </c>
      <c r="L1658" s="436">
        <v>42794</v>
      </c>
      <c r="M1658" s="738">
        <v>266.58010000000002</v>
      </c>
      <c r="N1658" s="115">
        <f t="shared" si="109"/>
        <v>-1.032075648917552E-2</v>
      </c>
      <c r="O1658" s="1121">
        <f t="shared" si="108"/>
        <v>-1.0332670378064408E-2</v>
      </c>
      <c r="P1658" s="1122"/>
    </row>
    <row r="1659" spans="6:16">
      <c r="F1659" s="1121">
        <f t="shared" si="107"/>
        <v>1.3661911228303285E-2</v>
      </c>
      <c r="G1659" s="1122"/>
      <c r="H1659" s="436">
        <v>42795</v>
      </c>
      <c r="I1659" s="738">
        <v>2395.96</v>
      </c>
      <c r="J1659" s="440">
        <f t="shared" si="106"/>
        <v>1.3673825117192173E-2</v>
      </c>
      <c r="L1659" s="436">
        <v>42795</v>
      </c>
      <c r="M1659" s="738">
        <v>268.37990000000002</v>
      </c>
      <c r="N1659" s="115">
        <f t="shared" si="109"/>
        <v>6.7514416867575644E-3</v>
      </c>
      <c r="O1659" s="1121">
        <f t="shared" si="108"/>
        <v>6.7395277978686751E-3</v>
      </c>
      <c r="P1659" s="1122"/>
    </row>
    <row r="1660" spans="6:16">
      <c r="F1660" s="1121">
        <f t="shared" si="107"/>
        <v>-5.8717779934649517E-3</v>
      </c>
      <c r="G1660" s="1122"/>
      <c r="H1660" s="436">
        <v>42796</v>
      </c>
      <c r="I1660" s="738">
        <v>2381.92</v>
      </c>
      <c r="J1660" s="440">
        <f t="shared" si="106"/>
        <v>-5.8598641045760624E-3</v>
      </c>
      <c r="L1660" s="436">
        <v>42796</v>
      </c>
      <c r="M1660" s="738">
        <v>266.99</v>
      </c>
      <c r="N1660" s="115">
        <f t="shared" si="109"/>
        <v>-5.1788528127479916E-3</v>
      </c>
      <c r="O1660" s="1121">
        <f t="shared" si="108"/>
        <v>-5.1907667016368808E-3</v>
      </c>
      <c r="P1660" s="1122"/>
    </row>
    <row r="1661" spans="6:16">
      <c r="F1661" s="1121">
        <f t="shared" si="107"/>
        <v>4.9188136871835349E-4</v>
      </c>
      <c r="G1661" s="1122"/>
      <c r="H1661" s="436">
        <v>42797</v>
      </c>
      <c r="I1661" s="738">
        <v>2383.12</v>
      </c>
      <c r="J1661" s="440">
        <f t="shared" si="106"/>
        <v>5.0379525760724242E-4</v>
      </c>
      <c r="L1661" s="436">
        <v>42797</v>
      </c>
      <c r="M1661" s="738">
        <v>267.76</v>
      </c>
      <c r="N1661" s="115">
        <f t="shared" si="109"/>
        <v>2.8840031461851989E-3</v>
      </c>
      <c r="O1661" s="1121">
        <f t="shared" si="108"/>
        <v>2.8720892572963101E-3</v>
      </c>
      <c r="P1661" s="1122"/>
    </row>
    <row r="1662" spans="6:16">
      <c r="F1662" s="1121">
        <f t="shared" si="107"/>
        <v>-3.2891303110581601E-3</v>
      </c>
      <c r="G1662" s="1122"/>
      <c r="H1662" s="436">
        <v>42800</v>
      </c>
      <c r="I1662" s="738">
        <v>2375.31</v>
      </c>
      <c r="J1662" s="440">
        <f t="shared" si="106"/>
        <v>-3.2772164221692712E-3</v>
      </c>
      <c r="L1662" s="436">
        <v>42800</v>
      </c>
      <c r="M1662" s="738">
        <v>267.72000000000003</v>
      </c>
      <c r="N1662" s="115">
        <f t="shared" si="109"/>
        <v>-1.4938751120396887E-4</v>
      </c>
      <c r="O1662" s="1121">
        <f t="shared" si="108"/>
        <v>-1.6130140009285775E-4</v>
      </c>
      <c r="P1662" s="1122"/>
    </row>
    <row r="1663" spans="6:16">
      <c r="F1663" s="1121">
        <f t="shared" si="107"/>
        <v>-2.9252178365841782E-3</v>
      </c>
      <c r="G1663" s="1122"/>
      <c r="H1663" s="436">
        <v>42801</v>
      </c>
      <c r="I1663" s="738">
        <v>2368.39</v>
      </c>
      <c r="J1663" s="440">
        <f t="shared" si="106"/>
        <v>-2.9133039476952893E-3</v>
      </c>
      <c r="L1663" s="436">
        <v>42801</v>
      </c>
      <c r="M1663" s="738">
        <v>269.04000000000002</v>
      </c>
      <c r="N1663" s="115">
        <f t="shared" si="109"/>
        <v>4.9305244285073879E-3</v>
      </c>
      <c r="O1663" s="1121">
        <f t="shared" si="108"/>
        <v>4.9186105396184987E-3</v>
      </c>
      <c r="P1663" s="1122"/>
    </row>
    <row r="1664" spans="6:16">
      <c r="F1664" s="1121">
        <f t="shared" si="107"/>
        <v>-2.2961660601951224E-3</v>
      </c>
      <c r="G1664" s="1122"/>
      <c r="H1664" s="436">
        <v>42802</v>
      </c>
      <c r="I1664" s="738">
        <v>2362.98</v>
      </c>
      <c r="J1664" s="440">
        <f t="shared" si="106"/>
        <v>-2.2842521713062336E-3</v>
      </c>
      <c r="L1664" s="436">
        <v>42802</v>
      </c>
      <c r="M1664" s="738">
        <v>267.72000000000003</v>
      </c>
      <c r="N1664" s="115">
        <f t="shared" si="109"/>
        <v>-4.906333630686821E-3</v>
      </c>
      <c r="O1664" s="1121">
        <f t="shared" si="108"/>
        <v>-4.9182475195757103E-3</v>
      </c>
      <c r="P1664" s="1122"/>
    </row>
    <row r="1665" spans="6:16">
      <c r="F1665" s="1121">
        <f t="shared" si="107"/>
        <v>7.8792360444578742E-4</v>
      </c>
      <c r="G1665" s="1122"/>
      <c r="H1665" s="436">
        <v>42803</v>
      </c>
      <c r="I1665" s="738">
        <v>2364.87</v>
      </c>
      <c r="J1665" s="440">
        <f t="shared" si="106"/>
        <v>7.9983749333467635E-4</v>
      </c>
      <c r="L1665" s="436">
        <v>42803</v>
      </c>
      <c r="M1665" s="738">
        <v>268.67989999999998</v>
      </c>
      <c r="N1665" s="115">
        <f t="shared" si="109"/>
        <v>3.5854624234272769E-3</v>
      </c>
      <c r="O1665" s="1121">
        <f t="shared" si="108"/>
        <v>3.5735485345383881E-3</v>
      </c>
      <c r="P1665" s="1122"/>
    </row>
    <row r="1666" spans="6:16">
      <c r="F1666" s="1121">
        <f t="shared" si="107"/>
        <v>3.2567647276947535E-3</v>
      </c>
      <c r="G1666" s="1122"/>
      <c r="H1666" s="436">
        <v>42804</v>
      </c>
      <c r="I1666" s="738">
        <v>2372.6</v>
      </c>
      <c r="J1666" s="440">
        <f t="shared" si="106"/>
        <v>3.2686786165836423E-3</v>
      </c>
      <c r="L1666" s="436">
        <v>42804</v>
      </c>
      <c r="M1666" s="738">
        <v>268.65989999999999</v>
      </c>
      <c r="N1666" s="115">
        <f t="shared" si="109"/>
        <v>-7.4438020856715248E-5</v>
      </c>
      <c r="O1666" s="1121">
        <f t="shared" si="108"/>
        <v>-8.635190974560414E-5</v>
      </c>
      <c r="P1666" s="1122"/>
    </row>
    <row r="1667" spans="6:16">
      <c r="F1667" s="1121">
        <f t="shared" si="107"/>
        <v>3.5477244677661147E-4</v>
      </c>
      <c r="G1667" s="1122"/>
      <c r="H1667" s="436">
        <v>42807</v>
      </c>
      <c r="I1667" s="738">
        <v>2373.4699999999998</v>
      </c>
      <c r="J1667" s="440">
        <f t="shared" si="106"/>
        <v>3.6668633566550035E-4</v>
      </c>
      <c r="L1667" s="436">
        <v>42807</v>
      </c>
      <c r="M1667" s="738">
        <v>269.18990000000002</v>
      </c>
      <c r="N1667" s="115">
        <f t="shared" si="109"/>
        <v>1.9727544006382658E-3</v>
      </c>
      <c r="O1667" s="1121">
        <f t="shared" si="108"/>
        <v>1.960840511749377E-3</v>
      </c>
      <c r="P1667" s="1122"/>
    </row>
    <row r="1668" spans="6:16">
      <c r="F1668" s="1121">
        <f t="shared" si="107"/>
        <v>-3.3909327936991825E-3</v>
      </c>
      <c r="G1668" s="1122"/>
      <c r="H1668" s="436">
        <v>42808</v>
      </c>
      <c r="I1668" s="738">
        <v>2365.4499999999998</v>
      </c>
      <c r="J1668" s="440">
        <f t="shared" si="106"/>
        <v>-3.3790189048102937E-3</v>
      </c>
      <c r="L1668" s="436">
        <v>42808</v>
      </c>
      <c r="M1668" s="738">
        <v>268</v>
      </c>
      <c r="N1668" s="115">
        <f t="shared" si="109"/>
        <v>-4.4202995729037964E-3</v>
      </c>
      <c r="O1668" s="1121">
        <f t="shared" si="108"/>
        <v>-4.4322134617926856E-3</v>
      </c>
      <c r="P1668" s="1122"/>
    </row>
    <row r="1669" spans="6:16">
      <c r="F1669" s="1121">
        <f t="shared" si="107"/>
        <v>8.3628139641626006E-3</v>
      </c>
      <c r="G1669" s="1122"/>
      <c r="H1669" s="436">
        <v>42809</v>
      </c>
      <c r="I1669" s="738">
        <v>2385.2600000000002</v>
      </c>
      <c r="J1669" s="440">
        <f t="shared" si="106"/>
        <v>8.374727853051489E-3</v>
      </c>
      <c r="L1669" s="436">
        <v>42809</v>
      </c>
      <c r="M1669" s="738">
        <v>269.43990000000002</v>
      </c>
      <c r="N1669" s="115">
        <f t="shared" si="109"/>
        <v>5.3727611940299624E-3</v>
      </c>
      <c r="O1669" s="1121">
        <f t="shared" si="108"/>
        <v>5.3608473051410732E-3</v>
      </c>
      <c r="P1669" s="1122"/>
    </row>
    <row r="1670" spans="6:16">
      <c r="F1670" s="1121">
        <f t="shared" si="107"/>
        <v>-1.6385709409503309E-3</v>
      </c>
      <c r="G1670" s="1122"/>
      <c r="H1670" s="436">
        <v>42810</v>
      </c>
      <c r="I1670" s="738">
        <v>2381.38</v>
      </c>
      <c r="J1670" s="440">
        <f t="shared" si="106"/>
        <v>-1.6266570520614421E-3</v>
      </c>
      <c r="L1670" s="436">
        <v>42810</v>
      </c>
      <c r="M1670" s="738">
        <v>267.93990000000002</v>
      </c>
      <c r="N1670" s="115">
        <f t="shared" si="109"/>
        <v>-5.5671042039430185E-3</v>
      </c>
      <c r="O1670" s="1121">
        <f t="shared" si="108"/>
        <v>-5.5790180928319078E-3</v>
      </c>
      <c r="P1670" s="1122"/>
    </row>
    <row r="1671" spans="6:16">
      <c r="F1671" s="1121">
        <f t="shared" si="107"/>
        <v>-1.3262778291253182E-3</v>
      </c>
      <c r="G1671" s="1122"/>
      <c r="H1671" s="436">
        <v>42811</v>
      </c>
      <c r="I1671" s="738">
        <v>2378.25</v>
      </c>
      <c r="J1671" s="440">
        <f t="shared" si="106"/>
        <v>-1.3143639402364293E-3</v>
      </c>
      <c r="L1671" s="436">
        <v>42811</v>
      </c>
      <c r="M1671" s="738">
        <v>271.98</v>
      </c>
      <c r="N1671" s="115">
        <f t="shared" si="109"/>
        <v>1.5078381383287764E-2</v>
      </c>
      <c r="O1671" s="1121">
        <f t="shared" si="108"/>
        <v>1.5066467494398876E-2</v>
      </c>
      <c r="P1671" s="1122"/>
    </row>
    <row r="1672" spans="6:16">
      <c r="F1672" s="1121">
        <f t="shared" si="107"/>
        <v>-2.0217951040681988E-3</v>
      </c>
      <c r="G1672" s="1122"/>
      <c r="H1672" s="436">
        <v>42814</v>
      </c>
      <c r="I1672" s="738">
        <v>2373.4699999999998</v>
      </c>
      <c r="J1672" s="440">
        <f t="shared" si="106"/>
        <v>-2.00988121517931E-3</v>
      </c>
      <c r="L1672" s="436">
        <v>42814</v>
      </c>
      <c r="M1672" s="738">
        <v>272.02999999999997</v>
      </c>
      <c r="N1672" s="115">
        <f t="shared" si="109"/>
        <v>1.8383704684143964E-4</v>
      </c>
      <c r="O1672" s="1121">
        <f t="shared" si="108"/>
        <v>1.7192315795255077E-4</v>
      </c>
      <c r="P1672" s="1122"/>
    </row>
    <row r="1673" spans="6:16">
      <c r="F1673" s="1121">
        <f t="shared" si="107"/>
        <v>-1.24199072488217E-2</v>
      </c>
      <c r="G1673" s="1122"/>
      <c r="H1673" s="436">
        <v>42815</v>
      </c>
      <c r="I1673" s="738">
        <v>2344.02</v>
      </c>
      <c r="J1673" s="440">
        <f t="shared" si="106"/>
        <v>-1.2407993359932812E-2</v>
      </c>
      <c r="L1673" s="436">
        <v>42815</v>
      </c>
      <c r="M1673" s="738">
        <v>269</v>
      </c>
      <c r="N1673" s="115">
        <f t="shared" si="109"/>
        <v>-1.1138477373819011E-2</v>
      </c>
      <c r="O1673" s="1121">
        <f t="shared" si="108"/>
        <v>-1.11503912627079E-2</v>
      </c>
      <c r="P1673" s="1122"/>
    </row>
    <row r="1674" spans="6:16">
      <c r="F1674" s="1121">
        <f t="shared" si="107"/>
        <v>1.8780017261655828E-3</v>
      </c>
      <c r="G1674" s="1122"/>
      <c r="H1674" s="436">
        <v>42816</v>
      </c>
      <c r="I1674" s="738">
        <v>2348.4499999999998</v>
      </c>
      <c r="J1674" s="440">
        <f t="shared" si="106"/>
        <v>1.8899156150544716E-3</v>
      </c>
      <c r="L1674" s="436">
        <v>42816</v>
      </c>
      <c r="M1674" s="738">
        <v>269.41989999999998</v>
      </c>
      <c r="N1674" s="115">
        <f t="shared" si="109"/>
        <v>1.5609665427509523E-3</v>
      </c>
      <c r="O1674" s="1121">
        <f t="shared" si="108"/>
        <v>1.5490526538620634E-3</v>
      </c>
      <c r="P1674" s="1122"/>
    </row>
    <row r="1675" spans="6:16">
      <c r="F1675" s="1121">
        <f t="shared" si="107"/>
        <v>-1.0721876864999776E-3</v>
      </c>
      <c r="G1675" s="1122"/>
      <c r="H1675" s="436">
        <v>42817</v>
      </c>
      <c r="I1675" s="738">
        <v>2345.96</v>
      </c>
      <c r="J1675" s="440">
        <f t="shared" si="106"/>
        <v>-1.0602737976110888E-3</v>
      </c>
      <c r="L1675" s="436">
        <v>42817</v>
      </c>
      <c r="M1675" s="738">
        <v>269.5</v>
      </c>
      <c r="N1675" s="115">
        <f t="shared" si="109"/>
        <v>2.9730543289496758E-4</v>
      </c>
      <c r="O1675" s="1121">
        <f t="shared" si="108"/>
        <v>2.853915440060787E-4</v>
      </c>
      <c r="P1675" s="1122"/>
    </row>
    <row r="1676" spans="6:16">
      <c r="F1676" s="1121">
        <f t="shared" si="107"/>
        <v>-8.5591804923269203E-4</v>
      </c>
      <c r="G1676" s="1122"/>
      <c r="H1676" s="436">
        <v>42818</v>
      </c>
      <c r="I1676" s="738">
        <v>2343.98</v>
      </c>
      <c r="J1676" s="440">
        <f t="shared" si="106"/>
        <v>-8.440041603438031E-4</v>
      </c>
      <c r="L1676" s="436">
        <v>42818</v>
      </c>
      <c r="M1676" s="738">
        <v>267.41989999999998</v>
      </c>
      <c r="N1676" s="115">
        <f t="shared" si="109"/>
        <v>-7.7183673469388703E-3</v>
      </c>
      <c r="O1676" s="1121">
        <f t="shared" si="108"/>
        <v>-7.7302812358277595E-3</v>
      </c>
      <c r="P1676" s="1122"/>
    </row>
    <row r="1677" spans="6:16">
      <c r="F1677" s="1121">
        <f t="shared" si="107"/>
        <v>-1.0315471622103296E-3</v>
      </c>
      <c r="G1677" s="1122"/>
      <c r="H1677" s="436">
        <v>42821</v>
      </c>
      <c r="I1677" s="738">
        <v>2341.59</v>
      </c>
      <c r="J1677" s="440">
        <f t="shared" si="106"/>
        <v>-1.0196332733214408E-3</v>
      </c>
      <c r="L1677" s="436">
        <v>42821</v>
      </c>
      <c r="M1677" s="738">
        <v>267.15989999999999</v>
      </c>
      <c r="N1677" s="115">
        <f t="shared" si="109"/>
        <v>-9.722537477576676E-4</v>
      </c>
      <c r="O1677" s="1121">
        <f t="shared" si="108"/>
        <v>-9.8416763664655642E-4</v>
      </c>
      <c r="P1677" s="1122"/>
    </row>
    <row r="1678" spans="6:16">
      <c r="F1678" s="1121">
        <f t="shared" si="107"/>
        <v>7.2395690778131938E-3</v>
      </c>
      <c r="G1678" s="1122"/>
      <c r="H1678" s="436">
        <v>42822</v>
      </c>
      <c r="I1678" s="738">
        <v>2358.5700000000002</v>
      </c>
      <c r="J1678" s="440">
        <f t="shared" si="106"/>
        <v>7.251482966702083E-3</v>
      </c>
      <c r="L1678" s="436">
        <v>42822</v>
      </c>
      <c r="M1678" s="738">
        <v>269.12009999999998</v>
      </c>
      <c r="N1678" s="115">
        <f t="shared" si="109"/>
        <v>7.3371789703469137E-3</v>
      </c>
      <c r="O1678" s="1121">
        <f t="shared" si="108"/>
        <v>7.3252650814580244E-3</v>
      </c>
      <c r="P1678" s="1122"/>
    </row>
    <row r="1679" spans="6:16">
      <c r="F1679" s="1121">
        <f t="shared" si="107"/>
        <v>1.0734895547231875E-3</v>
      </c>
      <c r="G1679" s="1122"/>
      <c r="H1679" s="436">
        <v>42823</v>
      </c>
      <c r="I1679" s="738">
        <v>2361.13</v>
      </c>
      <c r="J1679" s="440">
        <f t="shared" si="106"/>
        <v>1.0854034436120763E-3</v>
      </c>
      <c r="L1679" s="436">
        <v>42823</v>
      </c>
      <c r="M1679" s="738">
        <v>268.24</v>
      </c>
      <c r="N1679" s="115">
        <f t="shared" si="109"/>
        <v>-3.2702871320275939E-3</v>
      </c>
      <c r="O1679" s="1121">
        <f t="shared" si="108"/>
        <v>-3.2822010209164827E-3</v>
      </c>
      <c r="P1679" s="1122"/>
    </row>
    <row r="1680" spans="6:16">
      <c r="F1680" s="1121">
        <f t="shared" si="107"/>
        <v>2.9231214543577948E-3</v>
      </c>
      <c r="G1680" s="1122"/>
      <c r="H1680" s="436">
        <v>42824</v>
      </c>
      <c r="I1680" s="738">
        <v>2368.06</v>
      </c>
      <c r="J1680" s="440">
        <f t="shared" si="106"/>
        <v>2.9350353432466836E-3</v>
      </c>
      <c r="L1680" s="436">
        <v>42824</v>
      </c>
      <c r="M1680" s="738">
        <v>270.54000000000002</v>
      </c>
      <c r="N1680" s="115">
        <f t="shared" si="109"/>
        <v>8.5744109752461384E-3</v>
      </c>
      <c r="O1680" s="1121">
        <f t="shared" si="108"/>
        <v>8.56249708635725E-3</v>
      </c>
      <c r="P1680" s="1122"/>
    </row>
    <row r="1681" spans="6:16">
      <c r="F1681" s="1121">
        <f t="shared" si="107"/>
        <v>-2.2669243193679319E-3</v>
      </c>
      <c r="G1681" s="1122"/>
      <c r="H1681" s="436">
        <v>42825</v>
      </c>
      <c r="I1681" s="738">
        <v>2362.7199999999998</v>
      </c>
      <c r="J1681" s="440">
        <f t="shared" si="106"/>
        <v>-2.255010430479043E-3</v>
      </c>
      <c r="L1681" s="436">
        <v>42825</v>
      </c>
      <c r="M1681" s="738">
        <v>267.6001</v>
      </c>
      <c r="N1681" s="115">
        <f t="shared" si="109"/>
        <v>-1.0866784948621366E-2</v>
      </c>
      <c r="O1681" s="1121">
        <f t="shared" si="108"/>
        <v>-1.0878698837510255E-2</v>
      </c>
      <c r="P1681" s="1122"/>
    </row>
    <row r="1682" spans="6:16">
      <c r="F1682" s="1121">
        <f t="shared" si="107"/>
        <v>-1.654089009089151E-3</v>
      </c>
      <c r="G1682" s="1122"/>
      <c r="H1682" s="436">
        <v>42828</v>
      </c>
      <c r="I1682" s="738">
        <v>2358.84</v>
      </c>
      <c r="J1682" s="440">
        <f t="shared" si="106"/>
        <v>-1.6421751202002621E-3</v>
      </c>
      <c r="L1682" s="436">
        <v>42828</v>
      </c>
      <c r="M1682" s="738">
        <v>268.67989999999998</v>
      </c>
      <c r="N1682" s="115">
        <f t="shared" si="109"/>
        <v>4.0351255474118108E-3</v>
      </c>
      <c r="O1682" s="1121">
        <f t="shared" si="108"/>
        <v>4.0232116585229216E-3</v>
      </c>
      <c r="P1682" s="1122"/>
    </row>
    <row r="1683" spans="6:16">
      <c r="F1683" s="1121">
        <f t="shared" si="107"/>
        <v>5.4768320120600984E-4</v>
      </c>
      <c r="G1683" s="1122"/>
      <c r="H1683" s="436">
        <v>42829</v>
      </c>
      <c r="I1683" s="738">
        <v>2360.16</v>
      </c>
      <c r="J1683" s="440">
        <f t="shared" si="106"/>
        <v>5.5959709009489877E-4</v>
      </c>
      <c r="L1683" s="436">
        <v>42829</v>
      </c>
      <c r="M1683" s="738">
        <v>269.56009999999998</v>
      </c>
      <c r="N1683" s="115">
        <f t="shared" si="109"/>
        <v>3.2760172979073854E-3</v>
      </c>
      <c r="O1683" s="1121">
        <f t="shared" si="108"/>
        <v>3.2641034090184966E-3</v>
      </c>
      <c r="P1683" s="1122"/>
    </row>
    <row r="1684" spans="6:16">
      <c r="F1684" s="1121">
        <f t="shared" si="107"/>
        <v>-3.0667915243034545E-3</v>
      </c>
      <c r="G1684" s="1122"/>
      <c r="H1684" s="436">
        <v>42830</v>
      </c>
      <c r="I1684" s="738">
        <v>2352.9499999999998</v>
      </c>
      <c r="J1684" s="440">
        <f t="shared" si="106"/>
        <v>-3.0548776354145657E-3</v>
      </c>
      <c r="L1684" s="436">
        <v>42830</v>
      </c>
      <c r="M1684" s="738">
        <v>266.98</v>
      </c>
      <c r="N1684" s="115">
        <f t="shared" si="109"/>
        <v>-9.5715204141857413E-3</v>
      </c>
      <c r="O1684" s="1121">
        <f t="shared" si="108"/>
        <v>-9.5834343030746297E-3</v>
      </c>
      <c r="P1684" s="1122"/>
    </row>
    <row r="1685" spans="6:16">
      <c r="F1685" s="1121">
        <f t="shared" si="107"/>
        <v>1.91757887551313E-3</v>
      </c>
      <c r="G1685" s="1122"/>
      <c r="H1685" s="436">
        <v>42831</v>
      </c>
      <c r="I1685" s="738">
        <v>2357.4899999999998</v>
      </c>
      <c r="J1685" s="440">
        <f t="shared" si="106"/>
        <v>1.9294927644020188E-3</v>
      </c>
      <c r="L1685" s="436">
        <v>42831</v>
      </c>
      <c r="M1685" s="738">
        <v>267.11009999999999</v>
      </c>
      <c r="N1685" s="115">
        <f t="shared" si="109"/>
        <v>4.8730241965677656E-4</v>
      </c>
      <c r="O1685" s="1121">
        <f t="shared" si="108"/>
        <v>4.7538853076788769E-4</v>
      </c>
      <c r="P1685" s="1122"/>
    </row>
    <row r="1686" spans="6:16">
      <c r="F1686" s="1121">
        <f t="shared" si="107"/>
        <v>-8.3906479939111682E-4</v>
      </c>
      <c r="G1686" s="1122"/>
      <c r="H1686" s="436">
        <v>42832</v>
      </c>
      <c r="I1686" s="738">
        <v>2355.54</v>
      </c>
      <c r="J1686" s="440">
        <f t="shared" si="106"/>
        <v>-8.2715091050222789E-4</v>
      </c>
      <c r="L1686" s="436">
        <v>42832</v>
      </c>
      <c r="M1686" s="738">
        <v>270.23</v>
      </c>
      <c r="N1686" s="115">
        <f t="shared" si="109"/>
        <v>1.1680202283627761E-2</v>
      </c>
      <c r="O1686" s="1121">
        <f t="shared" si="108"/>
        <v>1.1668288394738872E-2</v>
      </c>
      <c r="P1686" s="1122"/>
    </row>
    <row r="1687" spans="6:16">
      <c r="F1687" s="1121">
        <f t="shared" si="107"/>
        <v>6.758265018494894E-4</v>
      </c>
      <c r="G1687" s="1122"/>
      <c r="H1687" s="436">
        <v>42835</v>
      </c>
      <c r="I1687" s="738">
        <v>2357.16</v>
      </c>
      <c r="J1687" s="440">
        <f t="shared" si="106"/>
        <v>6.8774039073837834E-4</v>
      </c>
      <c r="L1687" s="436">
        <v>42835</v>
      </c>
      <c r="M1687" s="738">
        <v>269.02999999999997</v>
      </c>
      <c r="N1687" s="115">
        <f t="shared" si="109"/>
        <v>-4.4406616585872527E-3</v>
      </c>
      <c r="O1687" s="1121">
        <f t="shared" si="108"/>
        <v>-4.452575547476142E-3</v>
      </c>
      <c r="P1687" s="1122"/>
    </row>
    <row r="1688" spans="6:16">
      <c r="F1688" s="1121">
        <f t="shared" si="107"/>
        <v>-1.4458428542538722E-3</v>
      </c>
      <c r="G1688" s="1122"/>
      <c r="H1688" s="436">
        <v>42836</v>
      </c>
      <c r="I1688" s="738">
        <v>2353.7800000000002</v>
      </c>
      <c r="J1688" s="440">
        <f t="shared" si="106"/>
        <v>-1.4339289653649834E-3</v>
      </c>
      <c r="L1688" s="436">
        <v>42836</v>
      </c>
      <c r="M1688" s="738">
        <v>270.27</v>
      </c>
      <c r="N1688" s="115">
        <f t="shared" si="109"/>
        <v>4.6091513957551289E-3</v>
      </c>
      <c r="O1688" s="1121">
        <f t="shared" si="108"/>
        <v>4.5972375068662396E-3</v>
      </c>
      <c r="P1688" s="1122"/>
    </row>
    <row r="1689" spans="6:16">
      <c r="F1689" s="1121">
        <f t="shared" si="107"/>
        <v>-3.7718234811193814E-3</v>
      </c>
      <c r="G1689" s="1122"/>
      <c r="H1689" s="436">
        <v>42837</v>
      </c>
      <c r="I1689" s="738">
        <v>2344.9299999999998</v>
      </c>
      <c r="J1689" s="440">
        <f t="shared" si="106"/>
        <v>-3.7599095922304926E-3</v>
      </c>
      <c r="L1689" s="436">
        <v>42837</v>
      </c>
      <c r="M1689" s="738">
        <v>268.51</v>
      </c>
      <c r="N1689" s="115">
        <f t="shared" si="109"/>
        <v>-6.5120065120064519E-3</v>
      </c>
      <c r="O1689" s="1121">
        <f t="shared" si="108"/>
        <v>-6.5239204008953411E-3</v>
      </c>
      <c r="P1689" s="1122"/>
    </row>
    <row r="1690" spans="6:16">
      <c r="F1690" s="1121">
        <f t="shared" si="107"/>
        <v>-6.8266162467417535E-3</v>
      </c>
      <c r="G1690" s="1122"/>
      <c r="H1690" s="436">
        <v>42838</v>
      </c>
      <c r="I1690" s="738">
        <v>2328.9499999999998</v>
      </c>
      <c r="J1690" s="440">
        <f t="shared" si="106"/>
        <v>-6.8147023578528643E-3</v>
      </c>
      <c r="L1690" s="436">
        <v>42838</v>
      </c>
      <c r="M1690" s="738">
        <v>268</v>
      </c>
      <c r="N1690" s="115">
        <f t="shared" si="109"/>
        <v>-1.8993706007224276E-3</v>
      </c>
      <c r="O1690" s="1121">
        <f t="shared" si="108"/>
        <v>-1.9112844896113164E-3</v>
      </c>
      <c r="P1690" s="1122"/>
    </row>
    <row r="1691" spans="6:16">
      <c r="F1691" s="1121">
        <f t="shared" si="107"/>
        <v>-1.1913888888888887E-5</v>
      </c>
      <c r="G1691" s="1122"/>
      <c r="H1691" s="436">
        <v>42839</v>
      </c>
      <c r="I1691" s="738">
        <v>2328.9499999999998</v>
      </c>
      <c r="J1691" s="440">
        <f t="shared" si="106"/>
        <v>0</v>
      </c>
      <c r="L1691" s="436">
        <v>42839</v>
      </c>
      <c r="M1691" s="738">
        <v>268</v>
      </c>
      <c r="N1691" s="115">
        <f t="shared" si="109"/>
        <v>0</v>
      </c>
      <c r="O1691" s="1121">
        <f t="shared" si="108"/>
        <v>-1.1913888888888887E-5</v>
      </c>
      <c r="P1691" s="1122"/>
    </row>
    <row r="1692" spans="6:16">
      <c r="F1692" s="1121">
        <f t="shared" si="107"/>
        <v>8.6014097118755004E-3</v>
      </c>
      <c r="G1692" s="1122"/>
      <c r="H1692" s="436">
        <v>42842</v>
      </c>
      <c r="I1692" s="738">
        <v>2349.0100000000002</v>
      </c>
      <c r="J1692" s="440">
        <f t="shared" si="106"/>
        <v>8.6133236007643887E-3</v>
      </c>
      <c r="L1692" s="436">
        <v>42842</v>
      </c>
      <c r="M1692" s="738">
        <v>269.87990000000002</v>
      </c>
      <c r="N1692" s="115">
        <f t="shared" si="109"/>
        <v>7.0145522388060932E-3</v>
      </c>
      <c r="O1692" s="1121">
        <f t="shared" si="108"/>
        <v>7.002638349917204E-3</v>
      </c>
      <c r="P1692" s="1122"/>
    </row>
    <row r="1693" spans="6:16">
      <c r="F1693" s="1121">
        <f t="shared" si="107"/>
        <v>-2.9152646621935026E-3</v>
      </c>
      <c r="G1693" s="1122"/>
      <c r="H1693" s="436">
        <v>42843</v>
      </c>
      <c r="I1693" s="738">
        <v>2342.19</v>
      </c>
      <c r="J1693" s="440">
        <f t="shared" ref="J1693:J1756" si="110">I1693/I1692-1</f>
        <v>-2.9033507733046138E-3</v>
      </c>
      <c r="L1693" s="436">
        <v>42843</v>
      </c>
      <c r="M1693" s="738">
        <v>268.77999999999997</v>
      </c>
      <c r="N1693" s="115">
        <f t="shared" si="109"/>
        <v>-4.0755165538450822E-3</v>
      </c>
      <c r="O1693" s="1121">
        <f t="shared" si="108"/>
        <v>-4.0874304427339714E-3</v>
      </c>
      <c r="P1693" s="1122"/>
    </row>
    <row r="1694" spans="6:16">
      <c r="F1694" s="1121">
        <f t="shared" ref="F1694:F1757" si="111">J1694-$I$19</f>
        <v>-1.728256286388626E-3</v>
      </c>
      <c r="G1694" s="1122"/>
      <c r="H1694" s="436">
        <v>42844</v>
      </c>
      <c r="I1694" s="738">
        <v>2338.17</v>
      </c>
      <c r="J1694" s="440">
        <f t="shared" si="110"/>
        <v>-1.7163423974997372E-3</v>
      </c>
      <c r="L1694" s="436">
        <v>42844</v>
      </c>
      <c r="M1694" s="738">
        <v>269.62990000000002</v>
      </c>
      <c r="N1694" s="115">
        <f t="shared" si="109"/>
        <v>3.1620656298834149E-3</v>
      </c>
      <c r="O1694" s="1121">
        <f t="shared" ref="O1694:O1757" si="112">N1694-$I$19</f>
        <v>3.1501517409945261E-3</v>
      </c>
      <c r="P1694" s="1122"/>
    </row>
    <row r="1695" spans="6:16">
      <c r="F1695" s="1121">
        <f t="shared" si="111"/>
        <v>7.545278274213022E-3</v>
      </c>
      <c r="G1695" s="1122"/>
      <c r="H1695" s="436">
        <v>42845</v>
      </c>
      <c r="I1695" s="738">
        <v>2355.84</v>
      </c>
      <c r="J1695" s="440">
        <f t="shared" si="110"/>
        <v>7.5571921631019112E-3</v>
      </c>
      <c r="L1695" s="436">
        <v>42845</v>
      </c>
      <c r="M1695" s="738">
        <v>271.8501</v>
      </c>
      <c r="N1695" s="115">
        <f t="shared" si="109"/>
        <v>8.2342499848866435E-3</v>
      </c>
      <c r="O1695" s="1121">
        <f t="shared" si="112"/>
        <v>8.2223360959977551E-3</v>
      </c>
      <c r="P1695" s="1122"/>
    </row>
    <row r="1696" spans="6:16">
      <c r="F1696" s="1121">
        <f t="shared" si="111"/>
        <v>-3.0469247555012864E-3</v>
      </c>
      <c r="G1696" s="1122"/>
      <c r="H1696" s="436">
        <v>42846</v>
      </c>
      <c r="I1696" s="738">
        <v>2348.69</v>
      </c>
      <c r="J1696" s="440">
        <f t="shared" si="110"/>
        <v>-3.0350108666123976E-3</v>
      </c>
      <c r="L1696" s="436">
        <v>42846</v>
      </c>
      <c r="M1696" s="738">
        <v>273.09010000000001</v>
      </c>
      <c r="N1696" s="115">
        <f t="shared" si="109"/>
        <v>4.5613372958113185E-3</v>
      </c>
      <c r="O1696" s="1121">
        <f t="shared" si="112"/>
        <v>4.5494234069224293E-3</v>
      </c>
      <c r="P1696" s="1122"/>
    </row>
    <row r="1697" spans="6:16">
      <c r="F1697" s="1121">
        <f t="shared" si="111"/>
        <v>1.0828171435270588E-2</v>
      </c>
      <c r="G1697" s="1122"/>
      <c r="H1697" s="436">
        <v>42849</v>
      </c>
      <c r="I1697" s="738">
        <v>2374.15</v>
      </c>
      <c r="J1697" s="440">
        <f t="shared" si="110"/>
        <v>1.0840085324159476E-2</v>
      </c>
      <c r="L1697" s="436">
        <v>42849</v>
      </c>
      <c r="M1697" s="738">
        <v>276.20999999999998</v>
      </c>
      <c r="N1697" s="115">
        <f t="shared" si="109"/>
        <v>1.142443464629439E-2</v>
      </c>
      <c r="O1697" s="1121">
        <f t="shared" si="112"/>
        <v>1.1412520757405502E-2</v>
      </c>
      <c r="P1697" s="1122"/>
    </row>
    <row r="1698" spans="6:16">
      <c r="F1698" s="1121">
        <f t="shared" si="111"/>
        <v>6.0786869577299429E-3</v>
      </c>
      <c r="G1698" s="1122"/>
      <c r="H1698" s="436">
        <v>42850</v>
      </c>
      <c r="I1698" s="738">
        <v>2388.61</v>
      </c>
      <c r="J1698" s="440">
        <f t="shared" si="110"/>
        <v>6.0906008466188322E-3</v>
      </c>
      <c r="L1698" s="436">
        <v>42850</v>
      </c>
      <c r="M1698" s="738">
        <v>270.02</v>
      </c>
      <c r="N1698" s="115">
        <f t="shared" si="109"/>
        <v>-2.2410484776076212E-2</v>
      </c>
      <c r="O1698" s="1121">
        <f t="shared" si="112"/>
        <v>-2.24223986649651E-2</v>
      </c>
      <c r="P1698" s="1122"/>
    </row>
    <row r="1699" spans="6:16">
      <c r="F1699" s="1121">
        <f t="shared" si="111"/>
        <v>-4.9755197966151103E-4</v>
      </c>
      <c r="G1699" s="1122"/>
      <c r="H1699" s="436">
        <v>42851</v>
      </c>
      <c r="I1699" s="738">
        <v>2387.4499999999998</v>
      </c>
      <c r="J1699" s="440">
        <f t="shared" si="110"/>
        <v>-4.856380907726221E-4</v>
      </c>
      <c r="L1699" s="436">
        <v>42851</v>
      </c>
      <c r="M1699" s="738">
        <v>270.3501</v>
      </c>
      <c r="N1699" s="115">
        <f t="shared" si="109"/>
        <v>1.2225020368861195E-3</v>
      </c>
      <c r="O1699" s="1121">
        <f t="shared" si="112"/>
        <v>1.2105881479972306E-3</v>
      </c>
      <c r="P1699" s="1122"/>
    </row>
    <row r="1700" spans="6:16">
      <c r="F1700" s="1121">
        <f t="shared" si="111"/>
        <v>5.4097727113543799E-4</v>
      </c>
      <c r="G1700" s="1122"/>
      <c r="H1700" s="436">
        <v>42852</v>
      </c>
      <c r="I1700" s="738">
        <v>2388.77</v>
      </c>
      <c r="J1700" s="440">
        <f t="shared" si="110"/>
        <v>5.5289116002432692E-4</v>
      </c>
      <c r="L1700" s="436">
        <v>42852</v>
      </c>
      <c r="M1700" s="738">
        <v>271.13990000000001</v>
      </c>
      <c r="N1700" s="115">
        <f t="shared" si="109"/>
        <v>2.9213971069366185E-3</v>
      </c>
      <c r="O1700" s="1121">
        <f t="shared" si="112"/>
        <v>2.9094832180477296E-3</v>
      </c>
      <c r="P1700" s="1122"/>
    </row>
    <row r="1701" spans="6:16">
      <c r="F1701" s="1121">
        <f t="shared" si="111"/>
        <v>-1.9250323557149581E-3</v>
      </c>
      <c r="G1701" s="1122"/>
      <c r="H1701" s="436">
        <v>42853</v>
      </c>
      <c r="I1701" s="738">
        <v>2384.1999999999998</v>
      </c>
      <c r="J1701" s="440">
        <f t="shared" si="110"/>
        <v>-1.9131184668260692E-3</v>
      </c>
      <c r="L1701" s="436">
        <v>42853</v>
      </c>
      <c r="M1701" s="738">
        <v>269.45</v>
      </c>
      <c r="N1701" s="115">
        <f t="shared" si="109"/>
        <v>-6.2325758768813078E-3</v>
      </c>
      <c r="O1701" s="1121">
        <f t="shared" si="112"/>
        <v>-6.244489765770197E-3</v>
      </c>
      <c r="P1701" s="1122"/>
    </row>
    <row r="1702" spans="6:16">
      <c r="F1702" s="1121">
        <f t="shared" si="111"/>
        <v>1.7203233395316412E-3</v>
      </c>
      <c r="G1702" s="1122"/>
      <c r="H1702" s="436">
        <v>42856</v>
      </c>
      <c r="I1702" s="738">
        <v>2388.33</v>
      </c>
      <c r="J1702" s="440">
        <f t="shared" si="110"/>
        <v>1.7322372284205301E-3</v>
      </c>
      <c r="L1702" s="436">
        <v>42856</v>
      </c>
      <c r="M1702" s="738">
        <v>268.42989999999998</v>
      </c>
      <c r="N1702" s="115">
        <f t="shared" si="109"/>
        <v>-3.7858600853590829E-3</v>
      </c>
      <c r="O1702" s="1121">
        <f t="shared" si="112"/>
        <v>-3.7977739742479717E-3</v>
      </c>
      <c r="P1702" s="1122"/>
    </row>
    <row r="1703" spans="6:16">
      <c r="F1703" s="1121">
        <f t="shared" si="111"/>
        <v>1.1772015181109523E-3</v>
      </c>
      <c r="G1703" s="1122"/>
      <c r="H1703" s="436">
        <v>42857</v>
      </c>
      <c r="I1703" s="738">
        <v>2391.17</v>
      </c>
      <c r="J1703" s="440">
        <f t="shared" si="110"/>
        <v>1.1891154069998411E-3</v>
      </c>
      <c r="L1703" s="436">
        <v>42857</v>
      </c>
      <c r="M1703" s="738">
        <v>269.49</v>
      </c>
      <c r="N1703" s="115">
        <f t="shared" si="109"/>
        <v>3.9492619860903577E-3</v>
      </c>
      <c r="O1703" s="1121">
        <f t="shared" si="112"/>
        <v>3.9373480972014685E-3</v>
      </c>
      <c r="P1703" s="1122"/>
    </row>
    <row r="1704" spans="6:16">
      <c r="F1704" s="1121">
        <f t="shared" si="111"/>
        <v>-1.2832580425876723E-3</v>
      </c>
      <c r="G1704" s="1122"/>
      <c r="H1704" s="436">
        <v>42858</v>
      </c>
      <c r="I1704" s="738">
        <v>2388.13</v>
      </c>
      <c r="J1704" s="440">
        <f t="shared" si="110"/>
        <v>-1.2713441536987835E-3</v>
      </c>
      <c r="L1704" s="436">
        <v>42858</v>
      </c>
      <c r="M1704" s="738">
        <v>269.6001</v>
      </c>
      <c r="N1704" s="115">
        <f t="shared" si="109"/>
        <v>4.085494823555802E-4</v>
      </c>
      <c r="O1704" s="1121">
        <f t="shared" si="112"/>
        <v>3.9663559346669132E-4</v>
      </c>
      <c r="P1704" s="1122"/>
    </row>
    <row r="1705" spans="6:16">
      <c r="F1705" s="1121">
        <f t="shared" si="111"/>
        <v>5.7013147715056307E-4</v>
      </c>
      <c r="G1705" s="1122"/>
      <c r="H1705" s="436">
        <v>42859</v>
      </c>
      <c r="I1705" s="738">
        <v>2389.52</v>
      </c>
      <c r="J1705" s="440">
        <f t="shared" si="110"/>
        <v>5.8204536603945201E-4</v>
      </c>
      <c r="L1705" s="436">
        <v>42859</v>
      </c>
      <c r="M1705" s="738">
        <v>270.51</v>
      </c>
      <c r="N1705" s="115">
        <f t="shared" si="109"/>
        <v>3.37499874814573E-3</v>
      </c>
      <c r="O1705" s="1121">
        <f t="shared" si="112"/>
        <v>3.3630848592568412E-3</v>
      </c>
      <c r="P1705" s="1122"/>
    </row>
    <row r="1706" spans="6:16">
      <c r="F1706" s="1121">
        <f t="shared" si="111"/>
        <v>4.076773378846813E-3</v>
      </c>
      <c r="G1706" s="1122"/>
      <c r="H1706" s="436">
        <v>42860</v>
      </c>
      <c r="I1706" s="738">
        <v>2399.29</v>
      </c>
      <c r="J1706" s="440">
        <f t="shared" si="110"/>
        <v>4.0886872677357022E-3</v>
      </c>
      <c r="L1706" s="436">
        <v>42860</v>
      </c>
      <c r="M1706" s="738">
        <v>273.02999999999997</v>
      </c>
      <c r="N1706" s="115">
        <f t="shared" si="109"/>
        <v>9.3157369413330304E-3</v>
      </c>
      <c r="O1706" s="1121">
        <f t="shared" si="112"/>
        <v>9.303823052444142E-3</v>
      </c>
      <c r="P1706" s="1122"/>
    </row>
    <row r="1707" spans="6:16">
      <c r="F1707" s="1121">
        <f t="shared" si="111"/>
        <v>2.5597208144093946E-5</v>
      </c>
      <c r="G1707" s="1122"/>
      <c r="H1707" s="436">
        <v>42863</v>
      </c>
      <c r="I1707" s="738">
        <v>2399.38</v>
      </c>
      <c r="J1707" s="440">
        <f t="shared" si="110"/>
        <v>3.7511097032982832E-5</v>
      </c>
      <c r="L1707" s="436">
        <v>42863</v>
      </c>
      <c r="M1707" s="738">
        <v>272.5</v>
      </c>
      <c r="N1707" s="115">
        <f t="shared" si="109"/>
        <v>-1.941178625059381E-3</v>
      </c>
      <c r="O1707" s="1121">
        <f t="shared" si="112"/>
        <v>-1.9530925139482698E-3</v>
      </c>
      <c r="P1707" s="1122"/>
    </row>
    <row r="1708" spans="6:16">
      <c r="F1708" s="1121">
        <f t="shared" si="111"/>
        <v>-1.0371787489778035E-3</v>
      </c>
      <c r="G1708" s="1122"/>
      <c r="H1708" s="436">
        <v>42864</v>
      </c>
      <c r="I1708" s="738">
        <v>2396.92</v>
      </c>
      <c r="J1708" s="440">
        <f t="shared" si="110"/>
        <v>-1.0252648600889147E-3</v>
      </c>
      <c r="L1708" s="436">
        <v>42864</v>
      </c>
      <c r="M1708" s="738">
        <v>273.87009999999998</v>
      </c>
      <c r="N1708" s="115">
        <f t="shared" si="109"/>
        <v>5.0278899082567552E-3</v>
      </c>
      <c r="O1708" s="1121">
        <f t="shared" si="112"/>
        <v>5.0159760193678659E-3</v>
      </c>
      <c r="P1708" s="1122"/>
    </row>
    <row r="1709" spans="6:16">
      <c r="F1709" s="1121">
        <f t="shared" si="111"/>
        <v>1.1187037370644563E-3</v>
      </c>
      <c r="G1709" s="1122"/>
      <c r="H1709" s="436">
        <v>42865</v>
      </c>
      <c r="I1709" s="738">
        <v>2399.63</v>
      </c>
      <c r="J1709" s="440">
        <f t="shared" si="110"/>
        <v>1.1306176259533451E-3</v>
      </c>
      <c r="L1709" s="436">
        <v>42865</v>
      </c>
      <c r="M1709" s="738">
        <v>271.74</v>
      </c>
      <c r="N1709" s="115">
        <f t="shared" si="109"/>
        <v>-7.7777749378262762E-3</v>
      </c>
      <c r="O1709" s="1121">
        <f t="shared" si="112"/>
        <v>-7.7896888267151654E-3</v>
      </c>
      <c r="P1709" s="1122"/>
    </row>
    <row r="1710" spans="6:16">
      <c r="F1710" s="1121">
        <f t="shared" si="111"/>
        <v>-2.1747473257104429E-3</v>
      </c>
      <c r="G1710" s="1122"/>
      <c r="H1710" s="436">
        <v>42866</v>
      </c>
      <c r="I1710" s="738">
        <v>2394.44</v>
      </c>
      <c r="J1710" s="440">
        <f t="shared" si="110"/>
        <v>-2.162833436821554E-3</v>
      </c>
      <c r="L1710" s="436">
        <v>42866</v>
      </c>
      <c r="M1710" s="738">
        <v>272.09010000000001</v>
      </c>
      <c r="N1710" s="115">
        <f t="shared" si="109"/>
        <v>1.2883638772356321E-3</v>
      </c>
      <c r="O1710" s="1121">
        <f t="shared" si="112"/>
        <v>1.2764499883467432E-3</v>
      </c>
      <c r="P1710" s="1122"/>
    </row>
    <row r="1711" spans="6:16">
      <c r="F1711" s="1121">
        <f t="shared" si="111"/>
        <v>-1.4903389068471403E-3</v>
      </c>
      <c r="G1711" s="1122"/>
      <c r="H1711" s="436">
        <v>42867</v>
      </c>
      <c r="I1711" s="738">
        <v>2390.9</v>
      </c>
      <c r="J1711" s="440">
        <f t="shared" si="110"/>
        <v>-1.4784250179582514E-3</v>
      </c>
      <c r="L1711" s="436">
        <v>42867</v>
      </c>
      <c r="M1711" s="738">
        <v>271.26</v>
      </c>
      <c r="N1711" s="115">
        <f t="shared" si="109"/>
        <v>-3.0508276486355124E-3</v>
      </c>
      <c r="O1711" s="1121">
        <f t="shared" si="112"/>
        <v>-3.0627415375244012E-3</v>
      </c>
      <c r="P1711" s="1122"/>
    </row>
    <row r="1712" spans="6:16">
      <c r="F1712" s="1121">
        <f t="shared" si="111"/>
        <v>4.7645301280084739E-3</v>
      </c>
      <c r="G1712" s="1122"/>
      <c r="H1712" s="436">
        <v>42870</v>
      </c>
      <c r="I1712" s="738">
        <v>2402.3200000000002</v>
      </c>
      <c r="J1712" s="440">
        <f t="shared" si="110"/>
        <v>4.7764440168973632E-3</v>
      </c>
      <c r="L1712" s="436">
        <v>42870</v>
      </c>
      <c r="M1712" s="738">
        <v>272.3501</v>
      </c>
      <c r="N1712" s="115">
        <f t="shared" si="109"/>
        <v>4.0186536901865022E-3</v>
      </c>
      <c r="O1712" s="1121">
        <f t="shared" si="112"/>
        <v>4.0067398012976129E-3</v>
      </c>
      <c r="P1712" s="1122"/>
    </row>
    <row r="1713" spans="6:16">
      <c r="F1713" s="1121">
        <f t="shared" si="111"/>
        <v>-6.987499473657474E-4</v>
      </c>
      <c r="G1713" s="1122"/>
      <c r="H1713" s="436">
        <v>42871</v>
      </c>
      <c r="I1713" s="738">
        <v>2400.67</v>
      </c>
      <c r="J1713" s="440">
        <f t="shared" si="110"/>
        <v>-6.8683605847685847E-4</v>
      </c>
      <c r="L1713" s="436">
        <v>42871</v>
      </c>
      <c r="M1713" s="738">
        <v>271.6499</v>
      </c>
      <c r="N1713" s="115">
        <f t="shared" ref="N1713:N1776" si="113">M1713/M1712-1</f>
        <v>-2.5709555458213185E-3</v>
      </c>
      <c r="O1713" s="1121">
        <f t="shared" si="112"/>
        <v>-2.5828694347102073E-3</v>
      </c>
      <c r="P1713" s="1122"/>
    </row>
    <row r="1714" spans="6:16">
      <c r="F1714" s="1121">
        <f t="shared" si="111"/>
        <v>-1.8190172458371519E-2</v>
      </c>
      <c r="G1714" s="1122"/>
      <c r="H1714" s="436">
        <v>42872</v>
      </c>
      <c r="I1714" s="738">
        <v>2357.0300000000002</v>
      </c>
      <c r="J1714" s="440">
        <f t="shared" si="110"/>
        <v>-1.817825856948263E-2</v>
      </c>
      <c r="L1714" s="436">
        <v>42872</v>
      </c>
      <c r="M1714" s="738">
        <v>269.24</v>
      </c>
      <c r="N1714" s="115">
        <f t="shared" si="113"/>
        <v>-8.8713450658365334E-3</v>
      </c>
      <c r="O1714" s="1121">
        <f t="shared" si="112"/>
        <v>-8.8832589547254218E-3</v>
      </c>
      <c r="P1714" s="1122"/>
    </row>
    <row r="1715" spans="6:16">
      <c r="F1715" s="1121">
        <f t="shared" si="111"/>
        <v>3.6749292993606335E-3</v>
      </c>
      <c r="G1715" s="1122"/>
      <c r="H1715" s="436">
        <v>42873</v>
      </c>
      <c r="I1715" s="738">
        <v>2365.7199999999998</v>
      </c>
      <c r="J1715" s="440">
        <f t="shared" si="110"/>
        <v>3.6868431882495223E-3</v>
      </c>
      <c r="L1715" s="436">
        <v>42873</v>
      </c>
      <c r="M1715" s="738">
        <v>267.32010000000002</v>
      </c>
      <c r="N1715" s="115">
        <f t="shared" si="113"/>
        <v>-7.1308126578516484E-3</v>
      </c>
      <c r="O1715" s="1121">
        <f t="shared" si="112"/>
        <v>-7.1427265467405377E-3</v>
      </c>
      <c r="P1715" s="1122"/>
    </row>
    <row r="1716" spans="6:16">
      <c r="F1716" s="1121">
        <f t="shared" si="111"/>
        <v>6.7555818417978008E-3</v>
      </c>
      <c r="G1716" s="1122"/>
      <c r="H1716" s="436">
        <v>42874</v>
      </c>
      <c r="I1716" s="738">
        <v>2381.73</v>
      </c>
      <c r="J1716" s="440">
        <f t="shared" si="110"/>
        <v>6.7674957306866901E-3</v>
      </c>
      <c r="L1716" s="436">
        <v>42874</v>
      </c>
      <c r="M1716" s="738">
        <v>272.79000000000002</v>
      </c>
      <c r="N1716" s="115">
        <f t="shared" si="113"/>
        <v>2.0461985462372656E-2</v>
      </c>
      <c r="O1716" s="1121">
        <f t="shared" si="112"/>
        <v>2.0450071573483768E-2</v>
      </c>
      <c r="P1716" s="1122"/>
    </row>
    <row r="1717" spans="6:16">
      <c r="F1717" s="1121">
        <f t="shared" si="111"/>
        <v>5.1482008176478777E-3</v>
      </c>
      <c r="G1717" s="1122"/>
      <c r="H1717" s="436">
        <v>42877</v>
      </c>
      <c r="I1717" s="738">
        <v>2394.02</v>
      </c>
      <c r="J1717" s="440">
        <f t="shared" si="110"/>
        <v>5.160114706536767E-3</v>
      </c>
      <c r="L1717" s="436">
        <v>42877</v>
      </c>
      <c r="M1717" s="738">
        <v>277.02999999999997</v>
      </c>
      <c r="N1717" s="115">
        <f t="shared" si="113"/>
        <v>1.5543091755562788E-2</v>
      </c>
      <c r="O1717" s="1121">
        <f t="shared" si="112"/>
        <v>1.5531177866673899E-2</v>
      </c>
      <c r="P1717" s="1122"/>
    </row>
    <row r="1718" spans="6:16">
      <c r="F1718" s="1121">
        <f t="shared" si="111"/>
        <v>1.8259989105030498E-3</v>
      </c>
      <c r="G1718" s="1122"/>
      <c r="H1718" s="436">
        <v>42878</v>
      </c>
      <c r="I1718" s="738">
        <v>2398.42</v>
      </c>
      <c r="J1718" s="440">
        <f t="shared" si="110"/>
        <v>1.8379127993919386E-3</v>
      </c>
      <c r="L1718" s="436">
        <v>42878</v>
      </c>
      <c r="M1718" s="738">
        <v>278.36009999999999</v>
      </c>
      <c r="N1718" s="115">
        <f t="shared" si="113"/>
        <v>4.8012850593799339E-3</v>
      </c>
      <c r="O1718" s="1121">
        <f t="shared" si="112"/>
        <v>4.7893711704910446E-3</v>
      </c>
      <c r="P1718" s="1122"/>
    </row>
    <row r="1719" spans="6:16">
      <c r="F1719" s="1121">
        <f t="shared" si="111"/>
        <v>2.4772247940772966E-3</v>
      </c>
      <c r="G1719" s="1122"/>
      <c r="H1719" s="436">
        <v>42879</v>
      </c>
      <c r="I1719" s="738">
        <v>2404.39</v>
      </c>
      <c r="J1719" s="440">
        <f t="shared" si="110"/>
        <v>2.4891386829661855E-3</v>
      </c>
      <c r="L1719" s="436">
        <v>42879</v>
      </c>
      <c r="M1719" s="738">
        <v>280.05</v>
      </c>
      <c r="N1719" s="115">
        <f t="shared" si="113"/>
        <v>6.0709131804450589E-3</v>
      </c>
      <c r="O1719" s="1121">
        <f t="shared" si="112"/>
        <v>6.0589992915561696E-3</v>
      </c>
      <c r="P1719" s="1122"/>
    </row>
    <row r="1720" spans="6:16">
      <c r="F1720" s="1121">
        <f t="shared" si="111"/>
        <v>4.4299611812953421E-3</v>
      </c>
      <c r="G1720" s="1122"/>
      <c r="H1720" s="436">
        <v>42880</v>
      </c>
      <c r="I1720" s="738">
        <v>2415.0700000000002</v>
      </c>
      <c r="J1720" s="440">
        <f t="shared" si="110"/>
        <v>4.4418750701842313E-3</v>
      </c>
      <c r="L1720" s="436">
        <v>42880</v>
      </c>
      <c r="M1720" s="738">
        <v>282.06009999999998</v>
      </c>
      <c r="N1720" s="115">
        <f t="shared" si="113"/>
        <v>7.1776468487769751E-3</v>
      </c>
      <c r="O1720" s="1121">
        <f t="shared" si="112"/>
        <v>7.1657329598880859E-3</v>
      </c>
      <c r="P1720" s="1122"/>
    </row>
    <row r="1721" spans="6:16">
      <c r="F1721" s="1121">
        <f t="shared" si="111"/>
        <v>2.9863611587287821E-4</v>
      </c>
      <c r="G1721" s="1122"/>
      <c r="H1721" s="436">
        <v>42881</v>
      </c>
      <c r="I1721" s="738">
        <v>2415.8200000000002</v>
      </c>
      <c r="J1721" s="440">
        <f t="shared" si="110"/>
        <v>3.1055000476176708E-4</v>
      </c>
      <c r="L1721" s="436">
        <v>42881</v>
      </c>
      <c r="M1721" s="738">
        <v>283.6499</v>
      </c>
      <c r="N1721" s="115">
        <f t="shared" si="113"/>
        <v>5.6363874223970267E-3</v>
      </c>
      <c r="O1721" s="1121">
        <f t="shared" si="112"/>
        <v>5.6244735335081375E-3</v>
      </c>
      <c r="P1721" s="1122"/>
    </row>
    <row r="1722" spans="6:16">
      <c r="F1722" s="1121">
        <f t="shared" si="111"/>
        <v>-1.1913888888888887E-5</v>
      </c>
      <c r="G1722" s="1122"/>
      <c r="H1722" s="436">
        <v>42884</v>
      </c>
      <c r="I1722" s="738">
        <v>2415.8200000000002</v>
      </c>
      <c r="J1722" s="440">
        <f t="shared" si="110"/>
        <v>0</v>
      </c>
      <c r="L1722" s="436">
        <v>42884</v>
      </c>
      <c r="M1722" s="738">
        <v>283.6499</v>
      </c>
      <c r="N1722" s="115">
        <f t="shared" si="113"/>
        <v>0</v>
      </c>
      <c r="O1722" s="1121">
        <f t="shared" si="112"/>
        <v>-1.1913888888888887E-5</v>
      </c>
      <c r="P1722" s="1122"/>
    </row>
    <row r="1723" spans="6:16">
      <c r="F1723" s="1121">
        <f t="shared" si="111"/>
        <v>-1.2164738312687791E-3</v>
      </c>
      <c r="G1723" s="1122"/>
      <c r="H1723" s="436">
        <v>42885</v>
      </c>
      <c r="I1723" s="738">
        <v>2412.91</v>
      </c>
      <c r="J1723" s="440">
        <f t="shared" si="110"/>
        <v>-1.2045599423798903E-3</v>
      </c>
      <c r="L1723" s="436">
        <v>42885</v>
      </c>
      <c r="M1723" s="738">
        <v>280.09010000000001</v>
      </c>
      <c r="N1723" s="115">
        <f t="shared" si="113"/>
        <v>-1.25499779834225E-2</v>
      </c>
      <c r="O1723" s="1121">
        <f t="shared" si="112"/>
        <v>-1.2561891872311388E-2</v>
      </c>
      <c r="P1723" s="1122"/>
    </row>
    <row r="1724" spans="6:16">
      <c r="F1724" s="1121">
        <f t="shared" si="111"/>
        <v>-4.7193933534140552E-4</v>
      </c>
      <c r="G1724" s="1122"/>
      <c r="H1724" s="436">
        <v>42886</v>
      </c>
      <c r="I1724" s="738">
        <v>2411.8000000000002</v>
      </c>
      <c r="J1724" s="440">
        <f t="shared" si="110"/>
        <v>-4.6002544645251664E-4</v>
      </c>
      <c r="L1724" s="436">
        <v>42886</v>
      </c>
      <c r="M1724" s="738">
        <v>281.12990000000002</v>
      </c>
      <c r="N1724" s="115">
        <f t="shared" si="113"/>
        <v>3.7123768387388179E-3</v>
      </c>
      <c r="O1724" s="1121">
        <f t="shared" si="112"/>
        <v>3.700462949849929E-3</v>
      </c>
      <c r="P1724" s="1122"/>
    </row>
    <row r="1725" spans="6:16">
      <c r="F1725" s="1121">
        <f t="shared" si="111"/>
        <v>7.5591948265932773E-3</v>
      </c>
      <c r="G1725" s="1122"/>
      <c r="H1725" s="436">
        <v>42887</v>
      </c>
      <c r="I1725" s="738">
        <v>2430.06</v>
      </c>
      <c r="J1725" s="440">
        <f t="shared" si="110"/>
        <v>7.5711087154821666E-3</v>
      </c>
      <c r="L1725" s="436">
        <v>42887</v>
      </c>
      <c r="M1725" s="738">
        <v>280.95999999999998</v>
      </c>
      <c r="N1725" s="115">
        <f t="shared" si="113"/>
        <v>-6.0434695847022546E-4</v>
      </c>
      <c r="O1725" s="1121">
        <f t="shared" si="112"/>
        <v>-6.1626084735911439E-4</v>
      </c>
      <c r="P1725" s="1122"/>
    </row>
    <row r="1726" spans="6:16">
      <c r="F1726" s="1121">
        <f t="shared" si="111"/>
        <v>3.6958134923280521E-3</v>
      </c>
      <c r="G1726" s="1122"/>
      <c r="H1726" s="436">
        <v>42888</v>
      </c>
      <c r="I1726" s="738">
        <v>2439.0700000000002</v>
      </c>
      <c r="J1726" s="440">
        <f t="shared" si="110"/>
        <v>3.7077273812169409E-3</v>
      </c>
      <c r="L1726" s="436">
        <v>42888</v>
      </c>
      <c r="M1726" s="738">
        <v>281.76</v>
      </c>
      <c r="N1726" s="115">
        <f t="shared" si="113"/>
        <v>2.8473804100228595E-3</v>
      </c>
      <c r="O1726" s="1121">
        <f t="shared" si="112"/>
        <v>2.8354665211339706E-3</v>
      </c>
      <c r="P1726" s="1122"/>
    </row>
    <row r="1727" spans="6:16">
      <c r="F1727" s="1121">
        <f t="shared" si="111"/>
        <v>-1.2295911183247761E-3</v>
      </c>
      <c r="G1727" s="1122"/>
      <c r="H1727" s="436">
        <v>42891</v>
      </c>
      <c r="I1727" s="738">
        <v>2436.1</v>
      </c>
      <c r="J1727" s="440">
        <f t="shared" si="110"/>
        <v>-1.2176772294358873E-3</v>
      </c>
      <c r="L1727" s="436">
        <v>42891</v>
      </c>
      <c r="M1727" s="738">
        <v>280.12990000000002</v>
      </c>
      <c r="N1727" s="115">
        <f t="shared" si="113"/>
        <v>-5.7854202157864298E-3</v>
      </c>
      <c r="O1727" s="1121">
        <f t="shared" si="112"/>
        <v>-5.7973341046753191E-3</v>
      </c>
      <c r="P1727" s="1122"/>
    </row>
    <row r="1728" spans="6:16">
      <c r="F1728" s="1121">
        <f t="shared" si="111"/>
        <v>-2.7909459483281903E-3</v>
      </c>
      <c r="G1728" s="1122"/>
      <c r="H1728" s="436">
        <v>42892</v>
      </c>
      <c r="I1728" s="738">
        <v>2429.33</v>
      </c>
      <c r="J1728" s="440">
        <f t="shared" si="110"/>
        <v>-2.7790320594393014E-3</v>
      </c>
      <c r="L1728" s="436">
        <v>42892</v>
      </c>
      <c r="M1728" s="738">
        <v>276.87990000000002</v>
      </c>
      <c r="N1728" s="115">
        <f t="shared" si="113"/>
        <v>-1.1601760468982425E-2</v>
      </c>
      <c r="O1728" s="1121">
        <f t="shared" si="112"/>
        <v>-1.1613674357871313E-2</v>
      </c>
      <c r="P1728" s="1122"/>
    </row>
    <row r="1729" spans="6:16">
      <c r="F1729" s="1121">
        <f t="shared" si="111"/>
        <v>1.5564197668927952E-3</v>
      </c>
      <c r="G1729" s="1122"/>
      <c r="H1729" s="436">
        <v>42893</v>
      </c>
      <c r="I1729" s="738">
        <v>2433.14</v>
      </c>
      <c r="J1729" s="440">
        <f t="shared" si="110"/>
        <v>1.568333655781684E-3</v>
      </c>
      <c r="L1729" s="436">
        <v>42893</v>
      </c>
      <c r="M1729" s="738">
        <v>277.37990000000002</v>
      </c>
      <c r="N1729" s="115">
        <f t="shared" si="113"/>
        <v>1.8058371156590702E-3</v>
      </c>
      <c r="O1729" s="1121">
        <f t="shared" si="112"/>
        <v>1.7939232267701814E-3</v>
      </c>
      <c r="P1729" s="1122"/>
    </row>
    <row r="1730" spans="6:16">
      <c r="F1730" s="1121">
        <f t="shared" si="111"/>
        <v>2.5523062396281361E-4</v>
      </c>
      <c r="G1730" s="1122"/>
      <c r="H1730" s="436">
        <v>42894</v>
      </c>
      <c r="I1730" s="738">
        <v>2433.79</v>
      </c>
      <c r="J1730" s="440">
        <f t="shared" si="110"/>
        <v>2.6714451285170249E-4</v>
      </c>
      <c r="L1730" s="436">
        <v>42894</v>
      </c>
      <c r="M1730" s="738">
        <v>277.62009999999998</v>
      </c>
      <c r="N1730" s="115">
        <f t="shared" si="113"/>
        <v>8.6596036699115864E-4</v>
      </c>
      <c r="O1730" s="1121">
        <f t="shared" si="112"/>
        <v>8.540464781022697E-4</v>
      </c>
      <c r="P1730" s="1122"/>
    </row>
    <row r="1731" spans="6:16">
      <c r="F1731" s="1121">
        <f t="shared" si="111"/>
        <v>-8.4189511159094758E-4</v>
      </c>
      <c r="G1731" s="1122"/>
      <c r="H1731" s="436">
        <v>42895</v>
      </c>
      <c r="I1731" s="738">
        <v>2431.77</v>
      </c>
      <c r="J1731" s="440">
        <f t="shared" si="110"/>
        <v>-8.2998122270205865E-4</v>
      </c>
      <c r="L1731" s="436">
        <v>42895</v>
      </c>
      <c r="M1731" s="738">
        <v>277</v>
      </c>
      <c r="N1731" s="115">
        <f t="shared" si="113"/>
        <v>-2.2336278965391365E-3</v>
      </c>
      <c r="O1731" s="1121">
        <f t="shared" si="112"/>
        <v>-2.2455417854280253E-3</v>
      </c>
      <c r="P1731" s="1122"/>
    </row>
    <row r="1732" spans="6:16">
      <c r="F1732" s="1121">
        <f t="shared" si="111"/>
        <v>-9.9062486895696482E-4</v>
      </c>
      <c r="G1732" s="1122"/>
      <c r="H1732" s="436">
        <v>42898</v>
      </c>
      <c r="I1732" s="738">
        <v>2429.39</v>
      </c>
      <c r="J1732" s="440">
        <f t="shared" si="110"/>
        <v>-9.78710980068076E-4</v>
      </c>
      <c r="L1732" s="436">
        <v>42898</v>
      </c>
      <c r="M1732" s="738">
        <v>276.88990000000001</v>
      </c>
      <c r="N1732" s="115">
        <f t="shared" si="113"/>
        <v>-3.9747292418768065E-4</v>
      </c>
      <c r="O1732" s="1121">
        <f t="shared" si="112"/>
        <v>-4.0938681307656953E-4</v>
      </c>
      <c r="P1732" s="1122"/>
    </row>
    <row r="1733" spans="6:16">
      <c r="F1733" s="1121">
        <f t="shared" si="111"/>
        <v>4.4995066734744215E-3</v>
      </c>
      <c r="G1733" s="1122"/>
      <c r="H1733" s="436">
        <v>42899</v>
      </c>
      <c r="I1733" s="738">
        <v>2440.35</v>
      </c>
      <c r="J1733" s="440">
        <f t="shared" si="110"/>
        <v>4.5114205623633108E-3</v>
      </c>
      <c r="L1733" s="436">
        <v>42899</v>
      </c>
      <c r="M1733" s="738">
        <v>278.36009999999999</v>
      </c>
      <c r="N1733" s="115">
        <f t="shared" si="113"/>
        <v>5.3096916861177235E-3</v>
      </c>
      <c r="O1733" s="1121">
        <f t="shared" si="112"/>
        <v>5.2977777972288342E-3</v>
      </c>
      <c r="P1733" s="1122"/>
    </row>
    <row r="1734" spans="6:16">
      <c r="F1734" s="1121">
        <f t="shared" si="111"/>
        <v>-1.0076726939782861E-3</v>
      </c>
      <c r="G1734" s="1122"/>
      <c r="H1734" s="436">
        <v>42900</v>
      </c>
      <c r="I1734" s="738">
        <v>2437.92</v>
      </c>
      <c r="J1734" s="440">
        <f t="shared" si="110"/>
        <v>-9.9575880508939729E-4</v>
      </c>
      <c r="L1734" s="436">
        <v>42900</v>
      </c>
      <c r="M1734" s="738">
        <v>280.3</v>
      </c>
      <c r="N1734" s="115">
        <f t="shared" si="113"/>
        <v>6.9690304034235595E-3</v>
      </c>
      <c r="O1734" s="1121">
        <f t="shared" si="112"/>
        <v>6.9571165145346702E-3</v>
      </c>
      <c r="P1734" s="1122"/>
    </row>
    <row r="1735" spans="6:16">
      <c r="F1735" s="1121">
        <f t="shared" si="111"/>
        <v>-2.2515279861521427E-3</v>
      </c>
      <c r="G1735" s="1122"/>
      <c r="H1735" s="436">
        <v>42901</v>
      </c>
      <c r="I1735" s="738">
        <v>2432.46</v>
      </c>
      <c r="J1735" s="440">
        <f t="shared" si="110"/>
        <v>-2.2396140972632539E-3</v>
      </c>
      <c r="L1735" s="436">
        <v>42901</v>
      </c>
      <c r="M1735" s="738">
        <v>280.92989999999998</v>
      </c>
      <c r="N1735" s="115">
        <f t="shared" si="113"/>
        <v>2.2472351052442718E-3</v>
      </c>
      <c r="O1735" s="1121">
        <f t="shared" si="112"/>
        <v>2.235321216355383E-3</v>
      </c>
      <c r="P1735" s="1122"/>
    </row>
    <row r="1736" spans="6:16">
      <c r="F1736" s="1121">
        <f t="shared" si="111"/>
        <v>2.7174956292529785E-4</v>
      </c>
      <c r="G1736" s="1122"/>
      <c r="H1736" s="436">
        <v>42902</v>
      </c>
      <c r="I1736" s="738">
        <v>2433.15</v>
      </c>
      <c r="J1736" s="440">
        <f t="shared" si="110"/>
        <v>2.8366345181418673E-4</v>
      </c>
      <c r="L1736" s="436">
        <v>42902</v>
      </c>
      <c r="M1736" s="738">
        <v>281.11009999999999</v>
      </c>
      <c r="N1736" s="115">
        <f t="shared" si="113"/>
        <v>6.4144115667286172E-4</v>
      </c>
      <c r="O1736" s="1121">
        <f t="shared" si="112"/>
        <v>6.2952726778397279E-4</v>
      </c>
      <c r="P1736" s="1122"/>
    </row>
    <row r="1737" spans="6:16">
      <c r="F1737" s="1121">
        <f t="shared" si="111"/>
        <v>8.3352903525265518E-3</v>
      </c>
      <c r="G1737" s="1122"/>
      <c r="H1737" s="436">
        <v>42905</v>
      </c>
      <c r="I1737" s="738">
        <v>2453.46</v>
      </c>
      <c r="J1737" s="440">
        <f t="shared" si="110"/>
        <v>8.3472042414154402E-3</v>
      </c>
      <c r="L1737" s="436">
        <v>42905</v>
      </c>
      <c r="M1737" s="738">
        <v>282.3</v>
      </c>
      <c r="N1737" s="115">
        <f t="shared" si="113"/>
        <v>4.2328610747177642E-3</v>
      </c>
      <c r="O1737" s="1121">
        <f t="shared" si="112"/>
        <v>4.2209471858288749E-3</v>
      </c>
      <c r="P1737" s="1122"/>
    </row>
    <row r="1738" spans="6:16">
      <c r="F1738" s="1121">
        <f t="shared" si="111"/>
        <v>-6.7085790067224005E-3</v>
      </c>
      <c r="G1738" s="1122"/>
      <c r="H1738" s="436">
        <v>42906</v>
      </c>
      <c r="I1738" s="738">
        <v>2437.0300000000002</v>
      </c>
      <c r="J1738" s="440">
        <f t="shared" si="110"/>
        <v>-6.6966651178335113E-3</v>
      </c>
      <c r="L1738" s="436">
        <v>42906</v>
      </c>
      <c r="M1738" s="738">
        <v>282.88990000000001</v>
      </c>
      <c r="N1738" s="115">
        <f t="shared" si="113"/>
        <v>2.0896209705987268E-3</v>
      </c>
      <c r="O1738" s="1121">
        <f t="shared" si="112"/>
        <v>2.0777070817098379E-3</v>
      </c>
      <c r="P1738" s="1122"/>
    </row>
    <row r="1739" spans="6:16">
      <c r="F1739" s="1121">
        <f t="shared" si="111"/>
        <v>-5.9459034342580124E-4</v>
      </c>
      <c r="G1739" s="1122"/>
      <c r="H1739" s="436">
        <v>42907</v>
      </c>
      <c r="I1739" s="738">
        <v>2435.61</v>
      </c>
      <c r="J1739" s="440">
        <f t="shared" si="110"/>
        <v>-5.826764545369123E-4</v>
      </c>
      <c r="L1739" s="436">
        <v>42907</v>
      </c>
      <c r="M1739" s="738">
        <v>282.99</v>
      </c>
      <c r="N1739" s="115">
        <f t="shared" si="113"/>
        <v>3.5384791044146269E-4</v>
      </c>
      <c r="O1739" s="1121">
        <f t="shared" si="112"/>
        <v>3.4193402155257381E-4</v>
      </c>
      <c r="P1739" s="1122"/>
    </row>
    <row r="1740" spans="6:16">
      <c r="F1740" s="1121">
        <f t="shared" si="111"/>
        <v>-4.6765187649778405E-4</v>
      </c>
      <c r="G1740" s="1122"/>
      <c r="H1740" s="436">
        <v>42908</v>
      </c>
      <c r="I1740" s="738">
        <v>2434.5</v>
      </c>
      <c r="J1740" s="440">
        <f t="shared" si="110"/>
        <v>-4.5573798760889517E-4</v>
      </c>
      <c r="L1740" s="436">
        <v>42908</v>
      </c>
      <c r="M1740" s="738">
        <v>280.42989999999998</v>
      </c>
      <c r="N1740" s="115">
        <f t="shared" si="113"/>
        <v>-9.0466094208276893E-3</v>
      </c>
      <c r="O1740" s="1121">
        <f t="shared" si="112"/>
        <v>-9.0585233097165777E-3</v>
      </c>
      <c r="P1740" s="1122"/>
    </row>
    <row r="1741" spans="6:16">
      <c r="F1741" s="1121">
        <f t="shared" si="111"/>
        <v>1.5489815721915138E-3</v>
      </c>
      <c r="G1741" s="1122"/>
      <c r="H1741" s="436">
        <v>42909</v>
      </c>
      <c r="I1741" s="738">
        <v>2438.3000000000002</v>
      </c>
      <c r="J1741" s="440">
        <f t="shared" si="110"/>
        <v>1.5608954610804027E-3</v>
      </c>
      <c r="L1741" s="436">
        <v>42909</v>
      </c>
      <c r="M1741" s="738">
        <v>280.63990000000001</v>
      </c>
      <c r="N1741" s="115">
        <f t="shared" si="113"/>
        <v>7.4885024742377126E-4</v>
      </c>
      <c r="O1741" s="1121">
        <f t="shared" si="112"/>
        <v>7.3693635853488233E-4</v>
      </c>
      <c r="P1741" s="1122"/>
    </row>
    <row r="1742" spans="6:16">
      <c r="F1742" s="1121">
        <f t="shared" si="111"/>
        <v>3.0387990186696946E-4</v>
      </c>
      <c r="G1742" s="1122"/>
      <c r="H1742" s="436">
        <v>42912</v>
      </c>
      <c r="I1742" s="738">
        <v>2439.0700000000002</v>
      </c>
      <c r="J1742" s="440">
        <f t="shared" si="110"/>
        <v>3.1579379075585834E-4</v>
      </c>
      <c r="L1742" s="436">
        <v>42912</v>
      </c>
      <c r="M1742" s="738">
        <v>279.7</v>
      </c>
      <c r="N1742" s="115">
        <f t="shared" si="113"/>
        <v>-3.3491317521137098E-3</v>
      </c>
      <c r="O1742" s="1121">
        <f t="shared" si="112"/>
        <v>-3.3610456410025987E-3</v>
      </c>
      <c r="P1742" s="1122"/>
    </row>
    <row r="1743" spans="6:16">
      <c r="F1743" s="1121">
        <f t="shared" si="111"/>
        <v>-8.0846629284818741E-3</v>
      </c>
      <c r="G1743" s="1122"/>
      <c r="H1743" s="436">
        <v>42913</v>
      </c>
      <c r="I1743" s="738">
        <v>2419.38</v>
      </c>
      <c r="J1743" s="440">
        <f t="shared" si="110"/>
        <v>-8.0727490395929857E-3</v>
      </c>
      <c r="L1743" s="436">
        <v>42913</v>
      </c>
      <c r="M1743" s="738">
        <v>277.83010000000002</v>
      </c>
      <c r="N1743" s="115">
        <f t="shared" si="113"/>
        <v>-6.6853771898461867E-3</v>
      </c>
      <c r="O1743" s="1121">
        <f t="shared" si="112"/>
        <v>-6.6972910787350759E-3</v>
      </c>
      <c r="P1743" s="1122"/>
    </row>
    <row r="1744" spans="6:16">
      <c r="F1744" s="1121">
        <f t="shared" si="111"/>
        <v>8.7961278408105123E-3</v>
      </c>
      <c r="G1744" s="1122"/>
      <c r="H1744" s="436">
        <v>42914</v>
      </c>
      <c r="I1744" s="738">
        <v>2440.69</v>
      </c>
      <c r="J1744" s="440">
        <f t="shared" si="110"/>
        <v>8.8080417296994007E-3</v>
      </c>
      <c r="L1744" s="436">
        <v>42914</v>
      </c>
      <c r="M1744" s="738">
        <v>280.02</v>
      </c>
      <c r="N1744" s="115">
        <f t="shared" si="113"/>
        <v>7.8821553172243597E-3</v>
      </c>
      <c r="O1744" s="1121">
        <f t="shared" si="112"/>
        <v>7.8702414283354713E-3</v>
      </c>
      <c r="P1744" s="1122"/>
    </row>
    <row r="1745" spans="6:16">
      <c r="F1745" s="1121">
        <f t="shared" si="111"/>
        <v>-8.6119409304222863E-3</v>
      </c>
      <c r="G1745" s="1122"/>
      <c r="H1745" s="436">
        <v>42915</v>
      </c>
      <c r="I1745" s="738">
        <v>2419.6999999999998</v>
      </c>
      <c r="J1745" s="440">
        <f t="shared" si="110"/>
        <v>-8.6000270415333979E-3</v>
      </c>
      <c r="L1745" s="436">
        <v>42915</v>
      </c>
      <c r="M1745" s="738">
        <v>276.73</v>
      </c>
      <c r="N1745" s="115">
        <f t="shared" si="113"/>
        <v>-1.1749160774230272E-2</v>
      </c>
      <c r="O1745" s="1121">
        <f t="shared" si="112"/>
        <v>-1.176107466311916E-2</v>
      </c>
      <c r="P1745" s="1122"/>
    </row>
    <row r="1746" spans="6:16">
      <c r="F1746" s="1121">
        <f t="shared" si="111"/>
        <v>1.5213340344074548E-3</v>
      </c>
      <c r="G1746" s="1122"/>
      <c r="H1746" s="436">
        <v>42916</v>
      </c>
      <c r="I1746" s="738">
        <v>2423.41</v>
      </c>
      <c r="J1746" s="440">
        <f t="shared" si="110"/>
        <v>1.5332479232963436E-3</v>
      </c>
      <c r="L1746" s="436">
        <v>42916</v>
      </c>
      <c r="M1746" s="738">
        <v>277.61009999999999</v>
      </c>
      <c r="N1746" s="115">
        <f t="shared" si="113"/>
        <v>3.1803563039785043E-3</v>
      </c>
      <c r="O1746" s="1121">
        <f t="shared" si="112"/>
        <v>3.1684424150896155E-3</v>
      </c>
      <c r="P1746" s="1122"/>
    </row>
    <row r="1747" spans="6:16">
      <c r="F1747" s="1121">
        <f t="shared" si="111"/>
        <v>2.2988795798185506E-3</v>
      </c>
      <c r="G1747" s="1122"/>
      <c r="H1747" s="436">
        <v>42919</v>
      </c>
      <c r="I1747" s="738">
        <v>2429.0100000000002</v>
      </c>
      <c r="J1747" s="440">
        <f t="shared" si="110"/>
        <v>2.3107934687074394E-3</v>
      </c>
      <c r="L1747" s="436">
        <v>42919</v>
      </c>
      <c r="M1747" s="738">
        <v>278.91989999999998</v>
      </c>
      <c r="N1747" s="115">
        <f t="shared" si="113"/>
        <v>4.7181280508166168E-3</v>
      </c>
      <c r="O1747" s="1121">
        <f t="shared" si="112"/>
        <v>4.7062141619277275E-3</v>
      </c>
      <c r="P1747" s="1122"/>
    </row>
    <row r="1748" spans="6:16">
      <c r="F1748" s="1121">
        <f t="shared" si="111"/>
        <v>-1.1913888888888887E-5</v>
      </c>
      <c r="G1748" s="1122"/>
      <c r="H1748" s="436">
        <v>42920</v>
      </c>
      <c r="I1748" s="738">
        <v>2429.0100000000002</v>
      </c>
      <c r="J1748" s="440">
        <f t="shared" si="110"/>
        <v>0</v>
      </c>
      <c r="L1748" s="436">
        <v>42920</v>
      </c>
      <c r="M1748" s="738">
        <v>278.91989999999998</v>
      </c>
      <c r="N1748" s="115">
        <f t="shared" si="113"/>
        <v>0</v>
      </c>
      <c r="O1748" s="1121">
        <f t="shared" si="112"/>
        <v>-1.1913888888888887E-5</v>
      </c>
      <c r="P1748" s="1122"/>
    </row>
    <row r="1749" spans="6:16">
      <c r="F1749" s="1121">
        <f t="shared" si="111"/>
        <v>1.4413530799582889E-3</v>
      </c>
      <c r="G1749" s="1122"/>
      <c r="H1749" s="436">
        <v>42921</v>
      </c>
      <c r="I1749" s="738">
        <v>2432.54</v>
      </c>
      <c r="J1749" s="440">
        <f t="shared" si="110"/>
        <v>1.4532669688471778E-3</v>
      </c>
      <c r="L1749" s="436">
        <v>42921</v>
      </c>
      <c r="M1749" s="738">
        <v>282.3999</v>
      </c>
      <c r="N1749" s="115">
        <f t="shared" si="113"/>
        <v>1.2476700299978605E-2</v>
      </c>
      <c r="O1749" s="1121">
        <f t="shared" si="112"/>
        <v>1.2464786411089716E-2</v>
      </c>
      <c r="P1749" s="1122"/>
    </row>
    <row r="1750" spans="6:16">
      <c r="F1750" s="1121">
        <f t="shared" si="111"/>
        <v>-9.3807218016056584E-3</v>
      </c>
      <c r="G1750" s="1122"/>
      <c r="H1750" s="436">
        <v>42922</v>
      </c>
      <c r="I1750" s="738">
        <v>2409.75</v>
      </c>
      <c r="J1750" s="440">
        <f t="shared" si="110"/>
        <v>-9.36880791271677E-3</v>
      </c>
      <c r="L1750" s="436">
        <v>42922</v>
      </c>
      <c r="M1750" s="738">
        <v>280.95999999999998</v>
      </c>
      <c r="N1750" s="115">
        <f t="shared" si="113"/>
        <v>-5.0987978395177214E-3</v>
      </c>
      <c r="O1750" s="1121">
        <f t="shared" si="112"/>
        <v>-5.1107117284066106E-3</v>
      </c>
      <c r="P1750" s="1122"/>
    </row>
    <row r="1751" spans="6:16">
      <c r="F1751" s="1121">
        <f t="shared" si="111"/>
        <v>6.3912399652453688E-3</v>
      </c>
      <c r="G1751" s="1122"/>
      <c r="H1751" s="436">
        <v>42923</v>
      </c>
      <c r="I1751" s="738">
        <v>2425.1799999999998</v>
      </c>
      <c r="J1751" s="440">
        <f t="shared" si="110"/>
        <v>6.4031538541342581E-3</v>
      </c>
      <c r="L1751" s="436">
        <v>42923</v>
      </c>
      <c r="M1751" s="738">
        <v>285.2</v>
      </c>
      <c r="N1751" s="115">
        <f t="shared" si="113"/>
        <v>1.5091116173120867E-2</v>
      </c>
      <c r="O1751" s="1121">
        <f t="shared" si="112"/>
        <v>1.5079202284231978E-2</v>
      </c>
      <c r="P1751" s="1122"/>
    </row>
    <row r="1752" spans="6:16">
      <c r="F1752" s="1121">
        <f t="shared" si="111"/>
        <v>9.1585229753842563E-4</v>
      </c>
      <c r="G1752" s="1122"/>
      <c r="H1752" s="436">
        <v>42926</v>
      </c>
      <c r="I1752" s="738">
        <v>2427.4299999999998</v>
      </c>
      <c r="J1752" s="440">
        <f t="shared" si="110"/>
        <v>9.2776618642731457E-4</v>
      </c>
      <c r="L1752" s="436">
        <v>42926</v>
      </c>
      <c r="M1752" s="738">
        <v>285.57010000000002</v>
      </c>
      <c r="N1752" s="115">
        <f t="shared" si="113"/>
        <v>1.2976858345021824E-3</v>
      </c>
      <c r="O1752" s="1121">
        <f t="shared" si="112"/>
        <v>1.2857719456132936E-3</v>
      </c>
      <c r="P1752" s="1122"/>
    </row>
    <row r="1753" spans="6:16">
      <c r="F1753" s="1121">
        <f t="shared" si="111"/>
        <v>-7.9463470885055758E-4</v>
      </c>
      <c r="G1753" s="1122"/>
      <c r="H1753" s="436">
        <v>42927</v>
      </c>
      <c r="I1753" s="738">
        <v>2425.5300000000002</v>
      </c>
      <c r="J1753" s="440">
        <f t="shared" si="110"/>
        <v>-7.8272081996166865E-4</v>
      </c>
      <c r="L1753" s="436">
        <v>42927</v>
      </c>
      <c r="M1753" s="738">
        <v>286.41989999999998</v>
      </c>
      <c r="N1753" s="115">
        <f t="shared" si="113"/>
        <v>2.9758017383472168E-3</v>
      </c>
      <c r="O1753" s="1121">
        <f t="shared" si="112"/>
        <v>2.963887849458328E-3</v>
      </c>
      <c r="P1753" s="1122"/>
    </row>
    <row r="1754" spans="6:16">
      <c r="F1754" s="1121">
        <f t="shared" si="111"/>
        <v>7.2937059137932947E-3</v>
      </c>
      <c r="G1754" s="1122"/>
      <c r="H1754" s="436">
        <v>42928</v>
      </c>
      <c r="I1754" s="738">
        <v>2443.25</v>
      </c>
      <c r="J1754" s="440">
        <f t="shared" si="110"/>
        <v>7.3056198026821839E-3</v>
      </c>
      <c r="L1754" s="436">
        <v>42928</v>
      </c>
      <c r="M1754" s="738">
        <v>286.36009999999999</v>
      </c>
      <c r="N1754" s="115">
        <f t="shared" si="113"/>
        <v>-2.0878437566662633E-4</v>
      </c>
      <c r="O1754" s="1121">
        <f t="shared" si="112"/>
        <v>-2.2069826455551521E-4</v>
      </c>
      <c r="P1754" s="1122"/>
    </row>
    <row r="1755" spans="6:16">
      <c r="F1755" s="1121">
        <f t="shared" si="111"/>
        <v>1.8626384491854313E-3</v>
      </c>
      <c r="G1755" s="1122"/>
      <c r="H1755" s="436">
        <v>42929</v>
      </c>
      <c r="I1755" s="738">
        <v>2447.83</v>
      </c>
      <c r="J1755" s="440">
        <f t="shared" si="110"/>
        <v>1.8745523380743201E-3</v>
      </c>
      <c r="L1755" s="436">
        <v>42929</v>
      </c>
      <c r="M1755" s="738">
        <v>286.76</v>
      </c>
      <c r="N1755" s="115">
        <f t="shared" si="113"/>
        <v>1.3964934360617409E-3</v>
      </c>
      <c r="O1755" s="1121">
        <f t="shared" si="112"/>
        <v>1.3845795471728521E-3</v>
      </c>
      <c r="P1755" s="1122"/>
    </row>
    <row r="1756" spans="6:16">
      <c r="F1756" s="1121">
        <f t="shared" si="111"/>
        <v>4.6616132759876782E-3</v>
      </c>
      <c r="G1756" s="1122"/>
      <c r="H1756" s="436">
        <v>42930</v>
      </c>
      <c r="I1756" s="738">
        <v>2459.27</v>
      </c>
      <c r="J1756" s="440">
        <f t="shared" si="110"/>
        <v>4.6735271648765675E-3</v>
      </c>
      <c r="L1756" s="436">
        <v>42930</v>
      </c>
      <c r="M1756" s="738">
        <v>288.12990000000002</v>
      </c>
      <c r="N1756" s="115">
        <f t="shared" si="113"/>
        <v>4.7771655739992092E-3</v>
      </c>
      <c r="O1756" s="1121">
        <f t="shared" si="112"/>
        <v>4.7652516851103199E-3</v>
      </c>
      <c r="P1756" s="1122"/>
    </row>
    <row r="1757" spans="6:16">
      <c r="F1757" s="1121">
        <f t="shared" si="111"/>
        <v>-6.4775103802324432E-5</v>
      </c>
      <c r="G1757" s="1122"/>
      <c r="H1757" s="436">
        <v>42933</v>
      </c>
      <c r="I1757" s="738">
        <v>2459.14</v>
      </c>
      <c r="J1757" s="440">
        <f t="shared" ref="J1757:J1820" si="114">I1757/I1756-1</f>
        <v>-5.2861214913435539E-5</v>
      </c>
      <c r="L1757" s="436">
        <v>42933</v>
      </c>
      <c r="M1757" s="738">
        <v>288.49</v>
      </c>
      <c r="N1757" s="115">
        <f t="shared" si="113"/>
        <v>1.2497835177813776E-3</v>
      </c>
      <c r="O1757" s="1121">
        <f t="shared" si="112"/>
        <v>1.2378696288924888E-3</v>
      </c>
      <c r="P1757" s="1122"/>
    </row>
    <row r="1758" spans="6:16">
      <c r="F1758" s="1121">
        <f t="shared" ref="F1758:F1821" si="115">J1758-$I$19</f>
        <v>5.8585606320826018E-4</v>
      </c>
      <c r="G1758" s="1122"/>
      <c r="H1758" s="436">
        <v>42934</v>
      </c>
      <c r="I1758" s="738">
        <v>2460.61</v>
      </c>
      <c r="J1758" s="440">
        <f t="shared" si="114"/>
        <v>5.9776995209714912E-4</v>
      </c>
      <c r="L1758" s="436">
        <v>42934</v>
      </c>
      <c r="M1758" s="738">
        <v>286.79000000000002</v>
      </c>
      <c r="N1758" s="115">
        <f t="shared" si="113"/>
        <v>-5.8927519151443786E-3</v>
      </c>
      <c r="O1758" s="1121">
        <f t="shared" ref="O1758:O1821" si="116">N1758-$I$19</f>
        <v>-5.9046658040332678E-3</v>
      </c>
      <c r="P1758" s="1122"/>
    </row>
    <row r="1759" spans="6:16">
      <c r="F1759" s="1121">
        <f t="shared" si="115"/>
        <v>5.3607376080976243E-3</v>
      </c>
      <c r="G1759" s="1122"/>
      <c r="H1759" s="436">
        <v>42935</v>
      </c>
      <c r="I1759" s="738">
        <v>2473.83</v>
      </c>
      <c r="J1759" s="440">
        <f t="shared" si="114"/>
        <v>5.3726514969865136E-3</v>
      </c>
      <c r="L1759" s="436">
        <v>42935</v>
      </c>
      <c r="M1759" s="738">
        <v>290.66989999999998</v>
      </c>
      <c r="N1759" s="115">
        <f t="shared" si="113"/>
        <v>1.3528714390320218E-2</v>
      </c>
      <c r="O1759" s="1121">
        <f t="shared" si="116"/>
        <v>1.3516800501431329E-2</v>
      </c>
      <c r="P1759" s="1122"/>
    </row>
    <row r="1760" spans="6:16">
      <c r="F1760" s="1121">
        <f t="shared" si="115"/>
        <v>-1.6552185710017785E-4</v>
      </c>
      <c r="G1760" s="1122"/>
      <c r="H1760" s="436">
        <v>42936</v>
      </c>
      <c r="I1760" s="738">
        <v>2473.4499999999998</v>
      </c>
      <c r="J1760" s="440">
        <f t="shared" si="114"/>
        <v>-1.5360796821128897E-4</v>
      </c>
      <c r="L1760" s="436">
        <v>42936</v>
      </c>
      <c r="M1760" s="738">
        <v>289.66989999999998</v>
      </c>
      <c r="N1760" s="115">
        <f t="shared" si="113"/>
        <v>-3.4403287027655605E-3</v>
      </c>
      <c r="O1760" s="1121">
        <f t="shared" si="116"/>
        <v>-3.4522425916544493E-3</v>
      </c>
      <c r="P1760" s="1122"/>
    </row>
    <row r="1761" spans="6:16">
      <c r="F1761" s="1121">
        <f t="shared" si="115"/>
        <v>-3.7982106307877427E-4</v>
      </c>
      <c r="G1761" s="1122"/>
      <c r="H1761" s="436">
        <v>42937</v>
      </c>
      <c r="I1761" s="738">
        <v>2472.54</v>
      </c>
      <c r="J1761" s="440">
        <f t="shared" si="114"/>
        <v>-3.6790717418988539E-4</v>
      </c>
      <c r="L1761" s="436">
        <v>42937</v>
      </c>
      <c r="M1761" s="738">
        <v>289.12009999999998</v>
      </c>
      <c r="N1761" s="115">
        <f t="shared" si="113"/>
        <v>-1.898022542210942E-3</v>
      </c>
      <c r="O1761" s="1121">
        <f t="shared" si="116"/>
        <v>-1.9099364310998308E-3</v>
      </c>
      <c r="P1761" s="1122"/>
    </row>
    <row r="1762" spans="6:16">
      <c r="F1762" s="1121">
        <f t="shared" si="115"/>
        <v>-1.0755973884480981E-3</v>
      </c>
      <c r="G1762" s="1122"/>
      <c r="H1762" s="436">
        <v>42940</v>
      </c>
      <c r="I1762" s="738">
        <v>2469.91</v>
      </c>
      <c r="J1762" s="440">
        <f t="shared" si="114"/>
        <v>-1.0636834995592093E-3</v>
      </c>
      <c r="L1762" s="436">
        <v>42940</v>
      </c>
      <c r="M1762" s="738">
        <v>290.27999999999997</v>
      </c>
      <c r="N1762" s="115">
        <f t="shared" si="113"/>
        <v>4.0118276107403705E-3</v>
      </c>
      <c r="O1762" s="1121">
        <f t="shared" si="116"/>
        <v>3.9999137218514813E-3</v>
      </c>
      <c r="P1762" s="1122"/>
    </row>
    <row r="1763" spans="6:16">
      <c r="F1763" s="1121">
        <f t="shared" si="115"/>
        <v>2.911269546944976E-3</v>
      </c>
      <c r="G1763" s="1122"/>
      <c r="H1763" s="436">
        <v>42941</v>
      </c>
      <c r="I1763" s="738">
        <v>2477.13</v>
      </c>
      <c r="J1763" s="440">
        <f t="shared" si="114"/>
        <v>2.9231834358338649E-3</v>
      </c>
      <c r="L1763" s="436">
        <v>42941</v>
      </c>
      <c r="M1763" s="738">
        <v>289.83010000000002</v>
      </c>
      <c r="N1763" s="115">
        <f t="shared" si="113"/>
        <v>-1.5498828717098734E-3</v>
      </c>
      <c r="O1763" s="1121">
        <f t="shared" si="116"/>
        <v>-1.5617967605987622E-3</v>
      </c>
      <c r="P1763" s="1122"/>
    </row>
    <row r="1764" spans="6:16">
      <c r="F1764" s="1121">
        <f t="shared" si="115"/>
        <v>2.7067119949963171E-4</v>
      </c>
      <c r="G1764" s="1122"/>
      <c r="H1764" s="436">
        <v>42942</v>
      </c>
      <c r="I1764" s="738">
        <v>2477.83</v>
      </c>
      <c r="J1764" s="440">
        <f t="shared" si="114"/>
        <v>2.8258508838852059E-4</v>
      </c>
      <c r="L1764" s="436">
        <v>42942</v>
      </c>
      <c r="M1764" s="738">
        <v>289.8501</v>
      </c>
      <c r="N1764" s="115">
        <f t="shared" si="113"/>
        <v>6.9005945207090136E-5</v>
      </c>
      <c r="O1764" s="1121">
        <f t="shared" si="116"/>
        <v>5.709205631820125E-5</v>
      </c>
      <c r="P1764" s="1122"/>
    </row>
    <row r="1765" spans="6:16">
      <c r="F1765" s="1121">
        <f t="shared" si="115"/>
        <v>-9.8453912952279525E-4</v>
      </c>
      <c r="G1765" s="1122"/>
      <c r="H1765" s="436">
        <v>42943</v>
      </c>
      <c r="I1765" s="738">
        <v>2475.42</v>
      </c>
      <c r="J1765" s="440">
        <f t="shared" si="114"/>
        <v>-9.7262524063390643E-4</v>
      </c>
      <c r="L1765" s="436">
        <v>42943</v>
      </c>
      <c r="M1765" s="738">
        <v>288.12990000000002</v>
      </c>
      <c r="N1765" s="115">
        <f t="shared" si="113"/>
        <v>-5.9347918113534792E-3</v>
      </c>
      <c r="O1765" s="1121">
        <f t="shared" si="116"/>
        <v>-5.9467057002423685E-3</v>
      </c>
      <c r="P1765" s="1122"/>
    </row>
    <row r="1766" spans="6:16">
      <c r="F1766" s="1121">
        <f t="shared" si="115"/>
        <v>-1.3531004350104754E-3</v>
      </c>
      <c r="G1766" s="1122"/>
      <c r="H1766" s="436">
        <v>42944</v>
      </c>
      <c r="I1766" s="738">
        <v>2472.1</v>
      </c>
      <c r="J1766" s="440">
        <f t="shared" si="114"/>
        <v>-1.3411865461215866E-3</v>
      </c>
      <c r="L1766" s="436">
        <v>42944</v>
      </c>
      <c r="M1766" s="738">
        <v>290.40989999999999</v>
      </c>
      <c r="N1766" s="115">
        <f t="shared" si="113"/>
        <v>7.9130975299681605E-3</v>
      </c>
      <c r="O1766" s="1121">
        <f t="shared" si="116"/>
        <v>7.9011836410792721E-3</v>
      </c>
      <c r="P1766" s="1122"/>
    </row>
    <row r="1767" spans="6:16">
      <c r="F1767" s="1121">
        <f t="shared" si="115"/>
        <v>-7.4003977376403045E-4</v>
      </c>
      <c r="G1767" s="1122"/>
      <c r="H1767" s="436">
        <v>42947</v>
      </c>
      <c r="I1767" s="738">
        <v>2470.3000000000002</v>
      </c>
      <c r="J1767" s="440">
        <f t="shared" si="114"/>
        <v>-7.2812588487514152E-4</v>
      </c>
      <c r="L1767" s="436">
        <v>42947</v>
      </c>
      <c r="M1767" s="738">
        <v>292.12990000000002</v>
      </c>
      <c r="N1767" s="115">
        <f t="shared" si="113"/>
        <v>5.9226631048048262E-3</v>
      </c>
      <c r="O1767" s="1121">
        <f t="shared" si="116"/>
        <v>5.9107492159159369E-3</v>
      </c>
      <c r="P1767" s="1122"/>
    </row>
    <row r="1768" spans="6:16">
      <c r="F1768" s="1121">
        <f t="shared" si="115"/>
        <v>2.4371813626998732E-3</v>
      </c>
      <c r="G1768" s="1122"/>
      <c r="H1768" s="436">
        <v>42948</v>
      </c>
      <c r="I1768" s="738">
        <v>2476.35</v>
      </c>
      <c r="J1768" s="440">
        <f t="shared" si="114"/>
        <v>2.4490952515887621E-3</v>
      </c>
      <c r="L1768" s="436">
        <v>42948</v>
      </c>
      <c r="M1768" s="738">
        <v>292.6499</v>
      </c>
      <c r="N1768" s="115">
        <f t="shared" si="113"/>
        <v>1.7800300482764264E-3</v>
      </c>
      <c r="O1768" s="1121">
        <f t="shared" si="116"/>
        <v>1.7681161593875376E-3</v>
      </c>
      <c r="P1768" s="1122"/>
    </row>
    <row r="1769" spans="6:16">
      <c r="F1769" s="1121">
        <f t="shared" si="115"/>
        <v>4.8074668009389455E-4</v>
      </c>
      <c r="G1769" s="1122"/>
      <c r="H1769" s="436">
        <v>42949</v>
      </c>
      <c r="I1769" s="738">
        <v>2477.5700000000002</v>
      </c>
      <c r="J1769" s="440">
        <f t="shared" si="114"/>
        <v>4.9266056898278343E-4</v>
      </c>
      <c r="L1769" s="436">
        <v>42949</v>
      </c>
      <c r="M1769" s="738">
        <v>294.7</v>
      </c>
      <c r="N1769" s="115">
        <f t="shared" si="113"/>
        <v>7.0052988229278856E-3</v>
      </c>
      <c r="O1769" s="1121">
        <f t="shared" si="116"/>
        <v>6.9933849340389964E-3</v>
      </c>
      <c r="P1769" s="1122"/>
    </row>
    <row r="1770" spans="6:16">
      <c r="F1770" s="1121">
        <f t="shared" si="115"/>
        <v>-2.1955050689566121E-3</v>
      </c>
      <c r="G1770" s="1122"/>
      <c r="H1770" s="436">
        <v>42950</v>
      </c>
      <c r="I1770" s="738">
        <v>2472.16</v>
      </c>
      <c r="J1770" s="440">
        <f t="shared" si="114"/>
        <v>-2.1835911800677232E-3</v>
      </c>
      <c r="L1770" s="436">
        <v>42950</v>
      </c>
      <c r="M1770" s="738">
        <v>295.82010000000002</v>
      </c>
      <c r="N1770" s="115">
        <f t="shared" si="113"/>
        <v>3.8008143875127853E-3</v>
      </c>
      <c r="O1770" s="1121">
        <f t="shared" si="116"/>
        <v>3.7889004986238965E-3</v>
      </c>
      <c r="P1770" s="1122"/>
    </row>
    <row r="1771" spans="6:16">
      <c r="F1771" s="1121">
        <f t="shared" si="115"/>
        <v>1.8771224194405948E-3</v>
      </c>
      <c r="G1771" s="1122"/>
      <c r="H1771" s="436">
        <v>42951</v>
      </c>
      <c r="I1771" s="738">
        <v>2476.83</v>
      </c>
      <c r="J1771" s="440">
        <f t="shared" si="114"/>
        <v>1.8890363083294837E-3</v>
      </c>
      <c r="L1771" s="436">
        <v>42951</v>
      </c>
      <c r="M1771" s="738">
        <v>297</v>
      </c>
      <c r="N1771" s="115">
        <f t="shared" si="113"/>
        <v>3.9885727846078467E-3</v>
      </c>
      <c r="O1771" s="1121">
        <f t="shared" si="116"/>
        <v>3.9766588957189574E-3</v>
      </c>
      <c r="P1771" s="1122"/>
    </row>
    <row r="1772" spans="6:16">
      <c r="F1772" s="1121">
        <f t="shared" si="115"/>
        <v>1.6353529804561322E-3</v>
      </c>
      <c r="G1772" s="1122"/>
      <c r="H1772" s="436">
        <v>42954</v>
      </c>
      <c r="I1772" s="738">
        <v>2480.91</v>
      </c>
      <c r="J1772" s="440">
        <f t="shared" si="114"/>
        <v>1.647266869345021E-3</v>
      </c>
      <c r="L1772" s="436">
        <v>42954</v>
      </c>
      <c r="M1772" s="738">
        <v>297.1499</v>
      </c>
      <c r="N1772" s="115">
        <f t="shared" si="113"/>
        <v>5.0471380471384109E-4</v>
      </c>
      <c r="O1772" s="1121">
        <f t="shared" si="116"/>
        <v>4.9279991582495215E-4</v>
      </c>
      <c r="P1772" s="1122"/>
    </row>
    <row r="1773" spans="6:16">
      <c r="F1773" s="1121">
        <f t="shared" si="115"/>
        <v>-2.4263505270578707E-3</v>
      </c>
      <c r="G1773" s="1122"/>
      <c r="H1773" s="436">
        <v>42955</v>
      </c>
      <c r="I1773" s="738">
        <v>2474.92</v>
      </c>
      <c r="J1773" s="440">
        <f t="shared" si="114"/>
        <v>-2.4144366381689819E-3</v>
      </c>
      <c r="L1773" s="436">
        <v>42955</v>
      </c>
      <c r="M1773" s="738">
        <v>300.1001</v>
      </c>
      <c r="N1773" s="115">
        <f t="shared" si="113"/>
        <v>9.9283223719746072E-3</v>
      </c>
      <c r="O1773" s="1121">
        <f t="shared" si="116"/>
        <v>9.9164084830857188E-3</v>
      </c>
      <c r="P1773" s="1122"/>
    </row>
    <row r="1774" spans="6:16">
      <c r="F1774" s="1121">
        <f t="shared" si="115"/>
        <v>-3.7556200680789097E-4</v>
      </c>
      <c r="G1774" s="1122"/>
      <c r="H1774" s="436">
        <v>42956</v>
      </c>
      <c r="I1774" s="738">
        <v>2474.02</v>
      </c>
      <c r="J1774" s="440">
        <f t="shared" si="114"/>
        <v>-3.6364811791900209E-4</v>
      </c>
      <c r="L1774" s="436">
        <v>42956</v>
      </c>
      <c r="M1774" s="738">
        <v>305.22000000000003</v>
      </c>
      <c r="N1774" s="115">
        <f t="shared" si="113"/>
        <v>1.7060640766197732E-2</v>
      </c>
      <c r="O1774" s="1121">
        <f t="shared" si="116"/>
        <v>1.7048726877308844E-2</v>
      </c>
      <c r="P1774" s="1122"/>
    </row>
    <row r="1775" spans="6:16">
      <c r="F1775" s="1121">
        <f t="shared" si="115"/>
        <v>-1.4486332042339518E-2</v>
      </c>
      <c r="G1775" s="1122"/>
      <c r="H1775" s="436">
        <v>42957</v>
      </c>
      <c r="I1775" s="738">
        <v>2438.21</v>
      </c>
      <c r="J1775" s="440">
        <f t="shared" si="114"/>
        <v>-1.447441815345063E-2</v>
      </c>
      <c r="L1775" s="436">
        <v>42957</v>
      </c>
      <c r="M1775" s="738">
        <v>303.25</v>
      </c>
      <c r="N1775" s="115">
        <f t="shared" si="113"/>
        <v>-6.4543607889392396E-3</v>
      </c>
      <c r="O1775" s="1121">
        <f t="shared" si="116"/>
        <v>-6.4662746778281288E-3</v>
      </c>
      <c r="P1775" s="1122"/>
    </row>
    <row r="1776" spans="6:16">
      <c r="F1776" s="1121">
        <f t="shared" si="115"/>
        <v>1.2636120092085405E-3</v>
      </c>
      <c r="G1776" s="1122"/>
      <c r="H1776" s="436">
        <v>42958</v>
      </c>
      <c r="I1776" s="738">
        <v>2441.3200000000002</v>
      </c>
      <c r="J1776" s="440">
        <f t="shared" si="114"/>
        <v>1.2755258980974293E-3</v>
      </c>
      <c r="L1776" s="436">
        <v>42958</v>
      </c>
      <c r="M1776" s="738">
        <v>303.75</v>
      </c>
      <c r="N1776" s="115">
        <f t="shared" si="113"/>
        <v>1.6488046166529546E-3</v>
      </c>
      <c r="O1776" s="1121">
        <f t="shared" si="116"/>
        <v>1.6368907277640658E-3</v>
      </c>
      <c r="P1776" s="1122"/>
    </row>
    <row r="1777" spans="6:16">
      <c r="F1777" s="1121">
        <f t="shared" si="115"/>
        <v>1.0031832936599032E-2</v>
      </c>
      <c r="G1777" s="1122"/>
      <c r="H1777" s="436">
        <v>42961</v>
      </c>
      <c r="I1777" s="738">
        <v>2465.84</v>
      </c>
      <c r="J1777" s="440">
        <f t="shared" si="114"/>
        <v>1.004374682548792E-2</v>
      </c>
      <c r="L1777" s="436">
        <v>42961</v>
      </c>
      <c r="M1777" s="738">
        <v>307.58010000000002</v>
      </c>
      <c r="N1777" s="115">
        <f t="shared" ref="N1777:N1840" si="117">M1777/M1776-1</f>
        <v>1.2609382716049389E-2</v>
      </c>
      <c r="O1777" s="1121">
        <f t="shared" si="116"/>
        <v>1.25974688271605E-2</v>
      </c>
      <c r="P1777" s="1122"/>
    </row>
    <row r="1778" spans="6:16">
      <c r="F1778" s="1121">
        <f t="shared" si="115"/>
        <v>-5.1072970824462465E-4</v>
      </c>
      <c r="G1778" s="1122"/>
      <c r="H1778" s="436">
        <v>42962</v>
      </c>
      <c r="I1778" s="738">
        <v>2464.61</v>
      </c>
      <c r="J1778" s="440">
        <f t="shared" si="114"/>
        <v>-4.9881581935573571E-4</v>
      </c>
      <c r="L1778" s="436">
        <v>42962</v>
      </c>
      <c r="M1778" s="738">
        <v>306.2</v>
      </c>
      <c r="N1778" s="115">
        <f t="shared" si="117"/>
        <v>-4.4869612826058392E-3</v>
      </c>
      <c r="O1778" s="1121">
        <f t="shared" si="116"/>
        <v>-4.4988751714947284E-3</v>
      </c>
      <c r="P1778" s="1122"/>
    </row>
    <row r="1779" spans="6:16">
      <c r="F1779" s="1121">
        <f t="shared" si="115"/>
        <v>1.4081890888640795E-3</v>
      </c>
      <c r="G1779" s="1122"/>
      <c r="H1779" s="436">
        <v>42963</v>
      </c>
      <c r="I1779" s="738">
        <v>2468.11</v>
      </c>
      <c r="J1779" s="440">
        <f t="shared" si="114"/>
        <v>1.4201029777529683E-3</v>
      </c>
      <c r="L1779" s="436">
        <v>42963</v>
      </c>
      <c r="M1779" s="738">
        <v>305.8</v>
      </c>
      <c r="N1779" s="115">
        <f t="shared" si="117"/>
        <v>-1.3063357282820931E-3</v>
      </c>
      <c r="O1779" s="1121">
        <f t="shared" si="116"/>
        <v>-1.3182496171709819E-3</v>
      </c>
      <c r="P1779" s="1122"/>
    </row>
    <row r="1780" spans="6:16">
      <c r="F1780" s="1121">
        <f t="shared" si="115"/>
        <v>-1.5448827154505025E-2</v>
      </c>
      <c r="G1780" s="1122"/>
      <c r="H1780" s="436">
        <v>42964</v>
      </c>
      <c r="I1780" s="738">
        <v>2430.0100000000002</v>
      </c>
      <c r="J1780" s="440">
        <f t="shared" si="114"/>
        <v>-1.5436913265616137E-2</v>
      </c>
      <c r="L1780" s="436">
        <v>42964</v>
      </c>
      <c r="M1780" s="738">
        <v>301.41989999999998</v>
      </c>
      <c r="N1780" s="115">
        <f t="shared" si="117"/>
        <v>-1.4323413996075951E-2</v>
      </c>
      <c r="O1780" s="1121">
        <f t="shared" si="116"/>
        <v>-1.4335327884964839E-2</v>
      </c>
      <c r="P1780" s="1122"/>
    </row>
    <row r="1781" spans="6:16">
      <c r="F1781" s="1121">
        <f t="shared" si="115"/>
        <v>-1.8472972823728802E-3</v>
      </c>
      <c r="G1781" s="1122"/>
      <c r="H1781" s="436">
        <v>42965</v>
      </c>
      <c r="I1781" s="738">
        <v>2425.5500000000002</v>
      </c>
      <c r="J1781" s="440">
        <f t="shared" si="114"/>
        <v>-1.8353833934839914E-3</v>
      </c>
      <c r="L1781" s="436">
        <v>42965</v>
      </c>
      <c r="M1781" s="738">
        <v>299.2</v>
      </c>
      <c r="N1781" s="115">
        <f t="shared" si="117"/>
        <v>-7.364809025548702E-3</v>
      </c>
      <c r="O1781" s="1121">
        <f t="shared" si="116"/>
        <v>-7.3767229144375912E-3</v>
      </c>
      <c r="P1781" s="1122"/>
    </row>
    <row r="1782" spans="6:16">
      <c r="F1782" s="1121">
        <f t="shared" si="115"/>
        <v>1.1507090213788078E-3</v>
      </c>
      <c r="G1782" s="1122"/>
      <c r="H1782" s="436">
        <v>42968</v>
      </c>
      <c r="I1782" s="738">
        <v>2428.37</v>
      </c>
      <c r="J1782" s="440">
        <f t="shared" si="114"/>
        <v>1.1626229102676966E-3</v>
      </c>
      <c r="L1782" s="436">
        <v>42968</v>
      </c>
      <c r="M1782" s="738">
        <v>301.87990000000002</v>
      </c>
      <c r="N1782" s="115">
        <f t="shared" si="117"/>
        <v>8.9568850267380817E-3</v>
      </c>
      <c r="O1782" s="1121">
        <f t="shared" si="116"/>
        <v>8.9449711378491933E-3</v>
      </c>
      <c r="P1782" s="1122"/>
    </row>
    <row r="1783" spans="6:16">
      <c r="F1783" s="1121">
        <f t="shared" si="115"/>
        <v>9.9289106147907244E-3</v>
      </c>
      <c r="G1783" s="1122"/>
      <c r="H1783" s="436">
        <v>42969</v>
      </c>
      <c r="I1783" s="738">
        <v>2452.5100000000002</v>
      </c>
      <c r="J1783" s="440">
        <f t="shared" si="114"/>
        <v>9.9408245036796128E-3</v>
      </c>
      <c r="L1783" s="436">
        <v>42969</v>
      </c>
      <c r="M1783" s="738">
        <v>304.8</v>
      </c>
      <c r="N1783" s="115">
        <f t="shared" si="117"/>
        <v>9.6730520978707268E-3</v>
      </c>
      <c r="O1783" s="1121">
        <f t="shared" si="116"/>
        <v>9.6611382089818384E-3</v>
      </c>
      <c r="P1783" s="1122"/>
    </row>
    <row r="1784" spans="6:16">
      <c r="F1784" s="1121">
        <f t="shared" si="115"/>
        <v>-3.4655185632838166E-3</v>
      </c>
      <c r="G1784" s="1122"/>
      <c r="H1784" s="436">
        <v>42970</v>
      </c>
      <c r="I1784" s="738">
        <v>2444.04</v>
      </c>
      <c r="J1784" s="440">
        <f t="shared" si="114"/>
        <v>-3.4536046743949278E-3</v>
      </c>
      <c r="L1784" s="436">
        <v>42970</v>
      </c>
      <c r="M1784" s="738">
        <v>302.84010000000001</v>
      </c>
      <c r="N1784" s="115">
        <f t="shared" si="117"/>
        <v>-6.4301181102361937E-3</v>
      </c>
      <c r="O1784" s="1121">
        <f t="shared" si="116"/>
        <v>-6.442031999125083E-3</v>
      </c>
      <c r="P1784" s="1122"/>
    </row>
    <row r="1785" spans="6:16">
      <c r="F1785" s="1121">
        <f t="shared" si="115"/>
        <v>-2.0863480225364957E-3</v>
      </c>
      <c r="G1785" s="1122"/>
      <c r="H1785" s="436">
        <v>42971</v>
      </c>
      <c r="I1785" s="738">
        <v>2438.9699999999998</v>
      </c>
      <c r="J1785" s="440">
        <f t="shared" si="114"/>
        <v>-2.0744341336476069E-3</v>
      </c>
      <c r="L1785" s="436">
        <v>42971</v>
      </c>
      <c r="M1785" s="738">
        <v>302.6001</v>
      </c>
      <c r="N1785" s="115">
        <f t="shared" si="117"/>
        <v>-7.924974268599394E-4</v>
      </c>
      <c r="O1785" s="1121">
        <f t="shared" si="116"/>
        <v>-8.0441131574882834E-4</v>
      </c>
      <c r="P1785" s="1122"/>
    </row>
    <row r="1786" spans="6:16">
      <c r="F1786" s="1121">
        <f t="shared" si="115"/>
        <v>1.6609234153831458E-3</v>
      </c>
      <c r="G1786" s="1122"/>
      <c r="H1786" s="436">
        <v>42972</v>
      </c>
      <c r="I1786" s="738">
        <v>2443.0500000000002</v>
      </c>
      <c r="J1786" s="440">
        <f t="shared" si="114"/>
        <v>1.6728373042720346E-3</v>
      </c>
      <c r="L1786" s="436">
        <v>42972</v>
      </c>
      <c r="M1786" s="738">
        <v>302.8</v>
      </c>
      <c r="N1786" s="115">
        <f t="shared" si="117"/>
        <v>6.606078451396602E-4</v>
      </c>
      <c r="O1786" s="1121">
        <f t="shared" si="116"/>
        <v>6.4869395625077127E-4</v>
      </c>
      <c r="P1786" s="1122"/>
    </row>
    <row r="1787" spans="6:16">
      <c r="F1787" s="1121">
        <f t="shared" si="115"/>
        <v>4.7518215908370166E-4</v>
      </c>
      <c r="G1787" s="1122"/>
      <c r="H1787" s="436">
        <v>42975</v>
      </c>
      <c r="I1787" s="738">
        <v>2444.2399999999998</v>
      </c>
      <c r="J1787" s="440">
        <f t="shared" si="114"/>
        <v>4.8709604797259054E-4</v>
      </c>
      <c r="L1787" s="436">
        <v>42975</v>
      </c>
      <c r="M1787" s="738">
        <v>303.61009999999999</v>
      </c>
      <c r="N1787" s="115">
        <f t="shared" si="117"/>
        <v>2.6753632760898594E-3</v>
      </c>
      <c r="O1787" s="1121">
        <f t="shared" si="116"/>
        <v>2.6634493872009705E-3</v>
      </c>
      <c r="P1787" s="1122"/>
    </row>
    <row r="1788" spans="6:16">
      <c r="F1788" s="1121">
        <f t="shared" si="115"/>
        <v>8.3088387237861079E-4</v>
      </c>
      <c r="G1788" s="1122"/>
      <c r="H1788" s="436">
        <v>42976</v>
      </c>
      <c r="I1788" s="738">
        <v>2446.3000000000002</v>
      </c>
      <c r="J1788" s="440">
        <f t="shared" si="114"/>
        <v>8.4279776126749972E-4</v>
      </c>
      <c r="L1788" s="436">
        <v>42976</v>
      </c>
      <c r="M1788" s="738">
        <v>308.13990000000001</v>
      </c>
      <c r="N1788" s="115">
        <f t="shared" si="117"/>
        <v>1.491979351148065E-2</v>
      </c>
      <c r="O1788" s="1121">
        <f t="shared" si="116"/>
        <v>1.4907879622591762E-2</v>
      </c>
      <c r="P1788" s="1122"/>
    </row>
    <row r="1789" spans="6:16">
      <c r="F1789" s="1121">
        <f t="shared" si="115"/>
        <v>4.6032191691988055E-3</v>
      </c>
      <c r="G1789" s="1122"/>
      <c r="H1789" s="436">
        <v>42977</v>
      </c>
      <c r="I1789" s="738">
        <v>2457.59</v>
      </c>
      <c r="J1789" s="440">
        <f t="shared" si="114"/>
        <v>4.6151330580876948E-3</v>
      </c>
      <c r="L1789" s="436">
        <v>42977</v>
      </c>
      <c r="M1789" s="738">
        <v>306.3</v>
      </c>
      <c r="N1789" s="115">
        <f t="shared" si="117"/>
        <v>-5.9709891513562985E-3</v>
      </c>
      <c r="O1789" s="1121">
        <f t="shared" si="116"/>
        <v>-5.9829030402451877E-3</v>
      </c>
      <c r="P1789" s="1122"/>
    </row>
    <row r="1790" spans="6:16">
      <c r="F1790" s="1121">
        <f t="shared" si="115"/>
        <v>5.7091380359642818E-3</v>
      </c>
      <c r="G1790" s="1122"/>
      <c r="H1790" s="436">
        <v>42978</v>
      </c>
      <c r="I1790" s="738">
        <v>2471.65</v>
      </c>
      <c r="J1790" s="440">
        <f t="shared" si="114"/>
        <v>5.721051924853171E-3</v>
      </c>
      <c r="L1790" s="436">
        <v>42978</v>
      </c>
      <c r="M1790" s="738">
        <v>305.38990000000001</v>
      </c>
      <c r="N1790" s="115">
        <f t="shared" si="117"/>
        <v>-2.9712699967352485E-3</v>
      </c>
      <c r="O1790" s="1121">
        <f t="shared" si="116"/>
        <v>-2.9831838856241373E-3</v>
      </c>
      <c r="P1790" s="1122"/>
    </row>
    <row r="1791" spans="6:16">
      <c r="F1791" s="1121">
        <f t="shared" si="115"/>
        <v>1.9705674494884177E-3</v>
      </c>
      <c r="G1791" s="1122"/>
      <c r="H1791" s="436">
        <v>42979</v>
      </c>
      <c r="I1791" s="738">
        <v>2476.5500000000002</v>
      </c>
      <c r="J1791" s="440">
        <f t="shared" si="114"/>
        <v>1.9824813383773066E-3</v>
      </c>
      <c r="L1791" s="436">
        <v>42979</v>
      </c>
      <c r="M1791" s="738">
        <v>302.18990000000002</v>
      </c>
      <c r="N1791" s="115">
        <f t="shared" si="117"/>
        <v>-1.0478408094046321E-2</v>
      </c>
      <c r="O1791" s="1121">
        <f t="shared" si="116"/>
        <v>-1.0490321982935209E-2</v>
      </c>
      <c r="P1791" s="1122"/>
    </row>
    <row r="1792" spans="6:16">
      <c r="F1792" s="1121">
        <f t="shared" si="115"/>
        <v>-1.1913888888888887E-5</v>
      </c>
      <c r="G1792" s="1122"/>
      <c r="H1792" s="436">
        <v>42982</v>
      </c>
      <c r="I1792" s="738">
        <v>2476.5500000000002</v>
      </c>
      <c r="J1792" s="440">
        <f t="shared" si="114"/>
        <v>0</v>
      </c>
      <c r="L1792" s="436">
        <v>42982</v>
      </c>
      <c r="M1792" s="738">
        <v>302.18990000000002</v>
      </c>
      <c r="N1792" s="115">
        <f t="shared" si="117"/>
        <v>0</v>
      </c>
      <c r="O1792" s="1121">
        <f t="shared" si="116"/>
        <v>-1.1913888888888887E-5</v>
      </c>
      <c r="P1792" s="1122"/>
    </row>
    <row r="1793" spans="6:16">
      <c r="F1793" s="1121">
        <f t="shared" si="115"/>
        <v>-7.5627406438505485E-3</v>
      </c>
      <c r="G1793" s="1122"/>
      <c r="H1793" s="436">
        <v>42983</v>
      </c>
      <c r="I1793" s="738">
        <v>2457.85</v>
      </c>
      <c r="J1793" s="440">
        <f t="shared" si="114"/>
        <v>-7.5508267549616592E-3</v>
      </c>
      <c r="L1793" s="436">
        <v>42983</v>
      </c>
      <c r="M1793" s="738">
        <v>302.2</v>
      </c>
      <c r="N1793" s="115">
        <f t="shared" si="117"/>
        <v>3.3422692154783107E-5</v>
      </c>
      <c r="O1793" s="1121">
        <f t="shared" si="116"/>
        <v>2.1508803265894221E-5</v>
      </c>
      <c r="P1793" s="1122"/>
    </row>
    <row r="1794" spans="6:16">
      <c r="F1794" s="1121">
        <f t="shared" si="115"/>
        <v>3.1168368485442392E-3</v>
      </c>
      <c r="G1794" s="1122"/>
      <c r="H1794" s="436">
        <v>42984</v>
      </c>
      <c r="I1794" s="738">
        <v>2465.54</v>
      </c>
      <c r="J1794" s="440">
        <f t="shared" si="114"/>
        <v>3.128750737433128E-3</v>
      </c>
      <c r="L1794" s="436">
        <v>42984</v>
      </c>
      <c r="M1794" s="738">
        <v>301.45</v>
      </c>
      <c r="N1794" s="115">
        <f t="shared" si="117"/>
        <v>-2.4818001323626548E-3</v>
      </c>
      <c r="O1794" s="1121">
        <f t="shared" si="116"/>
        <v>-2.4937140212515437E-3</v>
      </c>
      <c r="P1794" s="1122"/>
    </row>
    <row r="1795" spans="6:16">
      <c r="F1795" s="1121">
        <f t="shared" si="115"/>
        <v>-1.9037378002840409E-4</v>
      </c>
      <c r="G1795" s="1122"/>
      <c r="H1795" s="436">
        <v>42985</v>
      </c>
      <c r="I1795" s="738">
        <v>2465.1</v>
      </c>
      <c r="J1795" s="440">
        <f t="shared" si="114"/>
        <v>-1.7845989113951521E-4</v>
      </c>
      <c r="L1795" s="436">
        <v>42985</v>
      </c>
      <c r="M1795" s="738">
        <v>302.3501</v>
      </c>
      <c r="N1795" s="115">
        <f t="shared" si="117"/>
        <v>2.9859014761983715E-3</v>
      </c>
      <c r="O1795" s="1121">
        <f t="shared" si="116"/>
        <v>2.9739875873094827E-3</v>
      </c>
      <c r="P1795" s="1122"/>
    </row>
    <row r="1796" spans="6:16">
      <c r="F1796" s="1121">
        <f t="shared" si="115"/>
        <v>-1.5006973053831659E-3</v>
      </c>
      <c r="G1796" s="1122"/>
      <c r="H1796" s="436">
        <v>42986</v>
      </c>
      <c r="I1796" s="738">
        <v>2461.4299999999998</v>
      </c>
      <c r="J1796" s="440">
        <f t="shared" si="114"/>
        <v>-1.488783416494277E-3</v>
      </c>
      <c r="L1796" s="436">
        <v>42986</v>
      </c>
      <c r="M1796" s="738">
        <v>302.8999</v>
      </c>
      <c r="N1796" s="115">
        <f t="shared" si="117"/>
        <v>1.818421756764721E-3</v>
      </c>
      <c r="O1796" s="1121">
        <f t="shared" si="116"/>
        <v>1.8065078678758321E-3</v>
      </c>
      <c r="P1796" s="1122"/>
    </row>
    <row r="1797" spans="6:16">
      <c r="F1797" s="1121">
        <f t="shared" si="115"/>
        <v>1.0827313714577451E-2</v>
      </c>
      <c r="G1797" s="1122"/>
      <c r="H1797" s="436">
        <v>42989</v>
      </c>
      <c r="I1797" s="738">
        <v>2488.11</v>
      </c>
      <c r="J1797" s="440">
        <f t="shared" si="114"/>
        <v>1.0839227603466339E-2</v>
      </c>
      <c r="L1797" s="436">
        <v>42989</v>
      </c>
      <c r="M1797" s="738">
        <v>304.48</v>
      </c>
      <c r="N1797" s="115">
        <f t="shared" si="117"/>
        <v>5.2165748486545649E-3</v>
      </c>
      <c r="O1797" s="1121">
        <f t="shared" si="116"/>
        <v>5.2046609597656756E-3</v>
      </c>
      <c r="P1797" s="1122"/>
    </row>
    <row r="1798" spans="6:16">
      <c r="F1798" s="1121">
        <f t="shared" si="115"/>
        <v>3.3520852912115521E-3</v>
      </c>
      <c r="G1798" s="1122"/>
      <c r="H1798" s="436">
        <v>42990</v>
      </c>
      <c r="I1798" s="738">
        <v>2496.48</v>
      </c>
      <c r="J1798" s="440">
        <f t="shared" si="114"/>
        <v>3.363999180100441E-3</v>
      </c>
      <c r="L1798" s="436">
        <v>42990</v>
      </c>
      <c r="M1798" s="738">
        <v>303.73</v>
      </c>
      <c r="N1798" s="115">
        <f t="shared" si="117"/>
        <v>-2.4632159747767224E-3</v>
      </c>
      <c r="O1798" s="1121">
        <f t="shared" si="116"/>
        <v>-2.4751298636656112E-3</v>
      </c>
      <c r="P1798" s="1122"/>
    </row>
    <row r="1799" spans="6:16">
      <c r="F1799" s="1121">
        <f t="shared" si="115"/>
        <v>7.4515205996693952E-4</v>
      </c>
      <c r="G1799" s="1122"/>
      <c r="H1799" s="436">
        <v>42991</v>
      </c>
      <c r="I1799" s="738">
        <v>2498.37</v>
      </c>
      <c r="J1799" s="440">
        <f t="shared" si="114"/>
        <v>7.5706594885582845E-4</v>
      </c>
      <c r="L1799" s="436">
        <v>42991</v>
      </c>
      <c r="M1799" s="738">
        <v>300.2</v>
      </c>
      <c r="N1799" s="115">
        <f t="shared" si="117"/>
        <v>-1.1622164422348868E-2</v>
      </c>
      <c r="O1799" s="1121">
        <f t="shared" si="116"/>
        <v>-1.1634078311237757E-2</v>
      </c>
      <c r="P1799" s="1122"/>
    </row>
    <row r="1800" spans="6:16">
      <c r="F1800" s="1121">
        <f t="shared" si="115"/>
        <v>-1.1126315568084151E-3</v>
      </c>
      <c r="G1800" s="1122"/>
      <c r="H1800" s="436">
        <v>42992</v>
      </c>
      <c r="I1800" s="738">
        <v>2495.62</v>
      </c>
      <c r="J1800" s="440">
        <f t="shared" si="114"/>
        <v>-1.1007176679195263E-3</v>
      </c>
      <c r="L1800" s="436">
        <v>42992</v>
      </c>
      <c r="M1800" s="738">
        <v>301.34010000000001</v>
      </c>
      <c r="N1800" s="115">
        <f t="shared" si="117"/>
        <v>3.7978014656896431E-3</v>
      </c>
      <c r="O1800" s="1121">
        <f t="shared" si="116"/>
        <v>3.7858875768007542E-3</v>
      </c>
      <c r="P1800" s="1122"/>
    </row>
    <row r="1801" spans="6:16">
      <c r="F1801" s="1121">
        <f t="shared" si="115"/>
        <v>1.83532246921058E-3</v>
      </c>
      <c r="G1801" s="1122"/>
      <c r="H1801" s="436">
        <v>42993</v>
      </c>
      <c r="I1801" s="738">
        <v>2500.23</v>
      </c>
      <c r="J1801" s="440">
        <f t="shared" si="114"/>
        <v>1.8472363580994688E-3</v>
      </c>
      <c r="L1801" s="436">
        <v>42993</v>
      </c>
      <c r="M1801" s="738">
        <v>302.3</v>
      </c>
      <c r="N1801" s="115">
        <f t="shared" si="117"/>
        <v>3.1854373181663398E-3</v>
      </c>
      <c r="O1801" s="1121">
        <f t="shared" si="116"/>
        <v>3.173523429277451E-3</v>
      </c>
      <c r="P1801" s="1122"/>
    </row>
    <row r="1802" spans="6:16">
      <c r="F1802" s="1121">
        <f t="shared" si="115"/>
        <v>1.4439521714334417E-3</v>
      </c>
      <c r="G1802" s="1122"/>
      <c r="H1802" s="436">
        <v>42996</v>
      </c>
      <c r="I1802" s="738">
        <v>2503.87</v>
      </c>
      <c r="J1802" s="440">
        <f t="shared" si="114"/>
        <v>1.4558660603223306E-3</v>
      </c>
      <c r="L1802" s="436">
        <v>42996</v>
      </c>
      <c r="M1802" s="738">
        <v>303.8</v>
      </c>
      <c r="N1802" s="115">
        <f t="shared" si="117"/>
        <v>4.9619583195501527E-3</v>
      </c>
      <c r="O1802" s="1121">
        <f t="shared" si="116"/>
        <v>4.9500444306612634E-3</v>
      </c>
      <c r="P1802" s="1122"/>
    </row>
    <row r="1803" spans="6:16">
      <c r="F1803" s="1121">
        <f t="shared" si="115"/>
        <v>1.0983673956826904E-3</v>
      </c>
      <c r="G1803" s="1122"/>
      <c r="H1803" s="436">
        <v>42997</v>
      </c>
      <c r="I1803" s="738">
        <v>2506.65</v>
      </c>
      <c r="J1803" s="440">
        <f t="shared" si="114"/>
        <v>1.1102812845715793E-3</v>
      </c>
      <c r="L1803" s="436">
        <v>42997</v>
      </c>
      <c r="M1803" s="738">
        <v>305.6499</v>
      </c>
      <c r="N1803" s="115">
        <f t="shared" si="117"/>
        <v>6.0892034233048786E-3</v>
      </c>
      <c r="O1803" s="1121">
        <f t="shared" si="116"/>
        <v>6.0772895344159894E-3</v>
      </c>
      <c r="P1803" s="1122"/>
    </row>
    <row r="1804" spans="6:16">
      <c r="F1804" s="1121">
        <f t="shared" si="115"/>
        <v>6.2239883925407165E-4</v>
      </c>
      <c r="G1804" s="1122"/>
      <c r="H1804" s="436">
        <v>42998</v>
      </c>
      <c r="I1804" s="738">
        <v>2508.2399999999998</v>
      </c>
      <c r="J1804" s="440">
        <f t="shared" si="114"/>
        <v>6.3431272814296058E-4</v>
      </c>
      <c r="L1804" s="436">
        <v>42998</v>
      </c>
      <c r="M1804" s="738">
        <v>307.8999</v>
      </c>
      <c r="N1804" s="115">
        <f t="shared" si="117"/>
        <v>7.3613634422913243E-3</v>
      </c>
      <c r="O1804" s="1121">
        <f t="shared" si="116"/>
        <v>7.3494495534024351E-3</v>
      </c>
      <c r="P1804" s="1122"/>
    </row>
    <row r="1805" spans="6:16">
      <c r="F1805" s="1121">
        <f t="shared" si="115"/>
        <v>-3.0578744030341849E-3</v>
      </c>
      <c r="G1805" s="1122"/>
      <c r="H1805" s="436">
        <v>42999</v>
      </c>
      <c r="I1805" s="738">
        <v>2500.6</v>
      </c>
      <c r="J1805" s="440">
        <f t="shared" si="114"/>
        <v>-3.0459605141452961E-3</v>
      </c>
      <c r="L1805" s="436">
        <v>42999</v>
      </c>
      <c r="M1805" s="738">
        <v>308.01</v>
      </c>
      <c r="N1805" s="115">
        <f t="shared" si="117"/>
        <v>3.575837471854193E-4</v>
      </c>
      <c r="O1805" s="1121">
        <f t="shared" si="116"/>
        <v>3.4566985829653042E-4</v>
      </c>
      <c r="P1805" s="1122"/>
    </row>
    <row r="1806" spans="6:16">
      <c r="F1806" s="1121">
        <f t="shared" si="115"/>
        <v>6.3593062842680988E-4</v>
      </c>
      <c r="G1806" s="1122"/>
      <c r="H1806" s="436">
        <v>43000</v>
      </c>
      <c r="I1806" s="738">
        <v>2502.2199999999998</v>
      </c>
      <c r="J1806" s="440">
        <f t="shared" si="114"/>
        <v>6.4784451731569881E-4</v>
      </c>
      <c r="L1806" s="436">
        <v>43000</v>
      </c>
      <c r="M1806" s="738">
        <v>308.54000000000002</v>
      </c>
      <c r="N1806" s="115">
        <f t="shared" si="117"/>
        <v>1.7207233531379984E-3</v>
      </c>
      <c r="O1806" s="1121">
        <f t="shared" si="116"/>
        <v>1.7088094642491096E-3</v>
      </c>
      <c r="P1806" s="1122"/>
    </row>
    <row r="1807" spans="6:16">
      <c r="F1807" s="1121">
        <f t="shared" si="115"/>
        <v>-2.2339407290548137E-3</v>
      </c>
      <c r="G1807" s="1122"/>
      <c r="H1807" s="436">
        <v>43003</v>
      </c>
      <c r="I1807" s="738">
        <v>2496.66</v>
      </c>
      <c r="J1807" s="440">
        <f t="shared" si="114"/>
        <v>-2.2220268401659249E-3</v>
      </c>
      <c r="L1807" s="436">
        <v>43003</v>
      </c>
      <c r="M1807" s="738">
        <v>306.8501</v>
      </c>
      <c r="N1807" s="115">
        <f t="shared" si="117"/>
        <v>-5.4770856290918823E-3</v>
      </c>
      <c r="O1807" s="1121">
        <f t="shared" si="116"/>
        <v>-5.4889995179807716E-3</v>
      </c>
      <c r="P1807" s="1122"/>
    </row>
    <row r="1808" spans="6:16">
      <c r="F1808" s="1121">
        <f t="shared" si="115"/>
        <v>6.0182431795722585E-5</v>
      </c>
      <c r="G1808" s="1122"/>
      <c r="H1808" s="436">
        <v>43004</v>
      </c>
      <c r="I1808" s="738">
        <v>2496.84</v>
      </c>
      <c r="J1808" s="440">
        <f t="shared" si="114"/>
        <v>7.209632068461147E-5</v>
      </c>
      <c r="L1808" s="436">
        <v>43004</v>
      </c>
      <c r="M1808" s="738">
        <v>309.58010000000002</v>
      </c>
      <c r="N1808" s="115">
        <f t="shared" si="117"/>
        <v>8.8968522415342477E-3</v>
      </c>
      <c r="O1808" s="1121">
        <f t="shared" si="116"/>
        <v>8.8849383526453593E-3</v>
      </c>
      <c r="P1808" s="1122"/>
    </row>
    <row r="1809" spans="6:16">
      <c r="F1809" s="1121">
        <f t="shared" si="115"/>
        <v>4.0732497579606319E-3</v>
      </c>
      <c r="G1809" s="1122"/>
      <c r="H1809" s="436">
        <v>43005</v>
      </c>
      <c r="I1809" s="738">
        <v>2507.04</v>
      </c>
      <c r="J1809" s="440">
        <f t="shared" si="114"/>
        <v>4.0851636468495212E-3</v>
      </c>
      <c r="L1809" s="436">
        <v>43005</v>
      </c>
      <c r="M1809" s="738">
        <v>310.12990000000002</v>
      </c>
      <c r="N1809" s="115">
        <f t="shared" si="117"/>
        <v>1.7759539453601203E-3</v>
      </c>
      <c r="O1809" s="1121">
        <f t="shared" si="116"/>
        <v>1.7640400564712315E-3</v>
      </c>
      <c r="P1809" s="1122"/>
    </row>
    <row r="1810" spans="6:16">
      <c r="F1810" s="1121">
        <f t="shared" si="115"/>
        <v>1.1926939354777104E-3</v>
      </c>
      <c r="G1810" s="1122"/>
      <c r="H1810" s="436">
        <v>43006</v>
      </c>
      <c r="I1810" s="738">
        <v>2510.06</v>
      </c>
      <c r="J1810" s="440">
        <f t="shared" si="114"/>
        <v>1.2046078243665992E-3</v>
      </c>
      <c r="L1810" s="436">
        <v>43006</v>
      </c>
      <c r="M1810" s="738">
        <v>309.12990000000002</v>
      </c>
      <c r="N1810" s="115">
        <f t="shared" si="117"/>
        <v>-3.2244553008271559E-3</v>
      </c>
      <c r="O1810" s="1121">
        <f t="shared" si="116"/>
        <v>-3.2363691897160447E-3</v>
      </c>
      <c r="P1810" s="1122"/>
    </row>
    <row r="1811" spans="6:16">
      <c r="F1811" s="1121">
        <f t="shared" si="115"/>
        <v>3.6931768260742774E-3</v>
      </c>
      <c r="G1811" s="1122"/>
      <c r="H1811" s="436">
        <v>43007</v>
      </c>
      <c r="I1811" s="738">
        <v>2519.36</v>
      </c>
      <c r="J1811" s="440">
        <f t="shared" si="114"/>
        <v>3.7050907149631662E-3</v>
      </c>
      <c r="L1811" s="436">
        <v>43007</v>
      </c>
      <c r="M1811" s="738">
        <v>310.29000000000002</v>
      </c>
      <c r="N1811" s="115">
        <f t="shared" si="117"/>
        <v>3.7527913022972204E-3</v>
      </c>
      <c r="O1811" s="1121">
        <f t="shared" si="116"/>
        <v>3.7408774134083315E-3</v>
      </c>
      <c r="P1811" s="1122"/>
    </row>
    <row r="1812" spans="6:16">
      <c r="F1812" s="1121">
        <f t="shared" si="115"/>
        <v>3.8620858570782494E-3</v>
      </c>
      <c r="G1812" s="1122"/>
      <c r="H1812" s="436">
        <v>43010</v>
      </c>
      <c r="I1812" s="738">
        <v>2529.12</v>
      </c>
      <c r="J1812" s="440">
        <f t="shared" si="114"/>
        <v>3.8739997459671383E-3</v>
      </c>
      <c r="L1812" s="436">
        <v>43010</v>
      </c>
      <c r="M1812" s="738">
        <v>311.33010000000002</v>
      </c>
      <c r="N1812" s="115">
        <f t="shared" si="117"/>
        <v>3.3520255245094166E-3</v>
      </c>
      <c r="O1812" s="1121">
        <f t="shared" si="116"/>
        <v>3.3401116356205278E-3</v>
      </c>
      <c r="P1812" s="1122"/>
    </row>
    <row r="1813" spans="6:16">
      <c r="F1813" s="1121">
        <f t="shared" si="115"/>
        <v>2.1469397835346331E-3</v>
      </c>
      <c r="G1813" s="1122"/>
      <c r="H1813" s="436">
        <v>43011</v>
      </c>
      <c r="I1813" s="738">
        <v>2534.58</v>
      </c>
      <c r="J1813" s="440">
        <f t="shared" si="114"/>
        <v>2.1588536724235219E-3</v>
      </c>
      <c r="L1813" s="436">
        <v>43011</v>
      </c>
      <c r="M1813" s="738">
        <v>312.86009999999999</v>
      </c>
      <c r="N1813" s="115">
        <f t="shared" si="117"/>
        <v>4.914397933254655E-3</v>
      </c>
      <c r="O1813" s="1121">
        <f t="shared" si="116"/>
        <v>4.9024840443657658E-3</v>
      </c>
      <c r="P1813" s="1122"/>
    </row>
    <row r="1814" spans="6:16">
      <c r="F1814" s="1121">
        <f t="shared" si="115"/>
        <v>1.2348409975221279E-3</v>
      </c>
      <c r="G1814" s="1122"/>
      <c r="H1814" s="436">
        <v>43012</v>
      </c>
      <c r="I1814" s="738">
        <v>2537.7399999999998</v>
      </c>
      <c r="J1814" s="440">
        <f t="shared" si="114"/>
        <v>1.2467548864110167E-3</v>
      </c>
      <c r="L1814" s="436">
        <v>43012</v>
      </c>
      <c r="M1814" s="738">
        <v>313.02</v>
      </c>
      <c r="N1814" s="115">
        <f t="shared" si="117"/>
        <v>5.1109105955027267E-4</v>
      </c>
      <c r="O1814" s="1121">
        <f t="shared" si="116"/>
        <v>4.9917717066138374E-4</v>
      </c>
      <c r="P1814" s="1122"/>
    </row>
    <row r="1815" spans="6:16">
      <c r="F1815" s="1121">
        <f t="shared" si="115"/>
        <v>5.6348426740372359E-3</v>
      </c>
      <c r="G1815" s="1122"/>
      <c r="H1815" s="436">
        <v>43013</v>
      </c>
      <c r="I1815" s="738">
        <v>2552.0700000000002</v>
      </c>
      <c r="J1815" s="440">
        <f t="shared" si="114"/>
        <v>5.6467565629261252E-3</v>
      </c>
      <c r="L1815" s="436">
        <v>43013</v>
      </c>
      <c r="M1815" s="738">
        <v>314.58010000000002</v>
      </c>
      <c r="N1815" s="115">
        <f t="shared" si="117"/>
        <v>4.9840265797713723E-3</v>
      </c>
      <c r="O1815" s="1121">
        <f t="shared" si="116"/>
        <v>4.9721126908824831E-3</v>
      </c>
      <c r="P1815" s="1122"/>
    </row>
    <row r="1816" spans="6:16">
      <c r="F1816" s="1121">
        <f t="shared" si="115"/>
        <v>-1.0855521511623574E-3</v>
      </c>
      <c r="G1816" s="1122"/>
      <c r="H1816" s="436">
        <v>43014</v>
      </c>
      <c r="I1816" s="738">
        <v>2549.33</v>
      </c>
      <c r="J1816" s="440">
        <f t="shared" si="114"/>
        <v>-1.0736382622734686E-3</v>
      </c>
      <c r="L1816" s="436">
        <v>43014</v>
      </c>
      <c r="M1816" s="738">
        <v>316.45999999999998</v>
      </c>
      <c r="N1816" s="115">
        <f t="shared" si="117"/>
        <v>5.9759024807988226E-3</v>
      </c>
      <c r="O1816" s="1121">
        <f t="shared" si="116"/>
        <v>5.9639885919099333E-3</v>
      </c>
      <c r="P1816" s="1122"/>
    </row>
    <row r="1817" spans="6:16">
      <c r="F1817" s="1121">
        <f t="shared" si="115"/>
        <v>-1.8163095536321079E-3</v>
      </c>
      <c r="G1817" s="1122"/>
      <c r="H1817" s="436">
        <v>43017</v>
      </c>
      <c r="I1817" s="738">
        <v>2544.73</v>
      </c>
      <c r="J1817" s="440">
        <f t="shared" si="114"/>
        <v>-1.8043956647432191E-3</v>
      </c>
      <c r="L1817" s="436">
        <v>43017</v>
      </c>
      <c r="M1817" s="738">
        <v>317.3</v>
      </c>
      <c r="N1817" s="115">
        <f t="shared" si="117"/>
        <v>2.6543639006511022E-3</v>
      </c>
      <c r="O1817" s="1121">
        <f t="shared" si="116"/>
        <v>2.6424500117622133E-3</v>
      </c>
      <c r="P1817" s="1122"/>
    </row>
    <row r="1818" spans="6:16">
      <c r="F1818" s="1121">
        <f t="shared" si="115"/>
        <v>2.3105328932843043E-3</v>
      </c>
      <c r="G1818" s="1122"/>
      <c r="H1818" s="436">
        <v>43018</v>
      </c>
      <c r="I1818" s="738">
        <v>2550.64</v>
      </c>
      <c r="J1818" s="440">
        <f t="shared" si="114"/>
        <v>2.3224467821731931E-3</v>
      </c>
      <c r="L1818" s="436">
        <v>43018</v>
      </c>
      <c r="M1818" s="738">
        <v>317.70999999999998</v>
      </c>
      <c r="N1818" s="115">
        <f t="shared" si="117"/>
        <v>1.2921525370310771E-3</v>
      </c>
      <c r="O1818" s="1121">
        <f t="shared" si="116"/>
        <v>1.2802386481421883E-3</v>
      </c>
      <c r="P1818" s="1122"/>
    </row>
    <row r="1819" spans="6:16">
      <c r="F1819" s="1121">
        <f t="shared" si="115"/>
        <v>1.7915550443984222E-3</v>
      </c>
      <c r="G1819" s="1122"/>
      <c r="H1819" s="436">
        <v>43019</v>
      </c>
      <c r="I1819" s="738">
        <v>2555.2399999999998</v>
      </c>
      <c r="J1819" s="440">
        <f t="shared" si="114"/>
        <v>1.8034689332873111E-3</v>
      </c>
      <c r="L1819" s="436">
        <v>43019</v>
      </c>
      <c r="M1819" s="738">
        <v>318.59010000000001</v>
      </c>
      <c r="N1819" s="115">
        <f t="shared" si="117"/>
        <v>2.7701362878096436E-3</v>
      </c>
      <c r="O1819" s="1121">
        <f t="shared" si="116"/>
        <v>2.7582223989207548E-3</v>
      </c>
      <c r="P1819" s="1122"/>
    </row>
    <row r="1820" spans="6:16">
      <c r="F1820" s="1121">
        <f t="shared" si="115"/>
        <v>-1.6986439025079643E-3</v>
      </c>
      <c r="G1820" s="1122"/>
      <c r="H1820" s="436">
        <v>43020</v>
      </c>
      <c r="I1820" s="738">
        <v>2550.9299999999998</v>
      </c>
      <c r="J1820" s="440">
        <f t="shared" si="114"/>
        <v>-1.6867300136190755E-3</v>
      </c>
      <c r="L1820" s="436">
        <v>43020</v>
      </c>
      <c r="M1820" s="738">
        <v>321.1499</v>
      </c>
      <c r="N1820" s="115">
        <f t="shared" si="117"/>
        <v>8.0347757196472802E-3</v>
      </c>
      <c r="O1820" s="1121">
        <f t="shared" si="116"/>
        <v>8.0228618307583918E-3</v>
      </c>
      <c r="P1820" s="1122"/>
    </row>
    <row r="1821" spans="6:16">
      <c r="F1821" s="1121">
        <f t="shared" si="115"/>
        <v>8.6619723136937361E-4</v>
      </c>
      <c r="G1821" s="1122"/>
      <c r="H1821" s="436">
        <v>43021</v>
      </c>
      <c r="I1821" s="738">
        <v>2553.17</v>
      </c>
      <c r="J1821" s="440">
        <f t="shared" ref="J1821:J1884" si="118">I1821/I1820-1</f>
        <v>8.7811112025826255E-4</v>
      </c>
      <c r="L1821" s="436">
        <v>43021</v>
      </c>
      <c r="M1821" s="738">
        <v>319.38990000000001</v>
      </c>
      <c r="N1821" s="115">
        <f t="shared" si="117"/>
        <v>-5.4803068598183735E-3</v>
      </c>
      <c r="O1821" s="1121">
        <f t="shared" si="116"/>
        <v>-5.4922207487072628E-3</v>
      </c>
      <c r="P1821" s="1122"/>
    </row>
    <row r="1822" spans="6:16">
      <c r="F1822" s="1121">
        <f t="shared" ref="F1822:F1885" si="119">J1822-$I$19</f>
        <v>1.7388508467143164E-3</v>
      </c>
      <c r="G1822" s="1122"/>
      <c r="H1822" s="436">
        <v>43024</v>
      </c>
      <c r="I1822" s="738">
        <v>2557.64</v>
      </c>
      <c r="J1822" s="440">
        <f t="shared" si="118"/>
        <v>1.7507647356032052E-3</v>
      </c>
      <c r="L1822" s="436">
        <v>43024</v>
      </c>
      <c r="M1822" s="738">
        <v>318.93990000000002</v>
      </c>
      <c r="N1822" s="115">
        <f t="shared" si="117"/>
        <v>-1.4089362249714021E-3</v>
      </c>
      <c r="O1822" s="1121">
        <f t="shared" ref="O1822:O1885" si="120">N1822-$I$19</f>
        <v>-1.420850113860291E-3</v>
      </c>
      <c r="P1822" s="1122"/>
    </row>
    <row r="1823" spans="6:16">
      <c r="F1823" s="1121">
        <f t="shared" si="119"/>
        <v>6.6058106739907225E-4</v>
      </c>
      <c r="G1823" s="1122"/>
      <c r="H1823" s="436">
        <v>43025</v>
      </c>
      <c r="I1823" s="738">
        <v>2559.36</v>
      </c>
      <c r="J1823" s="440">
        <f t="shared" si="118"/>
        <v>6.7249495628796119E-4</v>
      </c>
      <c r="L1823" s="436">
        <v>43025</v>
      </c>
      <c r="M1823" s="738">
        <v>318.27</v>
      </c>
      <c r="N1823" s="115">
        <f t="shared" si="117"/>
        <v>-2.1003957171870091E-3</v>
      </c>
      <c r="O1823" s="1121">
        <f t="shared" si="120"/>
        <v>-2.112309606075898E-3</v>
      </c>
      <c r="P1823" s="1122"/>
    </row>
    <row r="1824" spans="6:16">
      <c r="F1824" s="1121">
        <f t="shared" si="119"/>
        <v>7.3045920438451846E-4</v>
      </c>
      <c r="G1824" s="1122"/>
      <c r="H1824" s="436">
        <v>43026</v>
      </c>
      <c r="I1824" s="738">
        <v>2561.2600000000002</v>
      </c>
      <c r="J1824" s="440">
        <f t="shared" si="118"/>
        <v>7.4237309327340739E-4</v>
      </c>
      <c r="L1824" s="436">
        <v>43026</v>
      </c>
      <c r="M1824" s="738">
        <v>315.57010000000002</v>
      </c>
      <c r="N1824" s="115">
        <f t="shared" si="117"/>
        <v>-8.4830489835673317E-3</v>
      </c>
      <c r="O1824" s="1121">
        <f t="shared" si="120"/>
        <v>-8.4949628724562201E-3</v>
      </c>
      <c r="P1824" s="1122"/>
    </row>
    <row r="1825" spans="6:16">
      <c r="F1825" s="1121">
        <f t="shared" si="119"/>
        <v>3.160496915363057E-4</v>
      </c>
      <c r="G1825" s="1122"/>
      <c r="H1825" s="436">
        <v>43027</v>
      </c>
      <c r="I1825" s="738">
        <v>2562.1</v>
      </c>
      <c r="J1825" s="440">
        <f t="shared" si="118"/>
        <v>3.2796358042519458E-4</v>
      </c>
      <c r="L1825" s="436">
        <v>43027</v>
      </c>
      <c r="M1825" s="738">
        <v>316.84010000000001</v>
      </c>
      <c r="N1825" s="115">
        <f t="shared" si="117"/>
        <v>4.0244623936169788E-3</v>
      </c>
      <c r="O1825" s="1121">
        <f t="shared" si="120"/>
        <v>4.0125485047280895E-3</v>
      </c>
      <c r="P1825" s="1122"/>
    </row>
    <row r="1826" spans="6:16">
      <c r="F1826" s="1121">
        <f t="shared" si="119"/>
        <v>5.1049824071184224E-3</v>
      </c>
      <c r="G1826" s="1122"/>
      <c r="H1826" s="436">
        <v>43028</v>
      </c>
      <c r="I1826" s="738">
        <v>2575.21</v>
      </c>
      <c r="J1826" s="440">
        <f t="shared" si="118"/>
        <v>5.1168962960073117E-3</v>
      </c>
      <c r="L1826" s="436">
        <v>43028</v>
      </c>
      <c r="M1826" s="738">
        <v>320</v>
      </c>
      <c r="N1826" s="115">
        <f t="shared" si="117"/>
        <v>9.973169431520823E-3</v>
      </c>
      <c r="O1826" s="1121">
        <f t="shared" si="120"/>
        <v>9.9612555426319346E-3</v>
      </c>
      <c r="P1826" s="1122"/>
    </row>
    <row r="1827" spans="6:16">
      <c r="F1827" s="1121">
        <f t="shared" si="119"/>
        <v>-3.9844054526836448E-3</v>
      </c>
      <c r="G1827" s="1122"/>
      <c r="H1827" s="436">
        <v>43031</v>
      </c>
      <c r="I1827" s="738">
        <v>2564.98</v>
      </c>
      <c r="J1827" s="440">
        <f t="shared" si="118"/>
        <v>-3.9724915637947555E-3</v>
      </c>
      <c r="L1827" s="436">
        <v>43031</v>
      </c>
      <c r="M1827" s="738">
        <v>320.73</v>
      </c>
      <c r="N1827" s="115">
        <f t="shared" si="117"/>
        <v>2.2812500000000124E-3</v>
      </c>
      <c r="O1827" s="1121">
        <f t="shared" si="120"/>
        <v>2.2693361111111236E-3</v>
      </c>
      <c r="P1827" s="1122"/>
    </row>
    <row r="1828" spans="6:16">
      <c r="F1828" s="1121">
        <f t="shared" si="119"/>
        <v>1.606032449873999E-3</v>
      </c>
      <c r="G1828" s="1122"/>
      <c r="H1828" s="436">
        <v>43032</v>
      </c>
      <c r="I1828" s="738">
        <v>2569.13</v>
      </c>
      <c r="J1828" s="440">
        <f t="shared" si="118"/>
        <v>1.6179463387628878E-3</v>
      </c>
      <c r="L1828" s="436">
        <v>43032</v>
      </c>
      <c r="M1828" s="738">
        <v>313.1499</v>
      </c>
      <c r="N1828" s="115">
        <f t="shared" si="117"/>
        <v>-2.3633897670938264E-2</v>
      </c>
      <c r="O1828" s="1121">
        <f t="shared" si="120"/>
        <v>-2.3645811559827153E-2</v>
      </c>
      <c r="P1828" s="1122"/>
    </row>
    <row r="1829" spans="6:16">
      <c r="F1829" s="1121">
        <f t="shared" si="119"/>
        <v>-4.6749710327469518E-3</v>
      </c>
      <c r="G1829" s="1122"/>
      <c r="H1829" s="436">
        <v>43033</v>
      </c>
      <c r="I1829" s="738">
        <v>2557.15</v>
      </c>
      <c r="J1829" s="440">
        <f t="shared" si="118"/>
        <v>-4.6630571438580626E-3</v>
      </c>
      <c r="L1829" s="436">
        <v>43033</v>
      </c>
      <c r="M1829" s="738">
        <v>312.42989999999998</v>
      </c>
      <c r="N1829" s="115">
        <f t="shared" si="117"/>
        <v>-2.2992183615578865E-3</v>
      </c>
      <c r="O1829" s="1121">
        <f t="shared" si="120"/>
        <v>-2.3111322504467753E-3</v>
      </c>
      <c r="P1829" s="1122"/>
    </row>
    <row r="1830" spans="6:16">
      <c r="F1830" s="1121">
        <f t="shared" si="119"/>
        <v>1.259032281652465E-3</v>
      </c>
      <c r="G1830" s="1122"/>
      <c r="H1830" s="436">
        <v>43034</v>
      </c>
      <c r="I1830" s="738">
        <v>2560.4</v>
      </c>
      <c r="J1830" s="440">
        <f t="shared" si="118"/>
        <v>1.2709461705413538E-3</v>
      </c>
      <c r="L1830" s="436">
        <v>43034</v>
      </c>
      <c r="M1830" s="738">
        <v>307.88990000000001</v>
      </c>
      <c r="N1830" s="115">
        <f t="shared" si="117"/>
        <v>-1.4531259652165063E-2</v>
      </c>
      <c r="O1830" s="1121">
        <f t="shared" si="120"/>
        <v>-1.4543173541053951E-2</v>
      </c>
      <c r="P1830" s="1122"/>
    </row>
    <row r="1831" spans="6:16">
      <c r="F1831" s="1121">
        <f t="shared" si="119"/>
        <v>8.0610434615252455E-3</v>
      </c>
      <c r="G1831" s="1122"/>
      <c r="H1831" s="436">
        <v>43035</v>
      </c>
      <c r="I1831" s="738">
        <v>2581.0700000000002</v>
      </c>
      <c r="J1831" s="440">
        <f t="shared" si="118"/>
        <v>8.0729573504141339E-3</v>
      </c>
      <c r="L1831" s="436">
        <v>43035</v>
      </c>
      <c r="M1831" s="738">
        <v>308</v>
      </c>
      <c r="N1831" s="115">
        <f t="shared" si="117"/>
        <v>3.5759536119894797E-4</v>
      </c>
      <c r="O1831" s="1121">
        <f t="shared" si="120"/>
        <v>3.4568147231005909E-4</v>
      </c>
      <c r="P1831" s="1122"/>
    </row>
    <row r="1832" spans="6:16">
      <c r="F1832" s="1121">
        <f t="shared" si="119"/>
        <v>-3.2043883277844761E-3</v>
      </c>
      <c r="G1832" s="1122"/>
      <c r="H1832" s="436">
        <v>43038</v>
      </c>
      <c r="I1832" s="738">
        <v>2572.83</v>
      </c>
      <c r="J1832" s="440">
        <f t="shared" si="118"/>
        <v>-3.1924744388955872E-3</v>
      </c>
      <c r="L1832" s="436">
        <v>43038</v>
      </c>
      <c r="M1832" s="738">
        <v>308.62990000000002</v>
      </c>
      <c r="N1832" s="115">
        <f t="shared" si="117"/>
        <v>2.0451298701298359E-3</v>
      </c>
      <c r="O1832" s="1121">
        <f t="shared" si="120"/>
        <v>2.0332159812409471E-3</v>
      </c>
      <c r="P1832" s="1122"/>
    </row>
    <row r="1833" spans="6:16">
      <c r="F1833" s="1121">
        <f t="shared" si="119"/>
        <v>9.3257136664692071E-4</v>
      </c>
      <c r="G1833" s="1122"/>
      <c r="H1833" s="436">
        <v>43039</v>
      </c>
      <c r="I1833" s="738">
        <v>2575.2600000000002</v>
      </c>
      <c r="J1833" s="440">
        <f t="shared" si="118"/>
        <v>9.4448525553580964E-4</v>
      </c>
      <c r="L1833" s="436">
        <v>43039</v>
      </c>
      <c r="M1833" s="738">
        <v>308.15989999999999</v>
      </c>
      <c r="N1833" s="115">
        <f t="shared" si="117"/>
        <v>-1.52285958035836E-3</v>
      </c>
      <c r="O1833" s="1121">
        <f t="shared" si="120"/>
        <v>-1.5347734692472488E-3</v>
      </c>
      <c r="P1833" s="1122"/>
    </row>
    <row r="1834" spans="6:16">
      <c r="F1834" s="1121">
        <f t="shared" si="119"/>
        <v>1.5801583678928181E-3</v>
      </c>
      <c r="G1834" s="1122"/>
      <c r="H1834" s="436">
        <v>43040</v>
      </c>
      <c r="I1834" s="738">
        <v>2579.36</v>
      </c>
      <c r="J1834" s="440">
        <f t="shared" si="118"/>
        <v>1.5920722567817069E-3</v>
      </c>
      <c r="L1834" s="436">
        <v>43040</v>
      </c>
      <c r="M1834" s="738">
        <v>306.6001</v>
      </c>
      <c r="N1834" s="115">
        <f t="shared" si="117"/>
        <v>-5.0616579249928018E-3</v>
      </c>
      <c r="O1834" s="1121">
        <f t="shared" si="120"/>
        <v>-5.073571813881691E-3</v>
      </c>
      <c r="P1834" s="1122"/>
    </row>
    <row r="1835" spans="6:16">
      <c r="F1835" s="1121">
        <f t="shared" si="119"/>
        <v>1.780557159741717E-4</v>
      </c>
      <c r="G1835" s="1122"/>
      <c r="H1835" s="436">
        <v>43041</v>
      </c>
      <c r="I1835" s="738">
        <v>2579.85</v>
      </c>
      <c r="J1835" s="440">
        <f t="shared" si="118"/>
        <v>1.8996960486306058E-4</v>
      </c>
      <c r="L1835" s="436">
        <v>43041</v>
      </c>
      <c r="M1835" s="738">
        <v>310.86009999999999</v>
      </c>
      <c r="N1835" s="115">
        <f t="shared" si="117"/>
        <v>1.3894320321487186E-2</v>
      </c>
      <c r="O1835" s="1121">
        <f t="shared" si="120"/>
        <v>1.3882406432598297E-2</v>
      </c>
      <c r="P1835" s="1122"/>
    </row>
    <row r="1836" spans="6:16">
      <c r="F1836" s="1121">
        <f t="shared" si="119"/>
        <v>3.0851653986666487E-3</v>
      </c>
      <c r="G1836" s="1122"/>
      <c r="H1836" s="436">
        <v>43042</v>
      </c>
      <c r="I1836" s="738">
        <v>2587.84</v>
      </c>
      <c r="J1836" s="440">
        <f t="shared" si="118"/>
        <v>3.0970792875555375E-3</v>
      </c>
      <c r="L1836" s="436">
        <v>43042</v>
      </c>
      <c r="M1836" s="738">
        <v>309.99</v>
      </c>
      <c r="N1836" s="115">
        <f t="shared" si="117"/>
        <v>-2.7990082998750054E-3</v>
      </c>
      <c r="O1836" s="1121">
        <f t="shared" si="120"/>
        <v>-2.8109221887638943E-3</v>
      </c>
      <c r="P1836" s="1122"/>
    </row>
    <row r="1837" spans="6:16">
      <c r="F1837" s="1121">
        <f t="shared" si="119"/>
        <v>1.2594166415921186E-3</v>
      </c>
      <c r="G1837" s="1122"/>
      <c r="H1837" s="436">
        <v>43045</v>
      </c>
      <c r="I1837" s="738">
        <v>2591.13</v>
      </c>
      <c r="J1837" s="440">
        <f t="shared" si="118"/>
        <v>1.2713305304810074E-3</v>
      </c>
      <c r="L1837" s="436">
        <v>43045</v>
      </c>
      <c r="M1837" s="738">
        <v>310.08010000000002</v>
      </c>
      <c r="N1837" s="115">
        <f t="shared" si="117"/>
        <v>2.9065453724319568E-4</v>
      </c>
      <c r="O1837" s="1121">
        <f t="shared" si="120"/>
        <v>2.787406483543068E-4</v>
      </c>
      <c r="P1837" s="1122"/>
    </row>
    <row r="1838" spans="6:16">
      <c r="F1838" s="1121">
        <f t="shared" si="119"/>
        <v>-2.0102057207350331E-4</v>
      </c>
      <c r="G1838" s="1122"/>
      <c r="H1838" s="436">
        <v>43046</v>
      </c>
      <c r="I1838" s="738">
        <v>2590.64</v>
      </c>
      <c r="J1838" s="440">
        <f t="shared" si="118"/>
        <v>-1.8910668318461443E-4</v>
      </c>
      <c r="L1838" s="436">
        <v>43046</v>
      </c>
      <c r="M1838" s="738">
        <v>313.29000000000002</v>
      </c>
      <c r="N1838" s="115">
        <f t="shared" si="117"/>
        <v>1.035184134680045E-2</v>
      </c>
      <c r="O1838" s="1121">
        <f t="shared" si="120"/>
        <v>1.0339927457911562E-2</v>
      </c>
      <c r="P1838" s="1122"/>
    </row>
    <row r="1839" spans="6:16">
      <c r="F1839" s="1121">
        <f t="shared" si="119"/>
        <v>1.4317448209281085E-3</v>
      </c>
      <c r="G1839" s="1122"/>
      <c r="H1839" s="436">
        <v>43047</v>
      </c>
      <c r="I1839" s="738">
        <v>2594.38</v>
      </c>
      <c r="J1839" s="440">
        <f t="shared" si="118"/>
        <v>1.4436587098169973E-3</v>
      </c>
      <c r="L1839" s="436">
        <v>43047</v>
      </c>
      <c r="M1839" s="738">
        <v>315.63990000000001</v>
      </c>
      <c r="N1839" s="115">
        <f t="shared" si="117"/>
        <v>7.5007181844297666E-3</v>
      </c>
      <c r="O1839" s="1121">
        <f t="shared" si="120"/>
        <v>7.4888042955408773E-3</v>
      </c>
      <c r="P1839" s="1122"/>
    </row>
    <row r="1840" spans="6:16">
      <c r="F1840" s="1121">
        <f t="shared" si="119"/>
        <v>-3.7738917024706738E-3</v>
      </c>
      <c r="G1840" s="1122"/>
      <c r="H1840" s="436">
        <v>43048</v>
      </c>
      <c r="I1840" s="738">
        <v>2584.62</v>
      </c>
      <c r="J1840" s="440">
        <f t="shared" si="118"/>
        <v>-3.761977813581785E-3</v>
      </c>
      <c r="L1840" s="436">
        <v>43048</v>
      </c>
      <c r="M1840" s="738">
        <v>311.08010000000002</v>
      </c>
      <c r="N1840" s="115">
        <f t="shared" si="117"/>
        <v>-1.4446209113613273E-2</v>
      </c>
      <c r="O1840" s="1121">
        <f t="shared" si="120"/>
        <v>-1.4458123002502161E-2</v>
      </c>
      <c r="P1840" s="1122"/>
    </row>
    <row r="1841" spans="6:16">
      <c r="F1841" s="1121">
        <f t="shared" si="119"/>
        <v>-9.0953133361949183E-4</v>
      </c>
      <c r="G1841" s="1122"/>
      <c r="H1841" s="436">
        <v>43049</v>
      </c>
      <c r="I1841" s="738">
        <v>2582.3000000000002</v>
      </c>
      <c r="J1841" s="440">
        <f t="shared" si="118"/>
        <v>-8.976174447306029E-4</v>
      </c>
      <c r="L1841" s="436">
        <v>43049</v>
      </c>
      <c r="M1841" s="738">
        <v>311.16989999999998</v>
      </c>
      <c r="N1841" s="115">
        <f t="shared" ref="N1841:N1904" si="121">M1841/M1840-1</f>
        <v>2.886716315186888E-4</v>
      </c>
      <c r="O1841" s="1121">
        <f t="shared" si="120"/>
        <v>2.7675774262979992E-4</v>
      </c>
      <c r="P1841" s="1122"/>
    </row>
    <row r="1842" spans="6:16">
      <c r="F1842" s="1121">
        <f t="shared" si="119"/>
        <v>9.717053652643562E-4</v>
      </c>
      <c r="G1842" s="1122"/>
      <c r="H1842" s="436">
        <v>43052</v>
      </c>
      <c r="I1842" s="738">
        <v>2584.84</v>
      </c>
      <c r="J1842" s="440">
        <f t="shared" si="118"/>
        <v>9.8361925415324514E-4</v>
      </c>
      <c r="L1842" s="436">
        <v>43052</v>
      </c>
      <c r="M1842" s="738">
        <v>312.95</v>
      </c>
      <c r="N1842" s="115">
        <f t="shared" si="121"/>
        <v>5.7206689978690495E-3</v>
      </c>
      <c r="O1842" s="1121">
        <f t="shared" si="120"/>
        <v>5.7087551089801602E-3</v>
      </c>
      <c r="P1842" s="1122"/>
    </row>
    <row r="1843" spans="6:16">
      <c r="F1843" s="1121">
        <f t="shared" si="119"/>
        <v>-2.3215346004223998E-3</v>
      </c>
      <c r="G1843" s="1122"/>
      <c r="H1843" s="436">
        <v>43053</v>
      </c>
      <c r="I1843" s="738">
        <v>2578.87</v>
      </c>
      <c r="J1843" s="440">
        <f t="shared" si="118"/>
        <v>-2.309620711533511E-3</v>
      </c>
      <c r="L1843" s="436">
        <v>43053</v>
      </c>
      <c r="M1843" s="738">
        <v>313.74</v>
      </c>
      <c r="N1843" s="115">
        <f t="shared" si="121"/>
        <v>2.5243649145232361E-3</v>
      </c>
      <c r="O1843" s="1121">
        <f t="shared" si="120"/>
        <v>2.5124510256343473E-3</v>
      </c>
      <c r="P1843" s="1122"/>
    </row>
    <row r="1844" spans="6:16">
      <c r="F1844" s="1121">
        <f t="shared" si="119"/>
        <v>-5.5375898632497112E-3</v>
      </c>
      <c r="G1844" s="1122"/>
      <c r="H1844" s="436">
        <v>43054</v>
      </c>
      <c r="I1844" s="738">
        <v>2564.62</v>
      </c>
      <c r="J1844" s="440">
        <f t="shared" si="118"/>
        <v>-5.5256759743608219E-3</v>
      </c>
      <c r="L1844" s="436">
        <v>43054</v>
      </c>
      <c r="M1844" s="738">
        <v>310.63990000000001</v>
      </c>
      <c r="N1844" s="115">
        <f t="shared" si="121"/>
        <v>-9.8811117485816391E-3</v>
      </c>
      <c r="O1844" s="1121">
        <f t="shared" si="120"/>
        <v>-9.8930256374705275E-3</v>
      </c>
      <c r="P1844" s="1122"/>
    </row>
    <row r="1845" spans="6:16">
      <c r="F1845" s="1121">
        <f t="shared" si="119"/>
        <v>8.1842321288446637E-3</v>
      </c>
      <c r="G1845" s="1122"/>
      <c r="H1845" s="436">
        <v>43055</v>
      </c>
      <c r="I1845" s="738">
        <v>2585.64</v>
      </c>
      <c r="J1845" s="440">
        <f t="shared" si="118"/>
        <v>8.1961460177335521E-3</v>
      </c>
      <c r="L1845" s="436">
        <v>43055</v>
      </c>
      <c r="M1845" s="738">
        <v>312.6499</v>
      </c>
      <c r="N1845" s="115">
        <f t="shared" si="121"/>
        <v>6.4705145733050529E-3</v>
      </c>
      <c r="O1845" s="1121">
        <f t="shared" si="120"/>
        <v>6.4586006844161636E-3</v>
      </c>
      <c r="P1845" s="1122"/>
    </row>
    <row r="1846" spans="6:16">
      <c r="F1846" s="1121">
        <f t="shared" si="119"/>
        <v>-2.6379561840266315E-3</v>
      </c>
      <c r="G1846" s="1122"/>
      <c r="H1846" s="436">
        <v>43056</v>
      </c>
      <c r="I1846" s="738">
        <v>2578.85</v>
      </c>
      <c r="J1846" s="440">
        <f t="shared" si="118"/>
        <v>-2.6260422951377427E-3</v>
      </c>
      <c r="L1846" s="436">
        <v>43056</v>
      </c>
      <c r="M1846" s="738">
        <v>309.7</v>
      </c>
      <c r="N1846" s="115">
        <f t="shared" si="121"/>
        <v>-9.4351541452596388E-3</v>
      </c>
      <c r="O1846" s="1121">
        <f t="shared" si="120"/>
        <v>-9.4470680341485272E-3</v>
      </c>
      <c r="P1846" s="1122"/>
    </row>
    <row r="1847" spans="6:16">
      <c r="F1847" s="1121">
        <f t="shared" si="119"/>
        <v>1.2638485633670242E-3</v>
      </c>
      <c r="G1847" s="1122"/>
      <c r="H1847" s="436">
        <v>43059</v>
      </c>
      <c r="I1847" s="738">
        <v>2582.14</v>
      </c>
      <c r="J1847" s="440">
        <f t="shared" si="118"/>
        <v>1.275762452255913E-3</v>
      </c>
      <c r="L1847" s="436">
        <v>43059</v>
      </c>
      <c r="M1847" s="738">
        <v>314.6499</v>
      </c>
      <c r="N1847" s="115">
        <f t="shared" si="121"/>
        <v>1.5982886664514195E-2</v>
      </c>
      <c r="O1847" s="1121">
        <f t="shared" si="120"/>
        <v>1.5970972775625307E-2</v>
      </c>
      <c r="P1847" s="1122"/>
    </row>
    <row r="1848" spans="6:16">
      <c r="F1848" s="1121">
        <f t="shared" si="119"/>
        <v>6.5291721870018781E-3</v>
      </c>
      <c r="G1848" s="1122"/>
      <c r="H1848" s="436">
        <v>43060</v>
      </c>
      <c r="I1848" s="738">
        <v>2599.0300000000002</v>
      </c>
      <c r="J1848" s="440">
        <f t="shared" si="118"/>
        <v>6.5410860758907674E-3</v>
      </c>
      <c r="L1848" s="436">
        <v>43060</v>
      </c>
      <c r="M1848" s="738">
        <v>316.93990000000002</v>
      </c>
      <c r="N1848" s="115">
        <f t="shared" si="121"/>
        <v>7.277930169372393E-3</v>
      </c>
      <c r="O1848" s="1121">
        <f t="shared" si="120"/>
        <v>7.2660162804835038E-3</v>
      </c>
      <c r="P1848" s="1122"/>
    </row>
    <row r="1849" spans="6:16">
      <c r="F1849" s="1121">
        <f t="shared" si="119"/>
        <v>-7.6219380101006566E-4</v>
      </c>
      <c r="G1849" s="1122"/>
      <c r="H1849" s="436">
        <v>43061</v>
      </c>
      <c r="I1849" s="738">
        <v>2597.08</v>
      </c>
      <c r="J1849" s="440">
        <f t="shared" si="118"/>
        <v>-7.5027991212117673E-4</v>
      </c>
      <c r="L1849" s="436">
        <v>43061</v>
      </c>
      <c r="M1849" s="738">
        <v>314.87009999999998</v>
      </c>
      <c r="N1849" s="115">
        <f t="shared" si="121"/>
        <v>-6.5305756706556251E-3</v>
      </c>
      <c r="O1849" s="1121">
        <f t="shared" si="120"/>
        <v>-6.5424895595445143E-3</v>
      </c>
      <c r="P1849" s="1122"/>
    </row>
    <row r="1850" spans="6:16">
      <c r="F1850" s="1121">
        <f t="shared" si="119"/>
        <v>-1.1913888888888887E-5</v>
      </c>
      <c r="G1850" s="1122"/>
      <c r="H1850" s="436">
        <v>43062</v>
      </c>
      <c r="I1850" s="738">
        <v>2597.08</v>
      </c>
      <c r="J1850" s="440">
        <f t="shared" si="118"/>
        <v>0</v>
      </c>
      <c r="L1850" s="436">
        <v>43062</v>
      </c>
      <c r="M1850" s="738">
        <v>314.87009999999998</v>
      </c>
      <c r="N1850" s="115">
        <f t="shared" si="121"/>
        <v>0</v>
      </c>
      <c r="O1850" s="1121">
        <f t="shared" si="120"/>
        <v>-1.1913888888888887E-5</v>
      </c>
      <c r="P1850" s="1122"/>
    </row>
    <row r="1851" spans="6:16">
      <c r="F1851" s="1121">
        <f t="shared" si="119"/>
        <v>2.0442414856086592E-3</v>
      </c>
      <c r="G1851" s="1122"/>
      <c r="H1851" s="436">
        <v>43063</v>
      </c>
      <c r="I1851" s="738">
        <v>2602.42</v>
      </c>
      <c r="J1851" s="440">
        <f t="shared" si="118"/>
        <v>2.056155374497548E-3</v>
      </c>
      <c r="L1851" s="436">
        <v>43063</v>
      </c>
      <c r="M1851" s="738">
        <v>315.82010000000002</v>
      </c>
      <c r="N1851" s="115">
        <f t="shared" si="121"/>
        <v>3.0171172175448291E-3</v>
      </c>
      <c r="O1851" s="1121">
        <f t="shared" si="120"/>
        <v>3.0052033286559403E-3</v>
      </c>
      <c r="P1851" s="1122"/>
    </row>
    <row r="1852" spans="6:16">
      <c r="F1852" s="1121">
        <f t="shared" si="119"/>
        <v>-3.961716182331395E-4</v>
      </c>
      <c r="G1852" s="1122"/>
      <c r="H1852" s="436">
        <v>43066</v>
      </c>
      <c r="I1852" s="738">
        <v>2601.42</v>
      </c>
      <c r="J1852" s="440">
        <f t="shared" si="118"/>
        <v>-3.8425772934425062E-4</v>
      </c>
      <c r="L1852" s="436">
        <v>43066</v>
      </c>
      <c r="M1852" s="738">
        <v>316.7</v>
      </c>
      <c r="N1852" s="115">
        <f t="shared" si="121"/>
        <v>2.7860797966943185E-3</v>
      </c>
      <c r="O1852" s="1121">
        <f t="shared" si="120"/>
        <v>2.7741659078054297E-3</v>
      </c>
      <c r="P1852" s="1122"/>
    </row>
    <row r="1853" spans="6:16">
      <c r="F1853" s="1121">
        <f t="shared" si="119"/>
        <v>9.836553486621262E-3</v>
      </c>
      <c r="G1853" s="1122"/>
      <c r="H1853" s="436">
        <v>43067</v>
      </c>
      <c r="I1853" s="738">
        <v>2627.04</v>
      </c>
      <c r="J1853" s="440">
        <f t="shared" si="118"/>
        <v>9.8484673755101504E-3</v>
      </c>
      <c r="L1853" s="436">
        <v>43067</v>
      </c>
      <c r="M1853" s="738">
        <v>319.01</v>
      </c>
      <c r="N1853" s="115">
        <f t="shared" si="121"/>
        <v>7.2939690558888604E-3</v>
      </c>
      <c r="O1853" s="1121">
        <f t="shared" si="120"/>
        <v>7.2820551669999711E-3</v>
      </c>
      <c r="P1853" s="1122"/>
    </row>
    <row r="1854" spans="6:16">
      <c r="F1854" s="1121">
        <f t="shared" si="119"/>
        <v>-3.8115074862444441E-4</v>
      </c>
      <c r="G1854" s="1122"/>
      <c r="H1854" s="436">
        <v>43068</v>
      </c>
      <c r="I1854" s="738">
        <v>2626.07</v>
      </c>
      <c r="J1854" s="440">
        <f t="shared" si="118"/>
        <v>-3.6923685973555553E-4</v>
      </c>
      <c r="L1854" s="436">
        <v>43068</v>
      </c>
      <c r="M1854" s="738">
        <v>320.76</v>
      </c>
      <c r="N1854" s="115">
        <f t="shared" si="121"/>
        <v>5.4857214507382235E-3</v>
      </c>
      <c r="O1854" s="1121">
        <f t="shared" si="120"/>
        <v>5.4738075618493342E-3</v>
      </c>
      <c r="P1854" s="1122"/>
    </row>
    <row r="1855" spans="6:16">
      <c r="F1855" s="1121">
        <f t="shared" si="119"/>
        <v>8.1790330394108032E-3</v>
      </c>
      <c r="G1855" s="1122"/>
      <c r="H1855" s="436">
        <v>43069</v>
      </c>
      <c r="I1855" s="738">
        <v>2647.58</v>
      </c>
      <c r="J1855" s="440">
        <f t="shared" si="118"/>
        <v>8.1909469282996916E-3</v>
      </c>
      <c r="L1855" s="436">
        <v>43069</v>
      </c>
      <c r="M1855" s="738">
        <v>319.12009999999998</v>
      </c>
      <c r="N1855" s="115">
        <f t="shared" si="121"/>
        <v>-5.1125452051378195E-3</v>
      </c>
      <c r="O1855" s="1121">
        <f t="shared" si="120"/>
        <v>-5.1244590940267088E-3</v>
      </c>
      <c r="P1855" s="1122"/>
    </row>
    <row r="1856" spans="6:16">
      <c r="F1856" s="1121">
        <f t="shared" si="119"/>
        <v>-2.0364041781342286E-3</v>
      </c>
      <c r="G1856" s="1122"/>
      <c r="H1856" s="436">
        <v>43070</v>
      </c>
      <c r="I1856" s="738">
        <v>2642.22</v>
      </c>
      <c r="J1856" s="440">
        <f t="shared" si="118"/>
        <v>-2.0244902892453398E-3</v>
      </c>
      <c r="L1856" s="436">
        <v>43070</v>
      </c>
      <c r="M1856" s="738">
        <v>313.57010000000002</v>
      </c>
      <c r="N1856" s="115">
        <f t="shared" si="121"/>
        <v>-1.7391571386446536E-2</v>
      </c>
      <c r="O1856" s="1121">
        <f t="shared" si="120"/>
        <v>-1.7403485275335424E-2</v>
      </c>
      <c r="P1856" s="1122"/>
    </row>
    <row r="1857" spans="6:16">
      <c r="F1857" s="1121">
        <f t="shared" si="119"/>
        <v>-1.0640594331659055E-3</v>
      </c>
      <c r="G1857" s="1122"/>
      <c r="H1857" s="436">
        <v>43073</v>
      </c>
      <c r="I1857" s="738">
        <v>2639.44</v>
      </c>
      <c r="J1857" s="440">
        <f t="shared" si="118"/>
        <v>-1.0521455442770167E-3</v>
      </c>
      <c r="L1857" s="436">
        <v>43073</v>
      </c>
      <c r="M1857" s="738">
        <v>311.77999999999997</v>
      </c>
      <c r="N1857" s="115">
        <f t="shared" si="121"/>
        <v>-5.7087713401247075E-3</v>
      </c>
      <c r="O1857" s="1121">
        <f t="shared" si="120"/>
        <v>-5.7206852290135968E-3</v>
      </c>
      <c r="P1857" s="1122"/>
    </row>
    <row r="1858" spans="6:16">
      <c r="F1858" s="1121">
        <f t="shared" si="119"/>
        <v>-3.7513434648595097E-3</v>
      </c>
      <c r="G1858" s="1122"/>
      <c r="H1858" s="436">
        <v>43074</v>
      </c>
      <c r="I1858" s="738">
        <v>2629.57</v>
      </c>
      <c r="J1858" s="440">
        <f t="shared" si="118"/>
        <v>-3.7394295759706209E-3</v>
      </c>
      <c r="L1858" s="436">
        <v>43074</v>
      </c>
      <c r="M1858" s="738">
        <v>310.13990000000001</v>
      </c>
      <c r="N1858" s="115">
        <f t="shared" si="121"/>
        <v>-5.2604400538840412E-3</v>
      </c>
      <c r="O1858" s="1121">
        <f t="shared" si="120"/>
        <v>-5.2723539427729305E-3</v>
      </c>
      <c r="P1858" s="1122"/>
    </row>
    <row r="1859" spans="6:16">
      <c r="F1859" s="1121">
        <f t="shared" si="119"/>
        <v>-1.2600098297655592E-4</v>
      </c>
      <c r="G1859" s="1122"/>
      <c r="H1859" s="436">
        <v>43075</v>
      </c>
      <c r="I1859" s="738">
        <v>2629.27</v>
      </c>
      <c r="J1859" s="440">
        <f t="shared" si="118"/>
        <v>-1.1408709408766704E-4</v>
      </c>
      <c r="L1859" s="436">
        <v>43075</v>
      </c>
      <c r="M1859" s="738">
        <v>311.97000000000003</v>
      </c>
      <c r="N1859" s="115">
        <f t="shared" si="121"/>
        <v>5.9008853746325141E-3</v>
      </c>
      <c r="O1859" s="1121">
        <f t="shared" si="120"/>
        <v>5.8889714857436248E-3</v>
      </c>
      <c r="P1859" s="1122"/>
    </row>
    <row r="1860" spans="6:16">
      <c r="F1860" s="1121">
        <f t="shared" si="119"/>
        <v>2.9204589750618719E-3</v>
      </c>
      <c r="G1860" s="1122"/>
      <c r="H1860" s="436">
        <v>43076</v>
      </c>
      <c r="I1860" s="738">
        <v>2636.98</v>
      </c>
      <c r="J1860" s="440">
        <f t="shared" si="118"/>
        <v>2.9323728639507607E-3</v>
      </c>
      <c r="L1860" s="436">
        <v>43076</v>
      </c>
      <c r="M1860" s="738">
        <v>314.41989999999998</v>
      </c>
      <c r="N1860" s="115">
        <f t="shared" si="121"/>
        <v>7.85299868577094E-3</v>
      </c>
      <c r="O1860" s="1121">
        <f t="shared" si="120"/>
        <v>7.8410847968820516E-3</v>
      </c>
      <c r="P1860" s="1122"/>
    </row>
    <row r="1861" spans="6:16">
      <c r="F1861" s="1121">
        <f t="shared" si="119"/>
        <v>5.4943849833058922E-3</v>
      </c>
      <c r="G1861" s="1122"/>
      <c r="H1861" s="436">
        <v>43077</v>
      </c>
      <c r="I1861" s="738">
        <v>2651.5</v>
      </c>
      <c r="J1861" s="440">
        <f t="shared" si="118"/>
        <v>5.5062988721947814E-3</v>
      </c>
      <c r="L1861" s="436">
        <v>43077</v>
      </c>
      <c r="M1861" s="738">
        <v>315.8501</v>
      </c>
      <c r="N1861" s="115">
        <f t="shared" si="121"/>
        <v>4.5486942779384698E-3</v>
      </c>
      <c r="O1861" s="1121">
        <f t="shared" si="120"/>
        <v>4.5367803890495806E-3</v>
      </c>
      <c r="P1861" s="1122"/>
    </row>
    <row r="1862" spans="6:16">
      <c r="F1862" s="1121">
        <f t="shared" si="119"/>
        <v>3.1900472651747928E-3</v>
      </c>
      <c r="G1862" s="1122"/>
      <c r="H1862" s="436">
        <v>43080</v>
      </c>
      <c r="I1862" s="738">
        <v>2659.99</v>
      </c>
      <c r="J1862" s="440">
        <f t="shared" si="118"/>
        <v>3.2019611540636816E-3</v>
      </c>
      <c r="L1862" s="436">
        <v>43080</v>
      </c>
      <c r="M1862" s="738">
        <v>316.16989999999998</v>
      </c>
      <c r="N1862" s="115">
        <f t="shared" si="121"/>
        <v>1.0125056157967993E-3</v>
      </c>
      <c r="O1862" s="1121">
        <f t="shared" si="120"/>
        <v>1.0005917269079105E-3</v>
      </c>
      <c r="P1862" s="1122"/>
    </row>
    <row r="1863" spans="6:16">
      <c r="F1863" s="1121">
        <f t="shared" si="119"/>
        <v>1.5369641144119465E-3</v>
      </c>
      <c r="G1863" s="1122"/>
      <c r="H1863" s="436">
        <v>43081</v>
      </c>
      <c r="I1863" s="738">
        <v>2664.11</v>
      </c>
      <c r="J1863" s="440">
        <f t="shared" si="118"/>
        <v>1.5488780033008354E-3</v>
      </c>
      <c r="L1863" s="436">
        <v>43081</v>
      </c>
      <c r="M1863" s="738">
        <v>315.88990000000001</v>
      </c>
      <c r="N1863" s="115">
        <f t="shared" si="121"/>
        <v>-8.8559979934832445E-4</v>
      </c>
      <c r="O1863" s="1121">
        <f t="shared" si="120"/>
        <v>-8.9751368823721338E-4</v>
      </c>
      <c r="P1863" s="1122"/>
    </row>
    <row r="1864" spans="6:16">
      <c r="F1864" s="1121">
        <f t="shared" si="119"/>
        <v>-4.8486733300346551E-4</v>
      </c>
      <c r="G1864" s="1122"/>
      <c r="H1864" s="436">
        <v>43082</v>
      </c>
      <c r="I1864" s="738">
        <v>2662.85</v>
      </c>
      <c r="J1864" s="440">
        <f t="shared" si="118"/>
        <v>-4.7295344411457663E-4</v>
      </c>
      <c r="L1864" s="436">
        <v>43082</v>
      </c>
      <c r="M1864" s="738">
        <v>317.79000000000002</v>
      </c>
      <c r="N1864" s="115">
        <f t="shared" si="121"/>
        <v>6.0150704406820577E-3</v>
      </c>
      <c r="O1864" s="1121">
        <f t="shared" si="120"/>
        <v>6.0031565517931684E-3</v>
      </c>
      <c r="P1864" s="1122"/>
    </row>
    <row r="1865" spans="6:16">
      <c r="F1865" s="1121">
        <f t="shared" si="119"/>
        <v>-4.0827402591311424E-3</v>
      </c>
      <c r="G1865" s="1122"/>
      <c r="H1865" s="436">
        <v>43083</v>
      </c>
      <c r="I1865" s="738">
        <v>2652.01</v>
      </c>
      <c r="J1865" s="440">
        <f t="shared" si="118"/>
        <v>-4.0708263702422531E-3</v>
      </c>
      <c r="L1865" s="436">
        <v>43083</v>
      </c>
      <c r="M1865" s="738">
        <v>317.01</v>
      </c>
      <c r="N1865" s="115">
        <f t="shared" si="121"/>
        <v>-2.4544510525820185E-3</v>
      </c>
      <c r="O1865" s="1121">
        <f t="shared" si="120"/>
        <v>-2.4663649414709073E-3</v>
      </c>
      <c r="P1865" s="1122"/>
    </row>
    <row r="1866" spans="6:16">
      <c r="F1866" s="1121">
        <f t="shared" si="119"/>
        <v>8.9624112456315672E-3</v>
      </c>
      <c r="G1866" s="1122"/>
      <c r="H1866" s="436">
        <v>43084</v>
      </c>
      <c r="I1866" s="738">
        <v>2675.81</v>
      </c>
      <c r="J1866" s="440">
        <f t="shared" si="118"/>
        <v>8.9743251345204555E-3</v>
      </c>
      <c r="L1866" s="436">
        <v>43084</v>
      </c>
      <c r="M1866" s="738">
        <v>322.82010000000002</v>
      </c>
      <c r="N1866" s="115">
        <f t="shared" si="121"/>
        <v>1.8327813002744442E-2</v>
      </c>
      <c r="O1866" s="1121">
        <f t="shared" si="120"/>
        <v>1.8315899113855554E-2</v>
      </c>
      <c r="P1866" s="1122"/>
    </row>
    <row r="1867" spans="6:16">
      <c r="F1867" s="1121">
        <f t="shared" si="119"/>
        <v>5.3509481977315121E-3</v>
      </c>
      <c r="G1867" s="1122"/>
      <c r="H1867" s="436">
        <v>43087</v>
      </c>
      <c r="I1867" s="738">
        <v>2690.16</v>
      </c>
      <c r="J1867" s="440">
        <f t="shared" si="118"/>
        <v>5.3628620866204013E-3</v>
      </c>
      <c r="L1867" s="436">
        <v>43087</v>
      </c>
      <c r="M1867" s="738">
        <v>322.76</v>
      </c>
      <c r="N1867" s="115">
        <f t="shared" si="121"/>
        <v>-1.8617180280910972E-4</v>
      </c>
      <c r="O1867" s="1121">
        <f t="shared" si="120"/>
        <v>-1.980856916979986E-4</v>
      </c>
      <c r="P1867" s="1122"/>
    </row>
    <row r="1868" spans="6:16">
      <c r="F1868" s="1121">
        <f t="shared" si="119"/>
        <v>-3.2422050239886498E-3</v>
      </c>
      <c r="G1868" s="1122"/>
      <c r="H1868" s="436">
        <v>43088</v>
      </c>
      <c r="I1868" s="738">
        <v>2681.47</v>
      </c>
      <c r="J1868" s="440">
        <f t="shared" si="118"/>
        <v>-3.230291135099761E-3</v>
      </c>
      <c r="L1868" s="436">
        <v>43088</v>
      </c>
      <c r="M1868" s="738">
        <v>319.97000000000003</v>
      </c>
      <c r="N1868" s="115">
        <f t="shared" si="121"/>
        <v>-8.6441938282313391E-3</v>
      </c>
      <c r="O1868" s="1121">
        <f t="shared" si="120"/>
        <v>-8.6561077171202275E-3</v>
      </c>
      <c r="P1868" s="1122"/>
    </row>
    <row r="1869" spans="6:16">
      <c r="F1869" s="1121">
        <f t="shared" si="119"/>
        <v>-8.3981798626820618E-4</v>
      </c>
      <c r="G1869" s="1122"/>
      <c r="H1869" s="436">
        <v>43089</v>
      </c>
      <c r="I1869" s="738">
        <v>2679.25</v>
      </c>
      <c r="J1869" s="440">
        <f t="shared" si="118"/>
        <v>-8.2790409737931725E-4</v>
      </c>
      <c r="L1869" s="436">
        <v>43089</v>
      </c>
      <c r="M1869" s="738">
        <v>317.72000000000003</v>
      </c>
      <c r="N1869" s="115">
        <f t="shared" si="121"/>
        <v>-7.0319092414914408E-3</v>
      </c>
      <c r="O1869" s="1121">
        <f t="shared" si="120"/>
        <v>-7.0438231303803301E-3</v>
      </c>
      <c r="P1869" s="1122"/>
    </row>
    <row r="1870" spans="6:16">
      <c r="F1870" s="1121">
        <f t="shared" si="119"/>
        <v>1.9737164181000614E-3</v>
      </c>
      <c r="G1870" s="1122"/>
      <c r="H1870" s="436">
        <v>43090</v>
      </c>
      <c r="I1870" s="738">
        <v>2684.57</v>
      </c>
      <c r="J1870" s="440">
        <f t="shared" si="118"/>
        <v>1.9856303069889503E-3</v>
      </c>
      <c r="L1870" s="436">
        <v>43090</v>
      </c>
      <c r="M1870" s="738">
        <v>317.18990000000002</v>
      </c>
      <c r="N1870" s="115">
        <f t="shared" si="121"/>
        <v>-1.6684502077300989E-3</v>
      </c>
      <c r="O1870" s="1121">
        <f t="shared" si="120"/>
        <v>-1.6803640966189877E-3</v>
      </c>
      <c r="P1870" s="1122"/>
    </row>
    <row r="1871" spans="6:16">
      <c r="F1871" s="1121">
        <f t="shared" si="119"/>
        <v>-4.7008782363445377E-4</v>
      </c>
      <c r="G1871" s="1122"/>
      <c r="H1871" s="436">
        <v>43091</v>
      </c>
      <c r="I1871" s="738">
        <v>2683.34</v>
      </c>
      <c r="J1871" s="440">
        <f t="shared" si="118"/>
        <v>-4.5817393474556489E-4</v>
      </c>
      <c r="L1871" s="436">
        <v>43091</v>
      </c>
      <c r="M1871" s="738">
        <v>318.02999999999997</v>
      </c>
      <c r="N1871" s="115">
        <f t="shared" si="121"/>
        <v>2.6485710925849837E-3</v>
      </c>
      <c r="O1871" s="1121">
        <f t="shared" si="120"/>
        <v>2.6366572036960949E-3</v>
      </c>
      <c r="P1871" s="1122"/>
    </row>
    <row r="1872" spans="6:16">
      <c r="F1872" s="1121">
        <f t="shared" si="119"/>
        <v>-1.1913888888888887E-5</v>
      </c>
      <c r="G1872" s="1122"/>
      <c r="H1872" s="436">
        <v>43094</v>
      </c>
      <c r="I1872" s="738">
        <v>2683.34</v>
      </c>
      <c r="J1872" s="440">
        <f t="shared" si="118"/>
        <v>0</v>
      </c>
      <c r="L1872" s="436">
        <v>43094</v>
      </c>
      <c r="M1872" s="738">
        <v>318.02999999999997</v>
      </c>
      <c r="N1872" s="115">
        <f t="shared" si="121"/>
        <v>0</v>
      </c>
      <c r="O1872" s="1121">
        <f t="shared" si="120"/>
        <v>-1.1913888888888887E-5</v>
      </c>
      <c r="P1872" s="1122"/>
    </row>
    <row r="1873" spans="6:16">
      <c r="F1873" s="1121">
        <f t="shared" si="119"/>
        <v>-1.0702963525349792E-3</v>
      </c>
      <c r="G1873" s="1122"/>
      <c r="H1873" s="436">
        <v>43095</v>
      </c>
      <c r="I1873" s="738">
        <v>2680.5</v>
      </c>
      <c r="J1873" s="440">
        <f t="shared" si="118"/>
        <v>-1.0583824636460903E-3</v>
      </c>
      <c r="L1873" s="436">
        <v>43095</v>
      </c>
      <c r="M1873" s="738">
        <v>318.51</v>
      </c>
      <c r="N1873" s="115">
        <f t="shared" si="121"/>
        <v>1.5092915762664472E-3</v>
      </c>
      <c r="O1873" s="1121">
        <f t="shared" si="120"/>
        <v>1.4973776873775583E-3</v>
      </c>
      <c r="P1873" s="1122"/>
    </row>
    <row r="1874" spans="6:16">
      <c r="F1874" s="1121">
        <f t="shared" si="119"/>
        <v>7.7898333177894104E-4</v>
      </c>
      <c r="G1874" s="1122"/>
      <c r="H1874" s="436">
        <v>43096</v>
      </c>
      <c r="I1874" s="738">
        <v>2682.62</v>
      </c>
      <c r="J1874" s="440">
        <f t="shared" si="118"/>
        <v>7.9089722066782997E-4</v>
      </c>
      <c r="L1874" s="436">
        <v>43096</v>
      </c>
      <c r="M1874" s="738">
        <v>319.43990000000002</v>
      </c>
      <c r="N1874" s="115">
        <f t="shared" si="121"/>
        <v>2.9195315688677059E-3</v>
      </c>
      <c r="O1874" s="1121">
        <f t="shared" si="120"/>
        <v>2.9076176799788171E-3</v>
      </c>
      <c r="P1874" s="1122"/>
    </row>
    <row r="1875" spans="6:16">
      <c r="F1875" s="1121">
        <f t="shared" si="119"/>
        <v>1.8221140390323113E-3</v>
      </c>
      <c r="G1875" s="1122"/>
      <c r="H1875" s="436">
        <v>43097</v>
      </c>
      <c r="I1875" s="738">
        <v>2687.54</v>
      </c>
      <c r="J1875" s="440">
        <f t="shared" si="118"/>
        <v>1.8340279279212002E-3</v>
      </c>
      <c r="L1875" s="436">
        <v>43097</v>
      </c>
      <c r="M1875" s="738">
        <v>322.1001</v>
      </c>
      <c r="N1875" s="115">
        <f t="shared" si="121"/>
        <v>8.3277010792952577E-3</v>
      </c>
      <c r="O1875" s="1121">
        <f t="shared" si="120"/>
        <v>8.3157871904063693E-3</v>
      </c>
      <c r="P1875" s="1122"/>
    </row>
    <row r="1876" spans="6:16">
      <c r="F1876" s="1121">
        <f t="shared" si="119"/>
        <v>-5.195092557857447E-3</v>
      </c>
      <c r="G1876" s="1122"/>
      <c r="H1876" s="436">
        <v>43098</v>
      </c>
      <c r="I1876" s="738">
        <v>2673.61</v>
      </c>
      <c r="J1876" s="440">
        <f t="shared" si="118"/>
        <v>-5.1831786689685577E-3</v>
      </c>
      <c r="L1876" s="436">
        <v>43098</v>
      </c>
      <c r="M1876" s="738">
        <v>321.05</v>
      </c>
      <c r="N1876" s="115">
        <f t="shared" si="121"/>
        <v>-3.2601666376383953E-3</v>
      </c>
      <c r="O1876" s="1121">
        <f t="shared" si="120"/>
        <v>-3.2720805265272841E-3</v>
      </c>
      <c r="P1876" s="1122"/>
    </row>
    <row r="1877" spans="6:16">
      <c r="F1877" s="1121">
        <f t="shared" si="119"/>
        <v>-1.1913888888888887E-5</v>
      </c>
      <c r="G1877" s="1122"/>
      <c r="H1877" s="436">
        <v>43101</v>
      </c>
      <c r="I1877" s="738">
        <v>2673.61</v>
      </c>
      <c r="J1877" s="440">
        <f t="shared" si="118"/>
        <v>0</v>
      </c>
      <c r="L1877" s="436">
        <v>43101</v>
      </c>
      <c r="M1877" s="738">
        <v>321.05</v>
      </c>
      <c r="N1877" s="115">
        <f t="shared" si="121"/>
        <v>0</v>
      </c>
      <c r="O1877" s="1121">
        <f t="shared" si="120"/>
        <v>-1.1913888888888887E-5</v>
      </c>
      <c r="P1877" s="1122"/>
    </row>
    <row r="1878" spans="6:16">
      <c r="F1878" s="1121">
        <f t="shared" si="119"/>
        <v>8.2914661852430058E-3</v>
      </c>
      <c r="G1878" s="1122"/>
      <c r="H1878" s="436">
        <v>43102</v>
      </c>
      <c r="I1878" s="738">
        <v>2695.81</v>
      </c>
      <c r="J1878" s="440">
        <f t="shared" si="118"/>
        <v>8.3033800741318942E-3</v>
      </c>
      <c r="L1878" s="436">
        <v>43102</v>
      </c>
      <c r="M1878" s="738">
        <v>318.54000000000002</v>
      </c>
      <c r="N1878" s="115">
        <f t="shared" si="121"/>
        <v>-7.818096869646407E-3</v>
      </c>
      <c r="O1878" s="1121">
        <f t="shared" si="120"/>
        <v>-7.8300107585352954E-3</v>
      </c>
      <c r="P1878" s="1122"/>
    </row>
    <row r="1879" spans="6:16">
      <c r="F1879" s="1121">
        <f t="shared" si="119"/>
        <v>6.3869050189718701E-3</v>
      </c>
      <c r="G1879" s="1122"/>
      <c r="H1879" s="436">
        <v>43103</v>
      </c>
      <c r="I1879" s="738">
        <v>2713.06</v>
      </c>
      <c r="J1879" s="440">
        <f t="shared" si="118"/>
        <v>6.3988189078607594E-3</v>
      </c>
      <c r="L1879" s="436">
        <v>43103</v>
      </c>
      <c r="M1879" s="738">
        <v>321.20999999999998</v>
      </c>
      <c r="N1879" s="115">
        <f t="shared" si="121"/>
        <v>8.3819928423429779E-3</v>
      </c>
      <c r="O1879" s="1121">
        <f t="shared" si="120"/>
        <v>8.3700789534540895E-3</v>
      </c>
      <c r="P1879" s="1122"/>
    </row>
    <row r="1880" spans="6:16">
      <c r="F1880" s="1121">
        <f t="shared" si="119"/>
        <v>4.0167474750322152E-3</v>
      </c>
      <c r="G1880" s="1122"/>
      <c r="H1880" s="436">
        <v>43104</v>
      </c>
      <c r="I1880" s="738">
        <v>2723.99</v>
      </c>
      <c r="J1880" s="440">
        <f t="shared" si="118"/>
        <v>4.0286613639211044E-3</v>
      </c>
      <c r="L1880" s="436">
        <v>43104</v>
      </c>
      <c r="M1880" s="738">
        <v>326.72000000000003</v>
      </c>
      <c r="N1880" s="115">
        <f t="shared" si="121"/>
        <v>1.7153886865290735E-2</v>
      </c>
      <c r="O1880" s="1121">
        <f t="shared" si="120"/>
        <v>1.7141972976401847E-2</v>
      </c>
      <c r="P1880" s="1122"/>
    </row>
    <row r="1881" spans="6:16">
      <c r="F1881" s="1121">
        <f t="shared" si="119"/>
        <v>7.0218857946636659E-3</v>
      </c>
      <c r="G1881" s="1122"/>
      <c r="H1881" s="436">
        <v>43105</v>
      </c>
      <c r="I1881" s="738">
        <v>2743.15</v>
      </c>
      <c r="J1881" s="440">
        <f t="shared" si="118"/>
        <v>7.0337996835525551E-3</v>
      </c>
      <c r="L1881" s="436">
        <v>43105</v>
      </c>
      <c r="M1881" s="738">
        <v>329.67989999999998</v>
      </c>
      <c r="N1881" s="115">
        <f t="shared" si="121"/>
        <v>9.0594392752201269E-3</v>
      </c>
      <c r="O1881" s="1121">
        <f t="shared" si="120"/>
        <v>9.0475253863312385E-3</v>
      </c>
      <c r="P1881" s="1122"/>
    </row>
    <row r="1882" spans="6:16">
      <c r="F1882" s="1121">
        <f t="shared" si="119"/>
        <v>1.6504086235512509E-3</v>
      </c>
      <c r="G1882" s="1122"/>
      <c r="H1882" s="436">
        <v>43108</v>
      </c>
      <c r="I1882" s="738">
        <v>2747.71</v>
      </c>
      <c r="J1882" s="440">
        <f t="shared" si="118"/>
        <v>1.6623225124401397E-3</v>
      </c>
      <c r="L1882" s="436">
        <v>43108</v>
      </c>
      <c r="M1882" s="738">
        <v>328.15989999999999</v>
      </c>
      <c r="N1882" s="115">
        <f t="shared" si="121"/>
        <v>-4.6105328228988052E-3</v>
      </c>
      <c r="O1882" s="1121">
        <f t="shared" si="120"/>
        <v>-4.6224467117876944E-3</v>
      </c>
      <c r="P1882" s="1122"/>
    </row>
    <row r="1883" spans="6:16">
      <c r="F1883" s="1121">
        <f t="shared" si="119"/>
        <v>1.290989255911749E-3</v>
      </c>
      <c r="G1883" s="1122"/>
      <c r="H1883" s="436">
        <v>43109</v>
      </c>
      <c r="I1883" s="738">
        <v>2751.29</v>
      </c>
      <c r="J1883" s="440">
        <f t="shared" si="118"/>
        <v>1.3029031448006378E-3</v>
      </c>
      <c r="L1883" s="436">
        <v>43109</v>
      </c>
      <c r="M1883" s="738">
        <v>330.51</v>
      </c>
      <c r="N1883" s="115">
        <f t="shared" si="121"/>
        <v>7.1614478185786368E-3</v>
      </c>
      <c r="O1883" s="1121">
        <f t="shared" si="120"/>
        <v>7.1495339296897475E-3</v>
      </c>
      <c r="P1883" s="1122"/>
    </row>
    <row r="1884" spans="6:16">
      <c r="F1884" s="1121">
        <f t="shared" si="119"/>
        <v>-1.1241194361049163E-3</v>
      </c>
      <c r="G1884" s="1122"/>
      <c r="H1884" s="436">
        <v>43110</v>
      </c>
      <c r="I1884" s="738">
        <v>2748.23</v>
      </c>
      <c r="J1884" s="440">
        <f t="shared" si="118"/>
        <v>-1.1122055472160275E-3</v>
      </c>
      <c r="L1884" s="436">
        <v>43110</v>
      </c>
      <c r="M1884" s="738">
        <v>331.05</v>
      </c>
      <c r="N1884" s="115">
        <f t="shared" si="121"/>
        <v>1.6338386130525517E-3</v>
      </c>
      <c r="O1884" s="1121">
        <f t="shared" si="120"/>
        <v>1.6219247241636629E-3</v>
      </c>
      <c r="P1884" s="1122"/>
    </row>
    <row r="1885" spans="6:16">
      <c r="F1885" s="1121">
        <f t="shared" si="119"/>
        <v>7.0217041125156731E-3</v>
      </c>
      <c r="G1885" s="1122"/>
      <c r="H1885" s="436">
        <v>43111</v>
      </c>
      <c r="I1885" s="738">
        <v>2767.56</v>
      </c>
      <c r="J1885" s="440">
        <f t="shared" ref="J1885:J1948" si="122">I1885/I1884-1</f>
        <v>7.0336180014045624E-3</v>
      </c>
      <c r="L1885" s="436">
        <v>43111</v>
      </c>
      <c r="M1885" s="738">
        <v>331.12990000000002</v>
      </c>
      <c r="N1885" s="115">
        <f t="shared" si="121"/>
        <v>2.4135326989882522E-4</v>
      </c>
      <c r="O1885" s="1121">
        <f t="shared" si="120"/>
        <v>2.2943938100993634E-4</v>
      </c>
      <c r="P1885" s="1122"/>
    </row>
    <row r="1886" spans="6:16">
      <c r="F1886" s="1121">
        <f t="shared" ref="F1886:F1949" si="123">J1886-$I$19</f>
        <v>6.7377139421246268E-3</v>
      </c>
      <c r="G1886" s="1122"/>
      <c r="H1886" s="436">
        <v>43112</v>
      </c>
      <c r="I1886" s="738">
        <v>2786.24</v>
      </c>
      <c r="J1886" s="440">
        <f t="shared" si="122"/>
        <v>6.749627831013516E-3</v>
      </c>
      <c r="L1886" s="436">
        <v>43112</v>
      </c>
      <c r="M1886" s="738">
        <v>336.25</v>
      </c>
      <c r="N1886" s="115">
        <f t="shared" si="121"/>
        <v>1.5462511842029292E-2</v>
      </c>
      <c r="O1886" s="1121">
        <f t="shared" ref="O1886:O1949" si="124">N1886-$I$19</f>
        <v>1.5450597953140403E-2</v>
      </c>
      <c r="P1886" s="1122"/>
    </row>
    <row r="1887" spans="6:16">
      <c r="F1887" s="1121">
        <f t="shared" si="123"/>
        <v>-1.1913888888888887E-5</v>
      </c>
      <c r="G1887" s="1122"/>
      <c r="H1887" s="436">
        <v>43115</v>
      </c>
      <c r="I1887" s="738">
        <v>2786.24</v>
      </c>
      <c r="J1887" s="440">
        <f t="shared" si="122"/>
        <v>0</v>
      </c>
      <c r="L1887" s="436">
        <v>43115</v>
      </c>
      <c r="M1887" s="738">
        <v>336.25</v>
      </c>
      <c r="N1887" s="115">
        <f t="shared" si="121"/>
        <v>0</v>
      </c>
      <c r="O1887" s="1121">
        <f t="shared" si="124"/>
        <v>-1.1913888888888887E-5</v>
      </c>
      <c r="P1887" s="1122"/>
    </row>
    <row r="1888" spans="6:16">
      <c r="F1888" s="1121">
        <f t="shared" si="123"/>
        <v>-3.5363769645749906E-3</v>
      </c>
      <c r="G1888" s="1122"/>
      <c r="H1888" s="436">
        <v>43116</v>
      </c>
      <c r="I1888" s="738">
        <v>2776.42</v>
      </c>
      <c r="J1888" s="440">
        <f t="shared" si="122"/>
        <v>-3.5244630756861017E-3</v>
      </c>
      <c r="L1888" s="436">
        <v>43116</v>
      </c>
      <c r="M1888" s="738">
        <v>330.11009999999999</v>
      </c>
      <c r="N1888" s="115">
        <f t="shared" si="121"/>
        <v>-1.8259925650557673E-2</v>
      </c>
      <c r="O1888" s="1121">
        <f t="shared" si="124"/>
        <v>-1.8271839539446562E-2</v>
      </c>
      <c r="P1888" s="1122"/>
    </row>
    <row r="1889" spans="6:16">
      <c r="F1889" s="1121">
        <f t="shared" si="123"/>
        <v>9.4030881641146077E-3</v>
      </c>
      <c r="G1889" s="1122"/>
      <c r="H1889" s="436">
        <v>43117</v>
      </c>
      <c r="I1889" s="738">
        <v>2802.56</v>
      </c>
      <c r="J1889" s="440">
        <f t="shared" si="122"/>
        <v>9.4150020530034961E-3</v>
      </c>
      <c r="L1889" s="436">
        <v>43117</v>
      </c>
      <c r="M1889" s="738">
        <v>334.86009999999999</v>
      </c>
      <c r="N1889" s="115">
        <f t="shared" si="121"/>
        <v>1.4389138654042899E-2</v>
      </c>
      <c r="O1889" s="1121">
        <f t="shared" si="124"/>
        <v>1.4377224765154011E-2</v>
      </c>
      <c r="P1889" s="1122"/>
    </row>
    <row r="1890" spans="6:16">
      <c r="F1890" s="1121">
        <f t="shared" si="123"/>
        <v>-1.6282931992336398E-3</v>
      </c>
      <c r="G1890" s="1122"/>
      <c r="H1890" s="436">
        <v>43118</v>
      </c>
      <c r="I1890" s="738">
        <v>2798.03</v>
      </c>
      <c r="J1890" s="440">
        <f t="shared" si="122"/>
        <v>-1.616379310344751E-3</v>
      </c>
      <c r="L1890" s="436">
        <v>43118</v>
      </c>
      <c r="M1890" s="738">
        <v>333</v>
      </c>
      <c r="N1890" s="115">
        <f t="shared" si="121"/>
        <v>-5.5548570880794568E-3</v>
      </c>
      <c r="O1890" s="1121">
        <f t="shared" si="124"/>
        <v>-5.566770976968346E-3</v>
      </c>
      <c r="P1890" s="1122"/>
    </row>
    <row r="1891" spans="6:16">
      <c r="F1891" s="1121">
        <f t="shared" si="123"/>
        <v>4.3733142895080379E-3</v>
      </c>
      <c r="G1891" s="1122"/>
      <c r="H1891" s="436">
        <v>43119</v>
      </c>
      <c r="I1891" s="738">
        <v>2810.3</v>
      </c>
      <c r="J1891" s="440">
        <f t="shared" si="122"/>
        <v>4.3852281783969271E-3</v>
      </c>
      <c r="L1891" s="436">
        <v>43119</v>
      </c>
      <c r="M1891" s="738">
        <v>332</v>
      </c>
      <c r="N1891" s="115">
        <f t="shared" si="121"/>
        <v>-3.0030030030030463E-3</v>
      </c>
      <c r="O1891" s="1121">
        <f t="shared" si="124"/>
        <v>-3.0149168918919352E-3</v>
      </c>
      <c r="P1891" s="1122"/>
    </row>
    <row r="1892" spans="6:16">
      <c r="F1892" s="1121">
        <f t="shared" si="123"/>
        <v>8.054840550138935E-3</v>
      </c>
      <c r="G1892" s="1122"/>
      <c r="H1892" s="436">
        <v>43122</v>
      </c>
      <c r="I1892" s="738">
        <v>2832.97</v>
      </c>
      <c r="J1892" s="440">
        <f t="shared" si="122"/>
        <v>8.0667544390278234E-3</v>
      </c>
      <c r="L1892" s="436">
        <v>43122</v>
      </c>
      <c r="M1892" s="738">
        <v>329</v>
      </c>
      <c r="N1892" s="115">
        <f t="shared" si="121"/>
        <v>-9.0361445783132543E-3</v>
      </c>
      <c r="O1892" s="1121">
        <f t="shared" si="124"/>
        <v>-9.0480584672021427E-3</v>
      </c>
      <c r="P1892" s="1122"/>
    </row>
    <row r="1893" spans="6:16">
      <c r="F1893" s="1121">
        <f t="shared" si="123"/>
        <v>2.1624825925424733E-3</v>
      </c>
      <c r="G1893" s="1122"/>
      <c r="H1893" s="436">
        <v>43123</v>
      </c>
      <c r="I1893" s="738">
        <v>2839.13</v>
      </c>
      <c r="J1893" s="440">
        <f t="shared" si="122"/>
        <v>2.1743964814313621E-3</v>
      </c>
      <c r="L1893" s="436">
        <v>43123</v>
      </c>
      <c r="M1893" s="738">
        <v>328.7</v>
      </c>
      <c r="N1893" s="115">
        <f t="shared" si="121"/>
        <v>-9.1185410334349015E-4</v>
      </c>
      <c r="O1893" s="1121">
        <f t="shared" si="124"/>
        <v>-9.2376799223237909E-4</v>
      </c>
      <c r="P1893" s="1122"/>
    </row>
    <row r="1894" spans="6:16">
      <c r="F1894" s="1121">
        <f t="shared" si="123"/>
        <v>-5.7194460252308536E-4</v>
      </c>
      <c r="G1894" s="1122"/>
      <c r="H1894" s="436">
        <v>43124</v>
      </c>
      <c r="I1894" s="738">
        <v>2837.54</v>
      </c>
      <c r="J1894" s="440">
        <f t="shared" si="122"/>
        <v>-5.6003071363419643E-4</v>
      </c>
      <c r="L1894" s="436">
        <v>43124</v>
      </c>
      <c r="M1894" s="738">
        <v>330.49</v>
      </c>
      <c r="N1894" s="115">
        <f t="shared" si="121"/>
        <v>5.4456951627623873E-3</v>
      </c>
      <c r="O1894" s="1121">
        <f t="shared" si="124"/>
        <v>5.433781273873498E-3</v>
      </c>
      <c r="P1894" s="1122"/>
    </row>
    <row r="1895" spans="6:16">
      <c r="F1895" s="1121">
        <f t="shared" si="123"/>
        <v>5.9072078762666764E-4</v>
      </c>
      <c r="G1895" s="1122"/>
      <c r="H1895" s="436">
        <v>43125</v>
      </c>
      <c r="I1895" s="738">
        <v>2839.25</v>
      </c>
      <c r="J1895" s="440">
        <f t="shared" si="122"/>
        <v>6.0263467651555658E-4</v>
      </c>
      <c r="L1895" s="436">
        <v>43125</v>
      </c>
      <c r="M1895" s="738">
        <v>334.72</v>
      </c>
      <c r="N1895" s="115">
        <f t="shared" si="121"/>
        <v>1.2799176979636284E-2</v>
      </c>
      <c r="O1895" s="1121">
        <f t="shared" si="124"/>
        <v>1.2787263090747396E-2</v>
      </c>
      <c r="P1895" s="1122"/>
    </row>
    <row r="1896" spans="6:16">
      <c r="F1896" s="1121">
        <f t="shared" si="123"/>
        <v>1.1829241345768009E-2</v>
      </c>
      <c r="G1896" s="1122"/>
      <c r="H1896" s="436">
        <v>43126</v>
      </c>
      <c r="I1896" s="738">
        <v>2872.87</v>
      </c>
      <c r="J1896" s="440">
        <f t="shared" si="122"/>
        <v>1.1841155234656897E-2</v>
      </c>
      <c r="L1896" s="436">
        <v>43126</v>
      </c>
      <c r="M1896" s="738">
        <v>344.8999</v>
      </c>
      <c r="N1896" s="115">
        <f t="shared" si="121"/>
        <v>3.0413181166347947E-2</v>
      </c>
      <c r="O1896" s="1121">
        <f t="shared" si="124"/>
        <v>3.0401267277459058E-2</v>
      </c>
      <c r="P1896" s="1122"/>
    </row>
    <row r="1897" spans="6:16">
      <c r="F1897" s="1121">
        <f t="shared" si="123"/>
        <v>-6.7438579030627633E-3</v>
      </c>
      <c r="G1897" s="1122"/>
      <c r="H1897" s="436">
        <v>43129</v>
      </c>
      <c r="I1897" s="738">
        <v>2853.53</v>
      </c>
      <c r="J1897" s="440">
        <f t="shared" si="122"/>
        <v>-6.731944014173874E-3</v>
      </c>
      <c r="L1897" s="436">
        <v>43129</v>
      </c>
      <c r="M1897" s="738">
        <v>351.41989999999998</v>
      </c>
      <c r="N1897" s="115">
        <f t="shared" si="121"/>
        <v>1.8904035634687011E-2</v>
      </c>
      <c r="O1897" s="1121">
        <f t="shared" si="124"/>
        <v>1.8892121745798122E-2</v>
      </c>
      <c r="P1897" s="1122"/>
    </row>
    <row r="1898" spans="6:16">
      <c r="F1898" s="1121">
        <f t="shared" si="123"/>
        <v>-1.0910695398107413E-2</v>
      </c>
      <c r="G1898" s="1122"/>
      <c r="H1898" s="436">
        <v>43130</v>
      </c>
      <c r="I1898" s="738">
        <v>2822.43</v>
      </c>
      <c r="J1898" s="440">
        <f t="shared" si="122"/>
        <v>-1.0898781509218525E-2</v>
      </c>
      <c r="L1898" s="436">
        <v>43130</v>
      </c>
      <c r="M1898" s="738">
        <v>350.38990000000001</v>
      </c>
      <c r="N1898" s="115">
        <f t="shared" si="121"/>
        <v>-2.9309666299488502E-3</v>
      </c>
      <c r="O1898" s="1121">
        <f t="shared" si="124"/>
        <v>-2.942880518837739E-3</v>
      </c>
      <c r="P1898" s="1122"/>
    </row>
    <row r="1899" spans="6:16">
      <c r="F1899" s="1121">
        <f t="shared" si="123"/>
        <v>4.7702649227209605E-4</v>
      </c>
      <c r="G1899" s="1122"/>
      <c r="H1899" s="436">
        <v>43131</v>
      </c>
      <c r="I1899" s="738">
        <v>2823.81</v>
      </c>
      <c r="J1899" s="440">
        <f t="shared" si="122"/>
        <v>4.8894038116098493E-4</v>
      </c>
      <c r="L1899" s="436">
        <v>43131</v>
      </c>
      <c r="M1899" s="738">
        <v>354.8501</v>
      </c>
      <c r="N1899" s="115">
        <f t="shared" si="121"/>
        <v>1.2729248188946052E-2</v>
      </c>
      <c r="O1899" s="1121">
        <f t="shared" si="124"/>
        <v>1.2717334300057163E-2</v>
      </c>
      <c r="P1899" s="1122"/>
    </row>
    <row r="1900" spans="6:16">
      <c r="F1900" s="1121">
        <f t="shared" si="123"/>
        <v>-6.599744878668176E-4</v>
      </c>
      <c r="G1900" s="1122"/>
      <c r="H1900" s="436">
        <v>43132</v>
      </c>
      <c r="I1900" s="738">
        <v>2821.98</v>
      </c>
      <c r="J1900" s="440">
        <f t="shared" si="122"/>
        <v>-6.4806059897792867E-4</v>
      </c>
      <c r="L1900" s="436">
        <v>43132</v>
      </c>
      <c r="M1900" s="738">
        <v>357.37990000000002</v>
      </c>
      <c r="N1900" s="115">
        <f t="shared" si="121"/>
        <v>7.1292075160751534E-3</v>
      </c>
      <c r="O1900" s="1121">
        <f t="shared" si="124"/>
        <v>7.1172936271862641E-3</v>
      </c>
      <c r="P1900" s="1122"/>
    </row>
    <row r="1901" spans="6:16">
      <c r="F1901" s="1121">
        <f t="shared" si="123"/>
        <v>-2.1220427060491771E-2</v>
      </c>
      <c r="G1901" s="1122"/>
      <c r="H1901" s="436">
        <v>43133</v>
      </c>
      <c r="I1901" s="738">
        <v>2762.13</v>
      </c>
      <c r="J1901" s="440">
        <f t="shared" si="122"/>
        <v>-2.1208513171602883E-2</v>
      </c>
      <c r="L1901" s="436">
        <v>43133</v>
      </c>
      <c r="M1901" s="738">
        <v>352.65989999999999</v>
      </c>
      <c r="N1901" s="115">
        <f t="shared" si="121"/>
        <v>-1.3207234094586795E-2</v>
      </c>
      <c r="O1901" s="1121">
        <f t="shared" si="124"/>
        <v>-1.3219147983475683E-2</v>
      </c>
      <c r="P1901" s="1122"/>
    </row>
    <row r="1902" spans="6:16">
      <c r="F1902" s="1121">
        <f t="shared" si="123"/>
        <v>-4.0991158167760673E-2</v>
      </c>
      <c r="G1902" s="1122"/>
      <c r="H1902" s="436">
        <v>43136</v>
      </c>
      <c r="I1902" s="738">
        <v>2648.94</v>
      </c>
      <c r="J1902" s="440">
        <f t="shared" si="122"/>
        <v>-4.0979244278871785E-2</v>
      </c>
      <c r="L1902" s="436">
        <v>43136</v>
      </c>
      <c r="M1902" s="738">
        <v>336.46</v>
      </c>
      <c r="N1902" s="115">
        <f t="shared" si="121"/>
        <v>-4.5936325621370622E-2</v>
      </c>
      <c r="O1902" s="1121">
        <f t="shared" si="124"/>
        <v>-4.594823951025951E-2</v>
      </c>
      <c r="P1902" s="1122"/>
    </row>
    <row r="1903" spans="6:16">
      <c r="F1903" s="1121">
        <f t="shared" si="123"/>
        <v>1.7429024750717718E-2</v>
      </c>
      <c r="G1903" s="1122"/>
      <c r="H1903" s="436">
        <v>43137</v>
      </c>
      <c r="I1903" s="738">
        <v>2695.14</v>
      </c>
      <c r="J1903" s="440">
        <f t="shared" si="122"/>
        <v>1.7440938639606607E-2</v>
      </c>
      <c r="L1903" s="436">
        <v>43137</v>
      </c>
      <c r="M1903" s="738">
        <v>337.59010000000001</v>
      </c>
      <c r="N1903" s="115">
        <f t="shared" si="121"/>
        <v>3.3587945075195247E-3</v>
      </c>
      <c r="O1903" s="1121">
        <f t="shared" si="124"/>
        <v>3.3468806186306359E-3</v>
      </c>
      <c r="P1903" s="1122"/>
    </row>
    <row r="1904" spans="6:16">
      <c r="F1904" s="1121">
        <f t="shared" si="123"/>
        <v>-5.0135093533174658E-3</v>
      </c>
      <c r="G1904" s="1122"/>
      <c r="H1904" s="436">
        <v>43138</v>
      </c>
      <c r="I1904" s="738">
        <v>2681.66</v>
      </c>
      <c r="J1904" s="440">
        <f t="shared" si="122"/>
        <v>-5.0015954644285765E-3</v>
      </c>
      <c r="L1904" s="436">
        <v>43138</v>
      </c>
      <c r="M1904" s="738">
        <v>345.42989999999998</v>
      </c>
      <c r="N1904" s="115">
        <f t="shared" si="121"/>
        <v>2.322283739955644E-2</v>
      </c>
      <c r="O1904" s="1121">
        <f t="shared" si="124"/>
        <v>2.3210923510667551E-2</v>
      </c>
      <c r="P1904" s="1122"/>
    </row>
    <row r="1905" spans="6:16">
      <c r="F1905" s="1121">
        <f t="shared" si="123"/>
        <v>-3.7548365191440232E-2</v>
      </c>
      <c r="G1905" s="1122"/>
      <c r="H1905" s="436">
        <v>43139</v>
      </c>
      <c r="I1905" s="738">
        <v>2581</v>
      </c>
      <c r="J1905" s="440">
        <f t="shared" si="122"/>
        <v>-3.7536451302551344E-2</v>
      </c>
      <c r="L1905" s="436">
        <v>43139</v>
      </c>
      <c r="M1905" s="738">
        <v>334.3</v>
      </c>
      <c r="N1905" s="115">
        <f t="shared" ref="N1905:N1968" si="125">M1905/M1904-1</f>
        <v>-3.2220430252273946E-2</v>
      </c>
      <c r="O1905" s="1121">
        <f t="shared" si="124"/>
        <v>-3.2232344141162834E-2</v>
      </c>
      <c r="P1905" s="1122"/>
    </row>
    <row r="1906" spans="6:16">
      <c r="F1906" s="1121">
        <f t="shared" si="123"/>
        <v>1.4924157401308695E-2</v>
      </c>
      <c r="G1906" s="1122"/>
      <c r="H1906" s="436">
        <v>43140</v>
      </c>
      <c r="I1906" s="738">
        <v>2619.5500000000002</v>
      </c>
      <c r="J1906" s="440">
        <f t="shared" si="122"/>
        <v>1.4936071290197583E-2</v>
      </c>
      <c r="L1906" s="436">
        <v>43140</v>
      </c>
      <c r="M1906" s="738">
        <v>341.41989999999998</v>
      </c>
      <c r="N1906" s="115">
        <f t="shared" si="125"/>
        <v>2.1297935985641558E-2</v>
      </c>
      <c r="O1906" s="1121">
        <f t="shared" si="124"/>
        <v>2.128602209675267E-2</v>
      </c>
      <c r="P1906" s="1122"/>
    </row>
    <row r="1907" spans="6:16">
      <c r="F1907" s="1121">
        <f t="shared" si="123"/>
        <v>1.3902689764410218E-2</v>
      </c>
      <c r="G1907" s="1122"/>
      <c r="H1907" s="436">
        <v>43143</v>
      </c>
      <c r="I1907" s="738">
        <v>2656</v>
      </c>
      <c r="J1907" s="440">
        <f t="shared" si="122"/>
        <v>1.3914603653299107E-2</v>
      </c>
      <c r="L1907" s="436">
        <v>43143</v>
      </c>
      <c r="M1907" s="738">
        <v>345.81009999999998</v>
      </c>
      <c r="N1907" s="115">
        <f t="shared" si="125"/>
        <v>1.2858652937336013E-2</v>
      </c>
      <c r="O1907" s="1121">
        <f t="shared" si="124"/>
        <v>1.2846739048447124E-2</v>
      </c>
      <c r="P1907" s="1122"/>
    </row>
    <row r="1908" spans="6:16">
      <c r="F1908" s="1121">
        <f t="shared" si="123"/>
        <v>2.6010379183399805E-3</v>
      </c>
      <c r="G1908" s="1122"/>
      <c r="H1908" s="436">
        <v>43144</v>
      </c>
      <c r="I1908" s="738">
        <v>2662.94</v>
      </c>
      <c r="J1908" s="440">
        <f t="shared" si="122"/>
        <v>2.6129518072288693E-3</v>
      </c>
      <c r="L1908" s="436">
        <v>43144</v>
      </c>
      <c r="M1908" s="738">
        <v>350.23</v>
      </c>
      <c r="N1908" s="115">
        <f t="shared" si="125"/>
        <v>1.2781292391402133E-2</v>
      </c>
      <c r="O1908" s="1121">
        <f t="shared" si="124"/>
        <v>1.2769378502513244E-2</v>
      </c>
      <c r="P1908" s="1122"/>
    </row>
    <row r="1909" spans="6:16">
      <c r="F1909" s="1121">
        <f t="shared" si="123"/>
        <v>1.3390566076863279E-2</v>
      </c>
      <c r="G1909" s="1122"/>
      <c r="H1909" s="436">
        <v>43145</v>
      </c>
      <c r="I1909" s="738">
        <v>2698.63</v>
      </c>
      <c r="J1909" s="440">
        <f t="shared" si="122"/>
        <v>1.3402479965752168E-2</v>
      </c>
      <c r="L1909" s="436">
        <v>43145</v>
      </c>
      <c r="M1909" s="738">
        <v>354.65989999999999</v>
      </c>
      <c r="N1909" s="115">
        <f t="shared" si="125"/>
        <v>1.2648545241698228E-2</v>
      </c>
      <c r="O1909" s="1121">
        <f t="shared" si="124"/>
        <v>1.263663135280934E-2</v>
      </c>
      <c r="P1909" s="1122"/>
    </row>
    <row r="1910" spans="6:16">
      <c r="F1910" s="1121">
        <f t="shared" si="123"/>
        <v>1.2057173018171212E-2</v>
      </c>
      <c r="G1910" s="1122"/>
      <c r="H1910" s="436">
        <v>43146</v>
      </c>
      <c r="I1910" s="738">
        <v>2731.2</v>
      </c>
      <c r="J1910" s="440">
        <f t="shared" si="122"/>
        <v>1.20690869070601E-2</v>
      </c>
      <c r="L1910" s="436">
        <v>43146</v>
      </c>
      <c r="M1910" s="738">
        <v>361</v>
      </c>
      <c r="N1910" s="115">
        <f t="shared" si="125"/>
        <v>1.7876562870513535E-2</v>
      </c>
      <c r="O1910" s="1121">
        <f t="shared" si="124"/>
        <v>1.7864648981624646E-2</v>
      </c>
      <c r="P1910" s="1122"/>
    </row>
    <row r="1911" spans="6:16">
      <c r="F1911" s="1121">
        <f t="shared" si="123"/>
        <v>3.615483255222577E-4</v>
      </c>
      <c r="G1911" s="1122"/>
      <c r="H1911" s="436">
        <v>43147</v>
      </c>
      <c r="I1911" s="738">
        <v>2732.22</v>
      </c>
      <c r="J1911" s="440">
        <f t="shared" si="122"/>
        <v>3.7346221441114658E-4</v>
      </c>
      <c r="L1911" s="436">
        <v>43147</v>
      </c>
      <c r="M1911" s="738">
        <v>360.53</v>
      </c>
      <c r="N1911" s="115">
        <f t="shared" si="125"/>
        <v>-1.3019390581717749E-3</v>
      </c>
      <c r="O1911" s="1121">
        <f t="shared" si="124"/>
        <v>-1.3138529470606637E-3</v>
      </c>
      <c r="P1911" s="1122"/>
    </row>
    <row r="1912" spans="6:16">
      <c r="F1912" s="1121">
        <f t="shared" si="123"/>
        <v>-1.1913888888888887E-5</v>
      </c>
      <c r="G1912" s="1122"/>
      <c r="H1912" s="436">
        <v>43150</v>
      </c>
      <c r="I1912" s="738">
        <v>2732.22</v>
      </c>
      <c r="J1912" s="440">
        <f t="shared" si="122"/>
        <v>0</v>
      </c>
      <c r="L1912" s="436">
        <v>43150</v>
      </c>
      <c r="M1912" s="738">
        <v>360.53</v>
      </c>
      <c r="N1912" s="115">
        <f t="shared" si="125"/>
        <v>0</v>
      </c>
      <c r="O1912" s="1121">
        <f t="shared" si="124"/>
        <v>-1.1913888888888887E-5</v>
      </c>
      <c r="P1912" s="1122"/>
    </row>
    <row r="1913" spans="6:16">
      <c r="F1913" s="1121">
        <f t="shared" si="123"/>
        <v>-5.8533175825883433E-3</v>
      </c>
      <c r="G1913" s="1122"/>
      <c r="H1913" s="436">
        <v>43151</v>
      </c>
      <c r="I1913" s="738">
        <v>2716.26</v>
      </c>
      <c r="J1913" s="440">
        <f t="shared" si="122"/>
        <v>-5.841403693699454E-3</v>
      </c>
      <c r="L1913" s="436">
        <v>43151</v>
      </c>
      <c r="M1913" s="738">
        <v>358.68990000000002</v>
      </c>
      <c r="N1913" s="115">
        <f t="shared" si="125"/>
        <v>-5.1038748509137921E-3</v>
      </c>
      <c r="O1913" s="1121">
        <f t="shared" si="124"/>
        <v>-5.1157887398026814E-3</v>
      </c>
      <c r="P1913" s="1122"/>
    </row>
    <row r="1914" spans="6:16">
      <c r="F1914" s="1121">
        <f t="shared" si="123"/>
        <v>-5.5084422035569592E-3</v>
      </c>
      <c r="G1914" s="1122"/>
      <c r="H1914" s="436">
        <v>43152</v>
      </c>
      <c r="I1914" s="738">
        <v>2701.33</v>
      </c>
      <c r="J1914" s="440">
        <f t="shared" si="122"/>
        <v>-5.4965283146680699E-3</v>
      </c>
      <c r="L1914" s="436">
        <v>43152</v>
      </c>
      <c r="M1914" s="738">
        <v>357.06009999999998</v>
      </c>
      <c r="N1914" s="115">
        <f t="shared" si="125"/>
        <v>-4.5437577138359719E-3</v>
      </c>
      <c r="O1914" s="1121">
        <f t="shared" si="124"/>
        <v>-4.5556716027248612E-3</v>
      </c>
      <c r="P1914" s="1122"/>
    </row>
    <row r="1915" spans="6:16">
      <c r="F1915" s="1121">
        <f t="shared" si="123"/>
        <v>9.6168059975198312E-4</v>
      </c>
      <c r="G1915" s="1122"/>
      <c r="H1915" s="436">
        <v>43153</v>
      </c>
      <c r="I1915" s="738">
        <v>2703.96</v>
      </c>
      <c r="J1915" s="440">
        <f t="shared" si="122"/>
        <v>9.7359448864087206E-4</v>
      </c>
      <c r="L1915" s="436">
        <v>43153</v>
      </c>
      <c r="M1915" s="738">
        <v>355.40989999999999</v>
      </c>
      <c r="N1915" s="115">
        <f t="shared" si="125"/>
        <v>-4.6216309243177767E-3</v>
      </c>
      <c r="O1915" s="1121">
        <f t="shared" si="124"/>
        <v>-4.6335448132066659E-3</v>
      </c>
      <c r="P1915" s="1122"/>
    </row>
    <row r="1916" spans="6:16">
      <c r="F1916" s="1121">
        <f t="shared" si="123"/>
        <v>1.6016429725661634E-2</v>
      </c>
      <c r="G1916" s="1122"/>
      <c r="H1916" s="436">
        <v>43154</v>
      </c>
      <c r="I1916" s="738">
        <v>2747.3</v>
      </c>
      <c r="J1916" s="440">
        <f t="shared" si="122"/>
        <v>1.6028343614550522E-2</v>
      </c>
      <c r="L1916" s="436">
        <v>43154</v>
      </c>
      <c r="M1916" s="738">
        <v>358.68990000000002</v>
      </c>
      <c r="N1916" s="115">
        <f t="shared" si="125"/>
        <v>9.2287806276640794E-3</v>
      </c>
      <c r="O1916" s="1121">
        <f t="shared" si="124"/>
        <v>9.216866738775191E-3</v>
      </c>
      <c r="P1916" s="1122"/>
    </row>
    <row r="1917" spans="6:16">
      <c r="F1917" s="1121">
        <f t="shared" si="123"/>
        <v>1.1745083890749235E-2</v>
      </c>
      <c r="G1917" s="1122"/>
      <c r="H1917" s="436">
        <v>43157</v>
      </c>
      <c r="I1917" s="738">
        <v>2779.6</v>
      </c>
      <c r="J1917" s="440">
        <f t="shared" si="122"/>
        <v>1.1756997779638123E-2</v>
      </c>
      <c r="L1917" s="436">
        <v>43157</v>
      </c>
      <c r="M1917" s="738">
        <v>358.7</v>
      </c>
      <c r="N1917" s="115">
        <f t="shared" si="125"/>
        <v>2.8158027309821421E-5</v>
      </c>
      <c r="O1917" s="1121">
        <f t="shared" si="124"/>
        <v>1.6244138420932535E-5</v>
      </c>
      <c r="P1917" s="1122"/>
    </row>
    <row r="1918" spans="6:16">
      <c r="F1918" s="1121">
        <f t="shared" si="123"/>
        <v>-1.2718778185909947E-2</v>
      </c>
      <c r="G1918" s="1122"/>
      <c r="H1918" s="436">
        <v>43158</v>
      </c>
      <c r="I1918" s="738">
        <v>2744.28</v>
      </c>
      <c r="J1918" s="440">
        <f t="shared" si="122"/>
        <v>-1.2706864297021059E-2</v>
      </c>
      <c r="L1918" s="436">
        <v>43158</v>
      </c>
      <c r="M1918" s="738">
        <v>358.16989999999998</v>
      </c>
      <c r="N1918" s="115">
        <f t="shared" si="125"/>
        <v>-1.4778366322832914E-3</v>
      </c>
      <c r="O1918" s="1121">
        <f t="shared" si="124"/>
        <v>-1.4897505211721803E-3</v>
      </c>
      <c r="P1918" s="1122"/>
    </row>
    <row r="1919" spans="6:16">
      <c r="F1919" s="1121">
        <f t="shared" si="123"/>
        <v>-1.1107720439241027E-2</v>
      </c>
      <c r="G1919" s="1122"/>
      <c r="H1919" s="436">
        <v>43159</v>
      </c>
      <c r="I1919" s="738">
        <v>2713.83</v>
      </c>
      <c r="J1919" s="440">
        <f t="shared" si="122"/>
        <v>-1.1095806550352139E-2</v>
      </c>
      <c r="L1919" s="436">
        <v>43159</v>
      </c>
      <c r="M1919" s="738">
        <v>352.43990000000002</v>
      </c>
      <c r="N1919" s="115">
        <f t="shared" si="125"/>
        <v>-1.5997994247981095E-2</v>
      </c>
      <c r="O1919" s="1121">
        <f t="shared" si="124"/>
        <v>-1.6009908136869984E-2</v>
      </c>
      <c r="P1919" s="1122"/>
    </row>
    <row r="1920" spans="6:16">
      <c r="F1920" s="1121">
        <f t="shared" si="123"/>
        <v>-1.3336256238999152E-2</v>
      </c>
      <c r="G1920" s="1122"/>
      <c r="H1920" s="436">
        <v>43160</v>
      </c>
      <c r="I1920" s="738">
        <v>2677.67</v>
      </c>
      <c r="J1920" s="440">
        <f t="shared" si="122"/>
        <v>-1.3324342350110263E-2</v>
      </c>
      <c r="L1920" s="436">
        <v>43160</v>
      </c>
      <c r="M1920" s="738">
        <v>339.68990000000002</v>
      </c>
      <c r="N1920" s="115">
        <f t="shared" si="125"/>
        <v>-3.61763807105836E-2</v>
      </c>
      <c r="O1920" s="1121">
        <f t="shared" si="124"/>
        <v>-3.6188294599472488E-2</v>
      </c>
      <c r="P1920" s="1122"/>
    </row>
    <row r="1921" spans="6:16">
      <c r="F1921" s="1121">
        <f t="shared" si="123"/>
        <v>5.059659531286057E-3</v>
      </c>
      <c r="G1921" s="1122"/>
      <c r="H1921" s="436">
        <v>43161</v>
      </c>
      <c r="I1921" s="738">
        <v>2691.25</v>
      </c>
      <c r="J1921" s="440">
        <f t="shared" si="122"/>
        <v>5.0715734201749463E-3</v>
      </c>
      <c r="L1921" s="436">
        <v>43161</v>
      </c>
      <c r="M1921" s="738">
        <v>341.72</v>
      </c>
      <c r="N1921" s="115">
        <f t="shared" si="125"/>
        <v>5.9763331202959957E-3</v>
      </c>
      <c r="O1921" s="1121">
        <f t="shared" si="124"/>
        <v>5.9644192314071065E-3</v>
      </c>
      <c r="P1921" s="1122"/>
    </row>
    <row r="1922" spans="6:16">
      <c r="F1922" s="1121">
        <f t="shared" si="123"/>
        <v>1.1020134415802178E-2</v>
      </c>
      <c r="G1922" s="1122"/>
      <c r="H1922" s="436">
        <v>43164</v>
      </c>
      <c r="I1922" s="738">
        <v>2720.94</v>
      </c>
      <c r="J1922" s="440">
        <f t="shared" si="122"/>
        <v>1.1032048304691067E-2</v>
      </c>
      <c r="L1922" s="436">
        <v>43164</v>
      </c>
      <c r="M1922" s="738">
        <v>342.36009999999999</v>
      </c>
      <c r="N1922" s="115">
        <f t="shared" si="125"/>
        <v>1.8731710172068539E-3</v>
      </c>
      <c r="O1922" s="1121">
        <f t="shared" si="124"/>
        <v>1.861257128317965E-3</v>
      </c>
      <c r="P1922" s="1122"/>
    </row>
    <row r="1923" spans="6:16">
      <c r="F1923" s="1121">
        <f t="shared" si="123"/>
        <v>2.6268800573209165E-3</v>
      </c>
      <c r="G1923" s="1122"/>
      <c r="H1923" s="436">
        <v>43165</v>
      </c>
      <c r="I1923" s="738">
        <v>2728.12</v>
      </c>
      <c r="J1923" s="440">
        <f t="shared" si="122"/>
        <v>2.6387939462098053E-3</v>
      </c>
      <c r="L1923" s="436">
        <v>43165</v>
      </c>
      <c r="M1923" s="738">
        <v>339.5</v>
      </c>
      <c r="N1923" s="115">
        <f t="shared" si="125"/>
        <v>-8.35406929721072E-3</v>
      </c>
      <c r="O1923" s="1121">
        <f t="shared" si="124"/>
        <v>-8.3659831860996084E-3</v>
      </c>
      <c r="P1923" s="1122"/>
    </row>
    <row r="1924" spans="6:16">
      <c r="F1924" s="1121">
        <f t="shared" si="123"/>
        <v>-4.9576357292025668E-4</v>
      </c>
      <c r="G1924" s="1122"/>
      <c r="H1924" s="436">
        <v>43166</v>
      </c>
      <c r="I1924" s="738">
        <v>2726.8</v>
      </c>
      <c r="J1924" s="440">
        <f t="shared" si="122"/>
        <v>-4.8384968403136774E-4</v>
      </c>
      <c r="L1924" s="436">
        <v>43166</v>
      </c>
      <c r="M1924" s="738">
        <v>342.2</v>
      </c>
      <c r="N1924" s="115">
        <f t="shared" si="125"/>
        <v>7.9528718703976153E-3</v>
      </c>
      <c r="O1924" s="1121">
        <f t="shared" si="124"/>
        <v>7.9409579815087269E-3</v>
      </c>
      <c r="P1924" s="1122"/>
    </row>
    <row r="1925" spans="6:16">
      <c r="F1925" s="1121">
        <f t="shared" si="123"/>
        <v>4.4511930496470209E-3</v>
      </c>
      <c r="G1925" s="1122"/>
      <c r="H1925" s="436">
        <v>43167</v>
      </c>
      <c r="I1925" s="738">
        <v>2738.97</v>
      </c>
      <c r="J1925" s="440">
        <f t="shared" si="122"/>
        <v>4.4631069385359101E-3</v>
      </c>
      <c r="L1925" s="436">
        <v>43167</v>
      </c>
      <c r="M1925" s="738">
        <v>341.78</v>
      </c>
      <c r="N1925" s="115">
        <f t="shared" si="125"/>
        <v>-1.2273524254822199E-3</v>
      </c>
      <c r="O1925" s="1121">
        <f t="shared" si="124"/>
        <v>-1.2392663143711087E-3</v>
      </c>
      <c r="P1925" s="1122"/>
    </row>
    <row r="1926" spans="6:16">
      <c r="F1926" s="1121">
        <f t="shared" si="123"/>
        <v>1.7366881789778847E-2</v>
      </c>
      <c r="G1926" s="1122"/>
      <c r="H1926" s="436">
        <v>43168</v>
      </c>
      <c r="I1926" s="738">
        <v>2786.57</v>
      </c>
      <c r="J1926" s="440">
        <f t="shared" si="122"/>
        <v>1.7378795678667736E-2</v>
      </c>
      <c r="L1926" s="436">
        <v>43168</v>
      </c>
      <c r="M1926" s="738">
        <v>340.49</v>
      </c>
      <c r="N1926" s="115">
        <f t="shared" si="125"/>
        <v>-3.774357774006587E-3</v>
      </c>
      <c r="O1926" s="1121">
        <f t="shared" si="124"/>
        <v>-3.7862716628954758E-3</v>
      </c>
      <c r="P1926" s="1122"/>
    </row>
    <row r="1927" spans="6:16">
      <c r="F1927" s="1121">
        <f t="shared" si="123"/>
        <v>-1.2858815265223218E-3</v>
      </c>
      <c r="G1927" s="1122"/>
      <c r="H1927" s="436">
        <v>43171</v>
      </c>
      <c r="I1927" s="738">
        <v>2783.02</v>
      </c>
      <c r="J1927" s="440">
        <f t="shared" si="122"/>
        <v>-1.273967637633433E-3</v>
      </c>
      <c r="L1927" s="436">
        <v>43171</v>
      </c>
      <c r="M1927" s="738">
        <v>333.1001</v>
      </c>
      <c r="N1927" s="115">
        <f t="shared" si="125"/>
        <v>-2.1703721107815266E-2</v>
      </c>
      <c r="O1927" s="1121">
        <f t="shared" si="124"/>
        <v>-2.1715634996704154E-2</v>
      </c>
      <c r="P1927" s="1122"/>
    </row>
    <row r="1928" spans="6:16">
      <c r="F1928" s="1121">
        <f t="shared" si="123"/>
        <v>-6.3755045206486194E-3</v>
      </c>
      <c r="G1928" s="1122"/>
      <c r="H1928" s="436">
        <v>43172</v>
      </c>
      <c r="I1928" s="738">
        <v>2765.31</v>
      </c>
      <c r="J1928" s="440">
        <f t="shared" si="122"/>
        <v>-6.3635906317597302E-3</v>
      </c>
      <c r="L1928" s="436">
        <v>43172</v>
      </c>
      <c r="M1928" s="738">
        <v>333.46</v>
      </c>
      <c r="N1928" s="115">
        <f t="shared" si="125"/>
        <v>1.0804559950596815E-3</v>
      </c>
      <c r="O1928" s="1121">
        <f t="shared" si="124"/>
        <v>1.0685421061707927E-3</v>
      </c>
      <c r="P1928" s="1122"/>
    </row>
    <row r="1929" spans="6:16">
      <c r="F1929" s="1121">
        <f t="shared" si="123"/>
        <v>-5.7364077069418451E-3</v>
      </c>
      <c r="G1929" s="1122"/>
      <c r="H1929" s="436">
        <v>43173</v>
      </c>
      <c r="I1929" s="738">
        <v>2749.48</v>
      </c>
      <c r="J1929" s="440">
        <f t="shared" si="122"/>
        <v>-5.7244938180529559E-3</v>
      </c>
      <c r="L1929" s="436">
        <v>43173</v>
      </c>
      <c r="M1929" s="738">
        <v>331.67989999999998</v>
      </c>
      <c r="N1929" s="115">
        <f t="shared" si="125"/>
        <v>-5.3382714568463996E-3</v>
      </c>
      <c r="O1929" s="1121">
        <f t="shared" si="124"/>
        <v>-5.3501853457352888E-3</v>
      </c>
      <c r="P1929" s="1122"/>
    </row>
    <row r="1930" spans="6:16">
      <c r="F1930" s="1121">
        <f t="shared" si="123"/>
        <v>-7.938799333773247E-4</v>
      </c>
      <c r="G1930" s="1122"/>
      <c r="H1930" s="436">
        <v>43174</v>
      </c>
      <c r="I1930" s="738">
        <v>2747.33</v>
      </c>
      <c r="J1930" s="440">
        <f t="shared" si="122"/>
        <v>-7.8196604448843576E-4</v>
      </c>
      <c r="L1930" s="436">
        <v>43174</v>
      </c>
      <c r="M1930" s="738">
        <v>333.23</v>
      </c>
      <c r="N1930" s="115">
        <f t="shared" si="125"/>
        <v>4.6734818721305693E-3</v>
      </c>
      <c r="O1930" s="1121">
        <f t="shared" si="124"/>
        <v>4.6615679832416801E-3</v>
      </c>
      <c r="P1930" s="1122"/>
    </row>
    <row r="1931" spans="6:16">
      <c r="F1931" s="1121">
        <f t="shared" si="123"/>
        <v>1.6915582094757446E-3</v>
      </c>
      <c r="G1931" s="1122"/>
      <c r="H1931" s="436">
        <v>43175</v>
      </c>
      <c r="I1931" s="738">
        <v>2752.01</v>
      </c>
      <c r="J1931" s="440">
        <f t="shared" si="122"/>
        <v>1.7034720983646334E-3</v>
      </c>
      <c r="L1931" s="436">
        <v>43175</v>
      </c>
      <c r="M1931" s="738">
        <v>331.3999</v>
      </c>
      <c r="N1931" s="115">
        <f t="shared" si="125"/>
        <v>-5.4920025207815248E-3</v>
      </c>
      <c r="O1931" s="1121">
        <f t="shared" si="124"/>
        <v>-5.5039164096704141E-3</v>
      </c>
      <c r="P1931" s="1122"/>
    </row>
    <row r="1932" spans="6:16">
      <c r="F1932" s="1121">
        <f t="shared" si="123"/>
        <v>-1.4216077391201794E-2</v>
      </c>
      <c r="G1932" s="1122"/>
      <c r="H1932" s="436">
        <v>43178</v>
      </c>
      <c r="I1932" s="738">
        <v>2712.92</v>
      </c>
      <c r="J1932" s="440">
        <f t="shared" si="122"/>
        <v>-1.4204163502312905E-2</v>
      </c>
      <c r="L1932" s="436">
        <v>43178</v>
      </c>
      <c r="M1932" s="738">
        <v>335.25</v>
      </c>
      <c r="N1932" s="115">
        <f t="shared" si="125"/>
        <v>1.1617686064479882E-2</v>
      </c>
      <c r="O1932" s="1121">
        <f t="shared" si="124"/>
        <v>1.1605772175590993E-2</v>
      </c>
      <c r="P1932" s="1122"/>
    </row>
    <row r="1933" spans="6:16">
      <c r="F1933" s="1121">
        <f t="shared" si="123"/>
        <v>1.4698843211579031E-3</v>
      </c>
      <c r="G1933" s="1122"/>
      <c r="H1933" s="436">
        <v>43179</v>
      </c>
      <c r="I1933" s="738">
        <v>2716.94</v>
      </c>
      <c r="J1933" s="440">
        <f t="shared" si="122"/>
        <v>1.4817982100467919E-3</v>
      </c>
      <c r="L1933" s="436">
        <v>43179</v>
      </c>
      <c r="M1933" s="738">
        <v>335.6001</v>
      </c>
      <c r="N1933" s="115">
        <f t="shared" si="125"/>
        <v>1.0442953020133316E-3</v>
      </c>
      <c r="O1933" s="1121">
        <f t="shared" si="124"/>
        <v>1.0323814131244428E-3</v>
      </c>
      <c r="P1933" s="1122"/>
    </row>
    <row r="1934" spans="6:16">
      <c r="F1934" s="1121">
        <f t="shared" si="123"/>
        <v>-1.8559001381252068E-3</v>
      </c>
      <c r="G1934" s="1122"/>
      <c r="H1934" s="436">
        <v>43180</v>
      </c>
      <c r="I1934" s="738">
        <v>2711.93</v>
      </c>
      <c r="J1934" s="440">
        <f t="shared" si="122"/>
        <v>-1.8439862492363179E-3</v>
      </c>
      <c r="L1934" s="436">
        <v>43180</v>
      </c>
      <c r="M1934" s="738">
        <v>335.47</v>
      </c>
      <c r="N1934" s="115">
        <f t="shared" si="125"/>
        <v>-3.8766377006438368E-4</v>
      </c>
      <c r="O1934" s="1121">
        <f t="shared" si="124"/>
        <v>-3.9957765895327256E-4</v>
      </c>
      <c r="P1934" s="1122"/>
    </row>
    <row r="1935" spans="6:16">
      <c r="F1935" s="1121">
        <f t="shared" si="123"/>
        <v>-2.5174805261453777E-2</v>
      </c>
      <c r="G1935" s="1122"/>
      <c r="H1935" s="436">
        <v>43181</v>
      </c>
      <c r="I1935" s="738">
        <v>2643.69</v>
      </c>
      <c r="J1935" s="440">
        <f t="shared" si="122"/>
        <v>-2.5162891372564888E-2</v>
      </c>
      <c r="L1935" s="436">
        <v>43181</v>
      </c>
      <c r="M1935" s="738">
        <v>327.1499</v>
      </c>
      <c r="N1935" s="115">
        <f t="shared" si="125"/>
        <v>-2.4801323516260854E-2</v>
      </c>
      <c r="O1935" s="1121">
        <f t="shared" si="124"/>
        <v>-2.4813237405149742E-2</v>
      </c>
      <c r="P1935" s="1122"/>
    </row>
    <row r="1936" spans="6:16">
      <c r="F1936" s="1121">
        <f t="shared" si="123"/>
        <v>-2.0978819993613625E-2</v>
      </c>
      <c r="G1936" s="1122"/>
      <c r="H1936" s="436">
        <v>43182</v>
      </c>
      <c r="I1936" s="738">
        <v>2588.2600000000002</v>
      </c>
      <c r="J1936" s="440">
        <f t="shared" si="122"/>
        <v>-2.0966906104724736E-2</v>
      </c>
      <c r="L1936" s="436">
        <v>43182</v>
      </c>
      <c r="M1936" s="738">
        <v>336.31009999999998</v>
      </c>
      <c r="N1936" s="115">
        <f t="shared" si="125"/>
        <v>2.8000008558767719E-2</v>
      </c>
      <c r="O1936" s="1121">
        <f t="shared" si="124"/>
        <v>2.7988094669878831E-2</v>
      </c>
      <c r="P1936" s="1122"/>
    </row>
    <row r="1937" spans="6:16">
      <c r="F1937" s="1121">
        <f t="shared" si="123"/>
        <v>2.7145326882903713E-2</v>
      </c>
      <c r="G1937" s="1122"/>
      <c r="H1937" s="436">
        <v>43185</v>
      </c>
      <c r="I1937" s="738">
        <v>2658.55</v>
      </c>
      <c r="J1937" s="440">
        <f t="shared" si="122"/>
        <v>2.7157240771792601E-2</v>
      </c>
      <c r="L1937" s="436">
        <v>43185</v>
      </c>
      <c r="M1937" s="738">
        <v>343.92989999999998</v>
      </c>
      <c r="N1937" s="115">
        <f t="shared" si="125"/>
        <v>2.2657065607009752E-2</v>
      </c>
      <c r="O1937" s="1121">
        <f t="shared" si="124"/>
        <v>2.2645151718120864E-2</v>
      </c>
      <c r="P1937" s="1122"/>
    </row>
    <row r="1938" spans="6:16">
      <c r="F1938" s="1121">
        <f t="shared" si="123"/>
        <v>-1.7288248733071006E-2</v>
      </c>
      <c r="G1938" s="1122"/>
      <c r="H1938" s="436">
        <v>43186</v>
      </c>
      <c r="I1938" s="738">
        <v>2612.62</v>
      </c>
      <c r="J1938" s="440">
        <f t="shared" si="122"/>
        <v>-1.7276334844182117E-2</v>
      </c>
      <c r="L1938" s="436">
        <v>43186</v>
      </c>
      <c r="M1938" s="738">
        <v>338.8501</v>
      </c>
      <c r="N1938" s="115">
        <f t="shared" si="125"/>
        <v>-1.4769870255537443E-2</v>
      </c>
      <c r="O1938" s="1121">
        <f t="shared" si="124"/>
        <v>-1.4781784144426331E-2</v>
      </c>
      <c r="P1938" s="1122"/>
    </row>
    <row r="1939" spans="6:16">
      <c r="F1939" s="1121">
        <f t="shared" si="123"/>
        <v>-2.9285263315709316E-3</v>
      </c>
      <c r="G1939" s="1122"/>
      <c r="H1939" s="436">
        <v>43187</v>
      </c>
      <c r="I1939" s="738">
        <v>2605</v>
      </c>
      <c r="J1939" s="440">
        <f t="shared" si="122"/>
        <v>-2.9166124426820428E-3</v>
      </c>
      <c r="L1939" s="436">
        <v>43187</v>
      </c>
      <c r="M1939" s="738">
        <v>335.33010000000002</v>
      </c>
      <c r="N1939" s="115">
        <f t="shared" si="125"/>
        <v>-1.0388074254663038E-2</v>
      </c>
      <c r="O1939" s="1121">
        <f t="shared" si="124"/>
        <v>-1.0399988143551926E-2</v>
      </c>
      <c r="P1939" s="1122"/>
    </row>
    <row r="1940" spans="6:16">
      <c r="F1940" s="1121">
        <f t="shared" si="123"/>
        <v>1.3757759815525732E-2</v>
      </c>
      <c r="G1940" s="1122"/>
      <c r="H1940" s="436">
        <v>43188</v>
      </c>
      <c r="I1940" s="738">
        <v>2640.87</v>
      </c>
      <c r="J1940" s="440">
        <f t="shared" si="122"/>
        <v>1.376967370441462E-2</v>
      </c>
      <c r="L1940" s="436">
        <v>43188</v>
      </c>
      <c r="M1940" s="738">
        <v>337.92989999999998</v>
      </c>
      <c r="N1940" s="115">
        <f t="shared" si="125"/>
        <v>7.7529574589336736E-3</v>
      </c>
      <c r="O1940" s="1121">
        <f t="shared" si="124"/>
        <v>7.7410435700447843E-3</v>
      </c>
      <c r="P1940" s="1122"/>
    </row>
    <row r="1941" spans="6:16">
      <c r="F1941" s="1121">
        <f t="shared" si="123"/>
        <v>-1.1913888888888887E-5</v>
      </c>
      <c r="G1941" s="1122"/>
      <c r="H1941" s="436">
        <v>43189</v>
      </c>
      <c r="I1941" s="738">
        <v>2640.87</v>
      </c>
      <c r="J1941" s="440">
        <f t="shared" si="122"/>
        <v>0</v>
      </c>
      <c r="L1941" s="436">
        <v>43189</v>
      </c>
      <c r="M1941" s="738">
        <v>337.92989999999998</v>
      </c>
      <c r="N1941" s="115">
        <f t="shared" si="125"/>
        <v>0</v>
      </c>
      <c r="O1941" s="1121">
        <f t="shared" si="124"/>
        <v>-1.1913888888888887E-5</v>
      </c>
      <c r="P1941" s="1122"/>
    </row>
    <row r="1942" spans="6:16">
      <c r="F1942" s="1121">
        <f t="shared" si="123"/>
        <v>-2.2349249691105529E-2</v>
      </c>
      <c r="G1942" s="1122"/>
      <c r="H1942" s="436">
        <v>43192</v>
      </c>
      <c r="I1942" s="738">
        <v>2581.88</v>
      </c>
      <c r="J1942" s="440">
        <f t="shared" si="122"/>
        <v>-2.233733580221664E-2</v>
      </c>
      <c r="L1942" s="436">
        <v>43192</v>
      </c>
      <c r="M1942" s="738">
        <v>333</v>
      </c>
      <c r="N1942" s="115">
        <f t="shared" si="125"/>
        <v>-1.458852856761117E-2</v>
      </c>
      <c r="O1942" s="1121">
        <f t="shared" si="124"/>
        <v>-1.4600442456500058E-2</v>
      </c>
      <c r="P1942" s="1122"/>
    </row>
    <row r="1943" spans="6:16">
      <c r="F1943" s="1121">
        <f t="shared" si="123"/>
        <v>1.2602924910745432E-2</v>
      </c>
      <c r="G1943" s="1122"/>
      <c r="H1943" s="436">
        <v>43193</v>
      </c>
      <c r="I1943" s="738">
        <v>2614.4499999999998</v>
      </c>
      <c r="J1943" s="440">
        <f t="shared" si="122"/>
        <v>1.261483879963432E-2</v>
      </c>
      <c r="L1943" s="436">
        <v>43193</v>
      </c>
      <c r="M1943" s="738">
        <v>334.71</v>
      </c>
      <c r="N1943" s="115">
        <f t="shared" si="125"/>
        <v>5.1351351351349717E-3</v>
      </c>
      <c r="O1943" s="1121">
        <f t="shared" si="124"/>
        <v>5.1232212462460824E-3</v>
      </c>
      <c r="P1943" s="1122"/>
    </row>
    <row r="1944" spans="6:16">
      <c r="F1944" s="1121">
        <f t="shared" si="123"/>
        <v>1.1554572370171427E-2</v>
      </c>
      <c r="G1944" s="1122"/>
      <c r="H1944" s="436">
        <v>43194</v>
      </c>
      <c r="I1944" s="738">
        <v>2644.69</v>
      </c>
      <c r="J1944" s="440">
        <f t="shared" si="122"/>
        <v>1.1566486259060316E-2</v>
      </c>
      <c r="L1944" s="436">
        <v>43194</v>
      </c>
      <c r="M1944" s="738">
        <v>341.79</v>
      </c>
      <c r="N1944" s="115">
        <f t="shared" si="125"/>
        <v>2.1152639598458478E-2</v>
      </c>
      <c r="O1944" s="1121">
        <f t="shared" si="124"/>
        <v>2.114072570956959E-2</v>
      </c>
      <c r="P1944" s="1122"/>
    </row>
    <row r="1945" spans="6:16">
      <c r="F1945" s="1121">
        <f t="shared" si="123"/>
        <v>6.8508942285087004E-3</v>
      </c>
      <c r="G1945" s="1122"/>
      <c r="H1945" s="436">
        <v>43195</v>
      </c>
      <c r="I1945" s="738">
        <v>2662.84</v>
      </c>
      <c r="J1945" s="440">
        <f t="shared" si="122"/>
        <v>6.8628081173975897E-3</v>
      </c>
      <c r="L1945" s="436">
        <v>43195</v>
      </c>
      <c r="M1945" s="738">
        <v>346.6499</v>
      </c>
      <c r="N1945" s="115">
        <f t="shared" si="125"/>
        <v>1.4218964861464567E-2</v>
      </c>
      <c r="O1945" s="1121">
        <f t="shared" si="124"/>
        <v>1.4207050972575679E-2</v>
      </c>
      <c r="P1945" s="1122"/>
    </row>
    <row r="1946" spans="6:16">
      <c r="F1946" s="1121">
        <f t="shared" si="123"/>
        <v>-2.1932119383774158E-2</v>
      </c>
      <c r="G1946" s="1122"/>
      <c r="H1946" s="436">
        <v>43196</v>
      </c>
      <c r="I1946" s="738">
        <v>2604.4699999999998</v>
      </c>
      <c r="J1946" s="440">
        <f t="shared" si="122"/>
        <v>-2.192020549488527E-2</v>
      </c>
      <c r="L1946" s="436">
        <v>43196</v>
      </c>
      <c r="M1946" s="738">
        <v>334.65989999999999</v>
      </c>
      <c r="N1946" s="115">
        <f t="shared" si="125"/>
        <v>-3.4588211333682839E-2</v>
      </c>
      <c r="O1946" s="1121">
        <f t="shared" si="124"/>
        <v>-3.4600125222571727E-2</v>
      </c>
      <c r="P1946" s="1122"/>
    </row>
    <row r="1947" spans="6:16">
      <c r="F1947" s="1121">
        <f t="shared" si="123"/>
        <v>3.3246574672794941E-3</v>
      </c>
      <c r="G1947" s="1122"/>
      <c r="H1947" s="436">
        <v>43199</v>
      </c>
      <c r="I1947" s="738">
        <v>2613.16</v>
      </c>
      <c r="J1947" s="440">
        <f t="shared" si="122"/>
        <v>3.336571356168383E-3</v>
      </c>
      <c r="L1947" s="436">
        <v>43199</v>
      </c>
      <c r="M1947" s="738">
        <v>335.90989999999999</v>
      </c>
      <c r="N1947" s="115">
        <f t="shared" si="125"/>
        <v>3.7351352821177741E-3</v>
      </c>
      <c r="O1947" s="1121">
        <f t="shared" si="124"/>
        <v>3.7232213932288853E-3</v>
      </c>
      <c r="P1947" s="1122"/>
    </row>
    <row r="1948" spans="6:16">
      <c r="F1948" s="1121">
        <f t="shared" si="123"/>
        <v>1.67149608528031E-2</v>
      </c>
      <c r="G1948" s="1122"/>
      <c r="H1948" s="436">
        <v>43200</v>
      </c>
      <c r="I1948" s="738">
        <v>2656.87</v>
      </c>
      <c r="J1948" s="440">
        <f t="shared" si="122"/>
        <v>1.6726874741691988E-2</v>
      </c>
      <c r="L1948" s="436">
        <v>43200</v>
      </c>
      <c r="M1948" s="738">
        <v>339.36009999999999</v>
      </c>
      <c r="N1948" s="115">
        <f t="shared" si="125"/>
        <v>1.0271206653927223E-2</v>
      </c>
      <c r="O1948" s="1121">
        <f t="shared" si="124"/>
        <v>1.0259292765038334E-2</v>
      </c>
      <c r="P1948" s="1122"/>
    </row>
    <row r="1949" spans="6:16">
      <c r="F1949" s="1121">
        <f t="shared" si="123"/>
        <v>-5.5372124544942414E-3</v>
      </c>
      <c r="G1949" s="1122"/>
      <c r="H1949" s="436">
        <v>43201</v>
      </c>
      <c r="I1949" s="738">
        <v>2642.19</v>
      </c>
      <c r="J1949" s="440">
        <f t="shared" ref="J1949:J2012" si="126">I1949/I1948-1</f>
        <v>-5.5252985656053522E-3</v>
      </c>
      <c r="L1949" s="436">
        <v>43201</v>
      </c>
      <c r="M1949" s="738">
        <v>339.43990000000002</v>
      </c>
      <c r="N1949" s="115">
        <f t="shared" si="125"/>
        <v>2.3514844555982961E-4</v>
      </c>
      <c r="O1949" s="1121">
        <f t="shared" si="124"/>
        <v>2.2323455667094073E-4</v>
      </c>
      <c r="P1949" s="1122"/>
    </row>
    <row r="1950" spans="6:16">
      <c r="F1950" s="1121">
        <f t="shared" ref="F1950:F2013" si="127">J1950-$I$19</f>
        <v>8.2388175119564241E-3</v>
      </c>
      <c r="G1950" s="1122"/>
      <c r="H1950" s="436">
        <v>43202</v>
      </c>
      <c r="I1950" s="738">
        <v>2663.99</v>
      </c>
      <c r="J1950" s="440">
        <f t="shared" si="126"/>
        <v>8.2507314008453125E-3</v>
      </c>
      <c r="L1950" s="436">
        <v>43202</v>
      </c>
      <c r="M1950" s="738">
        <v>342.87990000000002</v>
      </c>
      <c r="N1950" s="115">
        <f t="shared" si="125"/>
        <v>1.0134341896754107E-2</v>
      </c>
      <c r="O1950" s="1121">
        <f t="shared" ref="O1950:O2013" si="128">N1950-$I$19</f>
        <v>1.0122428007865218E-2</v>
      </c>
      <c r="P1950" s="1122"/>
    </row>
    <row r="1951" spans="6:16">
      <c r="F1951" s="1121">
        <f t="shared" si="127"/>
        <v>-2.8985613612891943E-3</v>
      </c>
      <c r="G1951" s="1122"/>
      <c r="H1951" s="436">
        <v>43203</v>
      </c>
      <c r="I1951" s="738">
        <v>2656.3</v>
      </c>
      <c r="J1951" s="440">
        <f t="shared" si="126"/>
        <v>-2.8866474724003055E-3</v>
      </c>
      <c r="L1951" s="436">
        <v>43203</v>
      </c>
      <c r="M1951" s="738">
        <v>342.6001</v>
      </c>
      <c r="N1951" s="115">
        <f t="shared" si="125"/>
        <v>-8.1602916939726988E-4</v>
      </c>
      <c r="O1951" s="1121">
        <f t="shared" si="128"/>
        <v>-8.2794305828615882E-4</v>
      </c>
      <c r="P1951" s="1122"/>
    </row>
    <row r="1952" spans="6:16">
      <c r="F1952" s="1121">
        <f t="shared" si="127"/>
        <v>8.0971099412506728E-3</v>
      </c>
      <c r="G1952" s="1122"/>
      <c r="H1952" s="436">
        <v>43206</v>
      </c>
      <c r="I1952" s="738">
        <v>2677.84</v>
      </c>
      <c r="J1952" s="440">
        <f t="shared" si="126"/>
        <v>8.1090238301395612E-3</v>
      </c>
      <c r="L1952" s="436">
        <v>43206</v>
      </c>
      <c r="M1952" s="738">
        <v>345.7</v>
      </c>
      <c r="N1952" s="115">
        <f t="shared" si="125"/>
        <v>9.0481584798136616E-3</v>
      </c>
      <c r="O1952" s="1121">
        <f t="shared" si="128"/>
        <v>9.0362445909247732E-3</v>
      </c>
      <c r="P1952" s="1122"/>
    </row>
    <row r="1953" spans="6:16">
      <c r="F1953" s="1121">
        <f t="shared" si="127"/>
        <v>1.0649664099340421E-2</v>
      </c>
      <c r="G1953" s="1122"/>
      <c r="H1953" s="436">
        <v>43207</v>
      </c>
      <c r="I1953" s="738">
        <v>2706.39</v>
      </c>
      <c r="J1953" s="440">
        <f t="shared" si="126"/>
        <v>1.0661577988229309E-2</v>
      </c>
      <c r="L1953" s="436">
        <v>43207</v>
      </c>
      <c r="M1953" s="738">
        <v>349.13990000000001</v>
      </c>
      <c r="N1953" s="115">
        <f t="shared" si="125"/>
        <v>9.9505351460804636E-3</v>
      </c>
      <c r="O1953" s="1121">
        <f t="shared" si="128"/>
        <v>9.9386212571915752E-3</v>
      </c>
      <c r="P1953" s="1122"/>
    </row>
    <row r="1954" spans="6:16">
      <c r="F1954" s="1121">
        <f t="shared" si="127"/>
        <v>8.1945187879416766E-4</v>
      </c>
      <c r="G1954" s="1122"/>
      <c r="H1954" s="436">
        <v>43208</v>
      </c>
      <c r="I1954" s="738">
        <v>2708.64</v>
      </c>
      <c r="J1954" s="440">
        <f t="shared" si="126"/>
        <v>8.3136576768305659E-4</v>
      </c>
      <c r="L1954" s="436">
        <v>43208</v>
      </c>
      <c r="M1954" s="738">
        <v>351.1499</v>
      </c>
      <c r="N1954" s="115">
        <f t="shared" si="125"/>
        <v>5.7570045703740913E-3</v>
      </c>
      <c r="O1954" s="1121">
        <f t="shared" si="128"/>
        <v>5.745090681485202E-3</v>
      </c>
      <c r="P1954" s="1122"/>
    </row>
    <row r="1955" spans="6:16">
      <c r="F1955" s="1121">
        <f t="shared" si="127"/>
        <v>-5.738034746588635E-3</v>
      </c>
      <c r="G1955" s="1122"/>
      <c r="H1955" s="436">
        <v>43209</v>
      </c>
      <c r="I1955" s="738">
        <v>2693.13</v>
      </c>
      <c r="J1955" s="440">
        <f t="shared" si="126"/>
        <v>-5.7261208576997458E-3</v>
      </c>
      <c r="L1955" s="436">
        <v>43209</v>
      </c>
      <c r="M1955" s="738">
        <v>353.37990000000002</v>
      </c>
      <c r="N1955" s="115">
        <f t="shared" si="125"/>
        <v>6.3505642462093892E-3</v>
      </c>
      <c r="O1955" s="1121">
        <f t="shared" si="128"/>
        <v>6.3386503573204999E-3</v>
      </c>
      <c r="P1955" s="1122"/>
    </row>
    <row r="1956" spans="6:16">
      <c r="F1956" s="1121">
        <f t="shared" si="127"/>
        <v>-8.5484494441722195E-3</v>
      </c>
      <c r="G1956" s="1122"/>
      <c r="H1956" s="436">
        <v>43210</v>
      </c>
      <c r="I1956" s="738">
        <v>2670.14</v>
      </c>
      <c r="J1956" s="440">
        <f t="shared" si="126"/>
        <v>-8.5365355552833311E-3</v>
      </c>
      <c r="L1956" s="436">
        <v>43210</v>
      </c>
      <c r="M1956" s="738">
        <v>351.99</v>
      </c>
      <c r="N1956" s="115">
        <f t="shared" si="125"/>
        <v>-3.9331608843626853E-3</v>
      </c>
      <c r="O1956" s="1121">
        <f t="shared" si="128"/>
        <v>-3.9450747732515746E-3</v>
      </c>
      <c r="P1956" s="1122"/>
    </row>
    <row r="1957" spans="6:16">
      <c r="F1957" s="1121">
        <f t="shared" si="127"/>
        <v>4.4262940790510746E-5</v>
      </c>
      <c r="G1957" s="1122"/>
      <c r="H1957" s="436">
        <v>43213</v>
      </c>
      <c r="I1957" s="738">
        <v>2670.29</v>
      </c>
      <c r="J1957" s="440">
        <f t="shared" si="126"/>
        <v>5.6176829679399631E-5</v>
      </c>
      <c r="L1957" s="436">
        <v>43213</v>
      </c>
      <c r="M1957" s="738">
        <v>358.6001</v>
      </c>
      <c r="N1957" s="115">
        <f t="shared" si="125"/>
        <v>1.8779226682576144E-2</v>
      </c>
      <c r="O1957" s="1121">
        <f t="shared" si="128"/>
        <v>1.8767312793687256E-2</v>
      </c>
      <c r="P1957" s="1122"/>
    </row>
    <row r="1958" spans="6:16">
      <c r="F1958" s="1121">
        <f t="shared" si="127"/>
        <v>-1.3392483040554078E-2</v>
      </c>
      <c r="G1958" s="1122"/>
      <c r="H1958" s="436">
        <v>43214</v>
      </c>
      <c r="I1958" s="738">
        <v>2634.56</v>
      </c>
      <c r="J1958" s="440">
        <f t="shared" si="126"/>
        <v>-1.3380569151665189E-2</v>
      </c>
      <c r="L1958" s="436">
        <v>43214</v>
      </c>
      <c r="M1958" s="738">
        <v>336.49</v>
      </c>
      <c r="N1958" s="115">
        <f t="shared" si="125"/>
        <v>-6.165670338630691E-2</v>
      </c>
      <c r="O1958" s="1121">
        <f t="shared" si="128"/>
        <v>-6.1668617275195799E-2</v>
      </c>
      <c r="P1958" s="1122"/>
    </row>
    <row r="1959" spans="6:16">
      <c r="F1959" s="1121">
        <f t="shared" si="127"/>
        <v>1.8252050228079113E-3</v>
      </c>
      <c r="G1959" s="1122"/>
      <c r="H1959" s="436">
        <v>43215</v>
      </c>
      <c r="I1959" s="738">
        <v>2639.4</v>
      </c>
      <c r="J1959" s="440">
        <f t="shared" si="126"/>
        <v>1.8371189116968001E-3</v>
      </c>
      <c r="L1959" s="436">
        <v>43215</v>
      </c>
      <c r="M1959" s="738">
        <v>329.5</v>
      </c>
      <c r="N1959" s="115">
        <f t="shared" si="125"/>
        <v>-2.077327706618326E-2</v>
      </c>
      <c r="O1959" s="1121">
        <f t="shared" si="128"/>
        <v>-2.0785190955072148E-2</v>
      </c>
      <c r="P1959" s="1122"/>
    </row>
    <row r="1960" spans="6:16">
      <c r="F1960" s="1121">
        <f t="shared" si="127"/>
        <v>1.0422275699654031E-2</v>
      </c>
      <c r="G1960" s="1122"/>
      <c r="H1960" s="436">
        <v>43216</v>
      </c>
      <c r="I1960" s="738">
        <v>2666.94</v>
      </c>
      <c r="J1960" s="440">
        <f t="shared" si="126"/>
        <v>1.0434189588542919E-2</v>
      </c>
      <c r="L1960" s="436">
        <v>43216</v>
      </c>
      <c r="M1960" s="738">
        <v>330.3999</v>
      </c>
      <c r="N1960" s="115">
        <f t="shared" si="125"/>
        <v>2.7311077389984284E-3</v>
      </c>
      <c r="O1960" s="1121">
        <f t="shared" si="128"/>
        <v>2.7191938501095396E-3</v>
      </c>
      <c r="P1960" s="1122"/>
    </row>
    <row r="1961" spans="6:16">
      <c r="F1961" s="1121">
        <f t="shared" si="127"/>
        <v>1.1017219634362678E-3</v>
      </c>
      <c r="G1961" s="1122"/>
      <c r="H1961" s="436">
        <v>43217</v>
      </c>
      <c r="I1961" s="738">
        <v>2669.91</v>
      </c>
      <c r="J1961" s="440">
        <f t="shared" si="126"/>
        <v>1.1136358523251566E-3</v>
      </c>
      <c r="L1961" s="436">
        <v>43217</v>
      </c>
      <c r="M1961" s="738">
        <v>322.02999999999997</v>
      </c>
      <c r="N1961" s="115">
        <f t="shared" si="125"/>
        <v>-2.5332634785906527E-2</v>
      </c>
      <c r="O1961" s="1121">
        <f t="shared" si="128"/>
        <v>-2.5344548674795415E-2</v>
      </c>
      <c r="P1961" s="1122"/>
    </row>
    <row r="1962" spans="6:16">
      <c r="F1962" s="1121">
        <f t="shared" si="127"/>
        <v>-8.1994557910503099E-3</v>
      </c>
      <c r="G1962" s="1122"/>
      <c r="H1962" s="436">
        <v>43220</v>
      </c>
      <c r="I1962" s="738">
        <v>2648.05</v>
      </c>
      <c r="J1962" s="440">
        <f t="shared" si="126"/>
        <v>-8.1875419021614215E-3</v>
      </c>
      <c r="L1962" s="436">
        <v>43220</v>
      </c>
      <c r="M1962" s="738">
        <v>320.84010000000001</v>
      </c>
      <c r="N1962" s="115">
        <f t="shared" si="125"/>
        <v>-3.6949973604942787E-3</v>
      </c>
      <c r="O1962" s="1121">
        <f t="shared" si="128"/>
        <v>-3.7069112493831676E-3</v>
      </c>
      <c r="P1962" s="1122"/>
    </row>
    <row r="1963" spans="6:16">
      <c r="F1963" s="1121">
        <f t="shared" si="127"/>
        <v>2.5371316351759858E-3</v>
      </c>
      <c r="G1963" s="1122"/>
      <c r="H1963" s="436">
        <v>43221</v>
      </c>
      <c r="I1963" s="738">
        <v>2654.8</v>
      </c>
      <c r="J1963" s="440">
        <f t="shared" si="126"/>
        <v>2.5490455240648746E-3</v>
      </c>
      <c r="L1963" s="436">
        <v>43221</v>
      </c>
      <c r="M1963" s="738">
        <v>308.45999999999998</v>
      </c>
      <c r="N1963" s="115">
        <f t="shared" si="125"/>
        <v>-3.8586510850732281E-2</v>
      </c>
      <c r="O1963" s="1121">
        <f t="shared" si="128"/>
        <v>-3.8598424739621169E-2</v>
      </c>
      <c r="P1963" s="1122"/>
    </row>
    <row r="1964" spans="6:16">
      <c r="F1964" s="1121">
        <f t="shared" si="127"/>
        <v>-7.2177297695579313E-3</v>
      </c>
      <c r="G1964" s="1122"/>
      <c r="H1964" s="436">
        <v>43222</v>
      </c>
      <c r="I1964" s="738">
        <v>2635.67</v>
      </c>
      <c r="J1964" s="440">
        <f t="shared" si="126"/>
        <v>-7.205815880669042E-3</v>
      </c>
      <c r="L1964" s="436">
        <v>43222</v>
      </c>
      <c r="M1964" s="738">
        <v>305.7</v>
      </c>
      <c r="N1964" s="115">
        <f t="shared" si="125"/>
        <v>-8.9476755495039306E-3</v>
      </c>
      <c r="O1964" s="1121">
        <f t="shared" si="128"/>
        <v>-8.959589438392819E-3</v>
      </c>
      <c r="P1964" s="1122"/>
    </row>
    <row r="1965" spans="6:16">
      <c r="F1965" s="1121">
        <f t="shared" si="127"/>
        <v>-2.2656102924598705E-3</v>
      </c>
      <c r="G1965" s="1122"/>
      <c r="H1965" s="436">
        <v>43223</v>
      </c>
      <c r="I1965" s="738">
        <v>2629.73</v>
      </c>
      <c r="J1965" s="440">
        <f t="shared" si="126"/>
        <v>-2.2536964035709817E-3</v>
      </c>
      <c r="L1965" s="436">
        <v>43223</v>
      </c>
      <c r="M1965" s="738">
        <v>309.92989999999998</v>
      </c>
      <c r="N1965" s="115">
        <f t="shared" si="125"/>
        <v>1.3836768073274497E-2</v>
      </c>
      <c r="O1965" s="1121">
        <f t="shared" si="128"/>
        <v>1.3824854184385608E-2</v>
      </c>
      <c r="P1965" s="1122"/>
    </row>
    <row r="1966" spans="6:16">
      <c r="F1966" s="1121">
        <f t="shared" si="127"/>
        <v>1.2799287261039065E-2</v>
      </c>
      <c r="G1966" s="1122"/>
      <c r="H1966" s="436">
        <v>43224</v>
      </c>
      <c r="I1966" s="738">
        <v>2663.42</v>
      </c>
      <c r="J1966" s="440">
        <f t="shared" si="126"/>
        <v>1.2811201149927953E-2</v>
      </c>
      <c r="L1966" s="436">
        <v>43224</v>
      </c>
      <c r="M1966" s="738">
        <v>311.43990000000002</v>
      </c>
      <c r="N1966" s="115">
        <f t="shared" si="125"/>
        <v>4.8720694582873314E-3</v>
      </c>
      <c r="O1966" s="1121">
        <f t="shared" si="128"/>
        <v>4.8601555693984421E-3</v>
      </c>
      <c r="P1966" s="1122"/>
    </row>
    <row r="1967" spans="6:16">
      <c r="F1967" s="1121">
        <f t="shared" si="127"/>
        <v>3.4460461774919941E-3</v>
      </c>
      <c r="G1967" s="1122"/>
      <c r="H1967" s="436">
        <v>43227</v>
      </c>
      <c r="I1967" s="738">
        <v>2672.63</v>
      </c>
      <c r="J1967" s="440">
        <f t="shared" si="126"/>
        <v>3.4579600663808829E-3</v>
      </c>
      <c r="L1967" s="436">
        <v>43227</v>
      </c>
      <c r="M1967" s="738">
        <v>317.70999999999998</v>
      </c>
      <c r="N1967" s="115">
        <f t="shared" si="125"/>
        <v>2.0132616276848037E-2</v>
      </c>
      <c r="O1967" s="1121">
        <f t="shared" si="128"/>
        <v>2.0120702387959148E-2</v>
      </c>
      <c r="P1967" s="1122"/>
    </row>
    <row r="1968" spans="6:16">
      <c r="F1968" s="1121">
        <f t="shared" si="127"/>
        <v>-2.7756981582228356E-4</v>
      </c>
      <c r="G1968" s="1122"/>
      <c r="H1968" s="436">
        <v>43228</v>
      </c>
      <c r="I1968" s="738">
        <v>2671.92</v>
      </c>
      <c r="J1968" s="440">
        <f t="shared" si="126"/>
        <v>-2.6565592693339468E-4</v>
      </c>
      <c r="L1968" s="436">
        <v>43228</v>
      </c>
      <c r="M1968" s="738">
        <v>324.18990000000002</v>
      </c>
      <c r="N1968" s="115">
        <f t="shared" si="125"/>
        <v>2.0395643826130794E-2</v>
      </c>
      <c r="O1968" s="1121">
        <f t="shared" si="128"/>
        <v>2.0383729937241905E-2</v>
      </c>
      <c r="P1968" s="1122"/>
    </row>
    <row r="1969" spans="6:16">
      <c r="F1969" s="1121">
        <f t="shared" si="127"/>
        <v>9.6702622241683286E-3</v>
      </c>
      <c r="G1969" s="1122"/>
      <c r="H1969" s="436">
        <v>43229</v>
      </c>
      <c r="I1969" s="738">
        <v>2697.79</v>
      </c>
      <c r="J1969" s="440">
        <f t="shared" si="126"/>
        <v>9.682176113057217E-3</v>
      </c>
      <c r="L1969" s="436">
        <v>43229</v>
      </c>
      <c r="M1969" s="738">
        <v>326.12009999999998</v>
      </c>
      <c r="N1969" s="115">
        <f t="shared" ref="N1969:N2032" si="129">M1969/M1968-1</f>
        <v>5.9539177500593787E-3</v>
      </c>
      <c r="O1969" s="1121">
        <f t="shared" si="128"/>
        <v>5.9420038611704895E-3</v>
      </c>
      <c r="P1969" s="1122"/>
    </row>
    <row r="1970" spans="6:16">
      <c r="F1970" s="1121">
        <f t="shared" si="127"/>
        <v>9.3587191107146125E-3</v>
      </c>
      <c r="G1970" s="1122"/>
      <c r="H1970" s="436">
        <v>43230</v>
      </c>
      <c r="I1970" s="738">
        <v>2723.07</v>
      </c>
      <c r="J1970" s="440">
        <f t="shared" si="126"/>
        <v>9.3706329996035009E-3</v>
      </c>
      <c r="L1970" s="436">
        <v>43230</v>
      </c>
      <c r="M1970" s="738">
        <v>324.49</v>
      </c>
      <c r="N1970" s="115">
        <f t="shared" si="129"/>
        <v>-4.9984652893212411E-3</v>
      </c>
      <c r="O1970" s="1121">
        <f t="shared" si="128"/>
        <v>-5.0103791782101304E-3</v>
      </c>
      <c r="P1970" s="1122"/>
    </row>
    <row r="1971" spans="6:16">
      <c r="F1971" s="1121">
        <f t="shared" si="127"/>
        <v>1.695717571191017E-3</v>
      </c>
      <c r="G1971" s="1122"/>
      <c r="H1971" s="436">
        <v>43231</v>
      </c>
      <c r="I1971" s="738">
        <v>2727.72</v>
      </c>
      <c r="J1971" s="440">
        <f t="shared" si="126"/>
        <v>1.7076314600799058E-3</v>
      </c>
      <c r="L1971" s="436">
        <v>43231</v>
      </c>
      <c r="M1971" s="738">
        <v>324.04000000000002</v>
      </c>
      <c r="N1971" s="115">
        <f t="shared" si="129"/>
        <v>-1.3867915806341502E-3</v>
      </c>
      <c r="O1971" s="1121">
        <f t="shared" si="128"/>
        <v>-1.398705469523039E-3</v>
      </c>
      <c r="P1971" s="1122"/>
    </row>
    <row r="1972" spans="6:16">
      <c r="F1972" s="1121">
        <f t="shared" si="127"/>
        <v>8.716078802076735E-4</v>
      </c>
      <c r="G1972" s="1122"/>
      <c r="H1972" s="436">
        <v>43234</v>
      </c>
      <c r="I1972" s="738">
        <v>2730.13</v>
      </c>
      <c r="J1972" s="440">
        <f t="shared" si="126"/>
        <v>8.8352176909656244E-4</v>
      </c>
      <c r="L1972" s="436">
        <v>43234</v>
      </c>
      <c r="M1972" s="738">
        <v>319.08010000000002</v>
      </c>
      <c r="N1972" s="115">
        <f t="shared" si="129"/>
        <v>-1.5306443648932189E-2</v>
      </c>
      <c r="O1972" s="1121">
        <f t="shared" si="128"/>
        <v>-1.5318357537821077E-2</v>
      </c>
      <c r="P1972" s="1122"/>
    </row>
    <row r="1973" spans="6:16">
      <c r="F1973" s="1121">
        <f t="shared" si="127"/>
        <v>-6.8540789139977043E-3</v>
      </c>
      <c r="G1973" s="1122"/>
      <c r="H1973" s="436">
        <v>43235</v>
      </c>
      <c r="I1973" s="738">
        <v>2711.45</v>
      </c>
      <c r="J1973" s="440">
        <f t="shared" si="126"/>
        <v>-6.8421650251088151E-3</v>
      </c>
      <c r="L1973" s="436">
        <v>43235</v>
      </c>
      <c r="M1973" s="738">
        <v>319.77</v>
      </c>
      <c r="N1973" s="115">
        <f t="shared" si="129"/>
        <v>2.1621530142430512E-3</v>
      </c>
      <c r="O1973" s="1121">
        <f t="shared" si="128"/>
        <v>2.1502391253541623E-3</v>
      </c>
      <c r="P1973" s="1122"/>
    </row>
    <row r="1974" spans="6:16">
      <c r="F1974" s="1121">
        <f t="shared" si="127"/>
        <v>4.0486441151311647E-3</v>
      </c>
      <c r="G1974" s="1122"/>
      <c r="H1974" s="436">
        <v>43236</v>
      </c>
      <c r="I1974" s="738">
        <v>2722.46</v>
      </c>
      <c r="J1974" s="440">
        <f t="shared" si="126"/>
        <v>4.060558004020054E-3</v>
      </c>
      <c r="L1974" s="436">
        <v>43236</v>
      </c>
      <c r="M1974" s="738">
        <v>319.33010000000002</v>
      </c>
      <c r="N1974" s="115">
        <f t="shared" si="129"/>
        <v>-1.3756762673170497E-3</v>
      </c>
      <c r="O1974" s="1121">
        <f t="shared" si="128"/>
        <v>-1.3875901562059386E-3</v>
      </c>
      <c r="P1974" s="1122"/>
    </row>
    <row r="1975" spans="6:16">
      <c r="F1975" s="1121">
        <f t="shared" si="127"/>
        <v>-8.6775750091617392E-4</v>
      </c>
      <c r="G1975" s="1122"/>
      <c r="H1975" s="436">
        <v>43237</v>
      </c>
      <c r="I1975" s="738">
        <v>2720.13</v>
      </c>
      <c r="J1975" s="440">
        <f t="shared" si="126"/>
        <v>-8.5584361202728498E-4</v>
      </c>
      <c r="L1975" s="436">
        <v>43237</v>
      </c>
      <c r="M1975" s="738">
        <v>320.41989999999998</v>
      </c>
      <c r="N1975" s="115">
        <f t="shared" si="129"/>
        <v>3.4127694194814318E-3</v>
      </c>
      <c r="O1975" s="1121">
        <f t="shared" si="128"/>
        <v>3.4008555305925429E-3</v>
      </c>
      <c r="P1975" s="1122"/>
    </row>
    <row r="1976" spans="6:16">
      <c r="F1976" s="1121">
        <f t="shared" si="127"/>
        <v>-2.6441410250920357E-3</v>
      </c>
      <c r="G1976" s="1122"/>
      <c r="H1976" s="436">
        <v>43238</v>
      </c>
      <c r="I1976" s="738">
        <v>2712.97</v>
      </c>
      <c r="J1976" s="440">
        <f t="shared" si="126"/>
        <v>-2.6322271362031469E-3</v>
      </c>
      <c r="L1976" s="436">
        <v>43238</v>
      </c>
      <c r="M1976" s="738">
        <v>320.45</v>
      </c>
      <c r="N1976" s="115">
        <f t="shared" si="129"/>
        <v>9.3939234111273251E-5</v>
      </c>
      <c r="O1976" s="1121">
        <f t="shared" si="128"/>
        <v>8.2025345222384359E-5</v>
      </c>
      <c r="P1976" s="1122"/>
    </row>
    <row r="1977" spans="6:16">
      <c r="F1977" s="1121">
        <f t="shared" si="127"/>
        <v>7.3748246301513698E-3</v>
      </c>
      <c r="G1977" s="1122"/>
      <c r="H1977" s="436">
        <v>43241</v>
      </c>
      <c r="I1977" s="738">
        <v>2733.01</v>
      </c>
      <c r="J1977" s="440">
        <f t="shared" si="126"/>
        <v>7.386738519040259E-3</v>
      </c>
      <c r="L1977" s="436">
        <v>43241</v>
      </c>
      <c r="M1977" s="738">
        <v>324.27999999999997</v>
      </c>
      <c r="N1977" s="115">
        <f t="shared" si="129"/>
        <v>1.1951942580745722E-2</v>
      </c>
      <c r="O1977" s="1121">
        <f t="shared" si="128"/>
        <v>1.1940028691856834E-2</v>
      </c>
      <c r="P1977" s="1122"/>
    </row>
    <row r="1978" spans="6:16">
      <c r="F1978" s="1121">
        <f t="shared" si="127"/>
        <v>-3.1476506772650866E-3</v>
      </c>
      <c r="G1978" s="1122"/>
      <c r="H1978" s="436">
        <v>43242</v>
      </c>
      <c r="I1978" s="738">
        <v>2724.44</v>
      </c>
      <c r="J1978" s="440">
        <f t="shared" si="126"/>
        <v>-3.1357367883761977E-3</v>
      </c>
      <c r="L1978" s="436">
        <v>43242</v>
      </c>
      <c r="M1978" s="738">
        <v>317.12990000000002</v>
      </c>
      <c r="N1978" s="115">
        <f t="shared" si="129"/>
        <v>-2.2049155051190206E-2</v>
      </c>
      <c r="O1978" s="1121">
        <f t="shared" si="128"/>
        <v>-2.2061068940079094E-2</v>
      </c>
      <c r="P1978" s="1122"/>
    </row>
    <row r="1979" spans="6:16">
      <c r="F1979" s="1121">
        <f t="shared" si="127"/>
        <v>3.2364600888826682E-3</v>
      </c>
      <c r="G1979" s="1122"/>
      <c r="H1979" s="436">
        <v>43243</v>
      </c>
      <c r="I1979" s="738">
        <v>2733.29</v>
      </c>
      <c r="J1979" s="440">
        <f t="shared" si="126"/>
        <v>3.248373977771557E-3</v>
      </c>
      <c r="L1979" s="436">
        <v>43243</v>
      </c>
      <c r="M1979" s="738">
        <v>325.32010000000002</v>
      </c>
      <c r="N1979" s="115">
        <f t="shared" si="129"/>
        <v>2.5826010098700891E-2</v>
      </c>
      <c r="O1979" s="1121">
        <f t="shared" si="128"/>
        <v>2.5814096209812003E-2</v>
      </c>
      <c r="P1979" s="1122"/>
    </row>
    <row r="1980" spans="6:16">
      <c r="F1980" s="1121">
        <f t="shared" si="127"/>
        <v>-2.035116695762514E-3</v>
      </c>
      <c r="G1980" s="1122"/>
      <c r="H1980" s="436">
        <v>43244</v>
      </c>
      <c r="I1980" s="738">
        <v>2727.76</v>
      </c>
      <c r="J1980" s="440">
        <f t="shared" si="126"/>
        <v>-2.0232028068736252E-3</v>
      </c>
      <c r="L1980" s="436">
        <v>43244</v>
      </c>
      <c r="M1980" s="738">
        <v>326.3501</v>
      </c>
      <c r="N1980" s="115">
        <f t="shared" si="129"/>
        <v>3.1661123920716516E-3</v>
      </c>
      <c r="O1980" s="1121">
        <f t="shared" si="128"/>
        <v>3.1541985031827628E-3</v>
      </c>
      <c r="P1980" s="1122"/>
    </row>
    <row r="1981" spans="6:16">
      <c r="F1981" s="1121">
        <f t="shared" si="127"/>
        <v>-2.3691593943586738E-3</v>
      </c>
      <c r="G1981" s="1122"/>
      <c r="H1981" s="436">
        <v>43245</v>
      </c>
      <c r="I1981" s="738">
        <v>2721.33</v>
      </c>
      <c r="J1981" s="440">
        <f t="shared" si="126"/>
        <v>-2.357245505469785E-3</v>
      </c>
      <c r="L1981" s="436">
        <v>43245</v>
      </c>
      <c r="M1981" s="738">
        <v>320.8</v>
      </c>
      <c r="N1981" s="115">
        <f t="shared" si="129"/>
        <v>-1.7006582807849613E-2</v>
      </c>
      <c r="O1981" s="1121">
        <f t="shared" si="128"/>
        <v>-1.7018496696738501E-2</v>
      </c>
      <c r="P1981" s="1122"/>
    </row>
    <row r="1982" spans="6:16">
      <c r="F1982" s="1121">
        <f t="shared" si="127"/>
        <v>-1.1913888888888887E-5</v>
      </c>
      <c r="G1982" s="1122"/>
      <c r="H1982" s="436">
        <v>43248</v>
      </c>
      <c r="I1982" s="738">
        <v>2721.33</v>
      </c>
      <c r="J1982" s="440">
        <f t="shared" si="126"/>
        <v>0</v>
      </c>
      <c r="L1982" s="436">
        <v>43248</v>
      </c>
      <c r="M1982" s="738">
        <v>320.8</v>
      </c>
      <c r="N1982" s="115">
        <f t="shared" si="129"/>
        <v>0</v>
      </c>
      <c r="O1982" s="1121">
        <f t="shared" si="128"/>
        <v>-1.1913888888888887E-5</v>
      </c>
      <c r="P1982" s="1122"/>
    </row>
    <row r="1983" spans="6:16">
      <c r="F1983" s="1121">
        <f t="shared" si="127"/>
        <v>-1.1576112277176927E-2</v>
      </c>
      <c r="G1983" s="1122"/>
      <c r="H1983" s="436">
        <v>43249</v>
      </c>
      <c r="I1983" s="738">
        <v>2689.86</v>
      </c>
      <c r="J1983" s="440">
        <f t="shared" si="126"/>
        <v>-1.1564198388288038E-2</v>
      </c>
      <c r="L1983" s="436">
        <v>43249</v>
      </c>
      <c r="M1983" s="738">
        <v>317.2</v>
      </c>
      <c r="N1983" s="115">
        <f t="shared" si="129"/>
        <v>-1.122194513715713E-2</v>
      </c>
      <c r="O1983" s="1121">
        <f t="shared" si="128"/>
        <v>-1.1233859026046018E-2</v>
      </c>
      <c r="P1983" s="1122"/>
    </row>
    <row r="1984" spans="6:16">
      <c r="F1984" s="1121">
        <f t="shared" si="127"/>
        <v>1.2683914146771051E-2</v>
      </c>
      <c r="G1984" s="1122"/>
      <c r="H1984" s="436">
        <v>43250</v>
      </c>
      <c r="I1984" s="738">
        <v>2724.01</v>
      </c>
      <c r="J1984" s="440">
        <f t="shared" si="126"/>
        <v>1.269582803565994E-2</v>
      </c>
      <c r="L1984" s="436">
        <v>43250</v>
      </c>
      <c r="M1984" s="738">
        <v>321.04000000000002</v>
      </c>
      <c r="N1984" s="115">
        <f t="shared" si="129"/>
        <v>1.2105926860025429E-2</v>
      </c>
      <c r="O1984" s="1121">
        <f t="shared" si="128"/>
        <v>1.209401297113654E-2</v>
      </c>
      <c r="P1984" s="1122"/>
    </row>
    <row r="1985" spans="6:16">
      <c r="F1985" s="1121">
        <f t="shared" si="127"/>
        <v>-6.8914774734573159E-3</v>
      </c>
      <c r="G1985" s="1122"/>
      <c r="H1985" s="436">
        <v>43251</v>
      </c>
      <c r="I1985" s="738">
        <v>2705.27</v>
      </c>
      <c r="J1985" s="440">
        <f t="shared" si="126"/>
        <v>-6.8795635845684266E-3</v>
      </c>
      <c r="L1985" s="436">
        <v>43251</v>
      </c>
      <c r="M1985" s="738">
        <v>314.54000000000002</v>
      </c>
      <c r="N1985" s="115">
        <f t="shared" si="129"/>
        <v>-2.0246698230750093E-2</v>
      </c>
      <c r="O1985" s="1121">
        <f t="shared" si="128"/>
        <v>-2.0258612119638982E-2</v>
      </c>
      <c r="P1985" s="1122"/>
    </row>
    <row r="1986" spans="6:16">
      <c r="F1986" s="1121">
        <f t="shared" si="127"/>
        <v>1.0837280461397751E-2</v>
      </c>
      <c r="G1986" s="1122"/>
      <c r="H1986" s="436">
        <v>43252</v>
      </c>
      <c r="I1986" s="738">
        <v>2734.62</v>
      </c>
      <c r="J1986" s="440">
        <f t="shared" si="126"/>
        <v>1.0849194350286639E-2</v>
      </c>
      <c r="L1986" s="436">
        <v>43252</v>
      </c>
      <c r="M1986" s="738">
        <v>316.62990000000002</v>
      </c>
      <c r="N1986" s="115">
        <f t="shared" si="129"/>
        <v>6.6443059706238206E-3</v>
      </c>
      <c r="O1986" s="1121">
        <f t="shared" si="128"/>
        <v>6.6323920817349313E-3</v>
      </c>
      <c r="P1986" s="1122"/>
    </row>
    <row r="1987" spans="6:16">
      <c r="F1987" s="1121">
        <f t="shared" si="127"/>
        <v>4.4676847390739882E-3</v>
      </c>
      <c r="G1987" s="1122"/>
      <c r="H1987" s="436">
        <v>43255</v>
      </c>
      <c r="I1987" s="738">
        <v>2746.87</v>
      </c>
      <c r="J1987" s="440">
        <f t="shared" si="126"/>
        <v>4.4795986279628774E-3</v>
      </c>
      <c r="L1987" s="436">
        <v>43255</v>
      </c>
      <c r="M1987" s="738">
        <v>318.16989999999998</v>
      </c>
      <c r="N1987" s="115">
        <f t="shared" si="129"/>
        <v>4.8637225985288524E-3</v>
      </c>
      <c r="O1987" s="1121">
        <f t="shared" si="128"/>
        <v>4.8518087096399631E-3</v>
      </c>
      <c r="P1987" s="1122"/>
    </row>
    <row r="1988" spans="6:16">
      <c r="F1988" s="1121">
        <f t="shared" si="127"/>
        <v>6.9070399983549942E-4</v>
      </c>
      <c r="G1988" s="1122"/>
      <c r="H1988" s="436">
        <v>43256</v>
      </c>
      <c r="I1988" s="738">
        <v>2748.8</v>
      </c>
      <c r="J1988" s="440">
        <f t="shared" si="126"/>
        <v>7.0261788872438835E-4</v>
      </c>
      <c r="L1988" s="436">
        <v>43256</v>
      </c>
      <c r="M1988" s="738">
        <v>320.02</v>
      </c>
      <c r="N1988" s="115">
        <f t="shared" si="129"/>
        <v>5.8148178064612033E-3</v>
      </c>
      <c r="O1988" s="1121">
        <f t="shared" si="128"/>
        <v>5.802903917572314E-3</v>
      </c>
      <c r="P1988" s="1122"/>
    </row>
    <row r="1989" spans="6:16">
      <c r="F1989" s="1121">
        <f t="shared" si="127"/>
        <v>8.5554609655930022E-3</v>
      </c>
      <c r="G1989" s="1122"/>
      <c r="H1989" s="436">
        <v>43257</v>
      </c>
      <c r="I1989" s="738">
        <v>2772.35</v>
      </c>
      <c r="J1989" s="440">
        <f t="shared" si="126"/>
        <v>8.5673748544818906E-3</v>
      </c>
      <c r="L1989" s="436">
        <v>43257</v>
      </c>
      <c r="M1989" s="738">
        <v>319.90989999999999</v>
      </c>
      <c r="N1989" s="115">
        <f t="shared" si="129"/>
        <v>-3.4404099743767791E-4</v>
      </c>
      <c r="O1989" s="1121">
        <f t="shared" si="128"/>
        <v>-3.5595488632656679E-4</v>
      </c>
      <c r="P1989" s="1122"/>
    </row>
    <row r="1990" spans="6:16">
      <c r="F1990" s="1121">
        <f t="shared" si="127"/>
        <v>-7.2610942697027474E-4</v>
      </c>
      <c r="G1990" s="1122"/>
      <c r="H1990" s="436">
        <v>43258</v>
      </c>
      <c r="I1990" s="738">
        <v>2770.37</v>
      </c>
      <c r="J1990" s="440">
        <f t="shared" si="126"/>
        <v>-7.1419553808138581E-4</v>
      </c>
      <c r="L1990" s="436">
        <v>43258</v>
      </c>
      <c r="M1990" s="738">
        <v>321.95</v>
      </c>
      <c r="N1990" s="115">
        <f t="shared" si="129"/>
        <v>6.3771080544865466E-3</v>
      </c>
      <c r="O1990" s="1121">
        <f t="shared" si="128"/>
        <v>6.3651941655976573E-3</v>
      </c>
      <c r="P1990" s="1122"/>
    </row>
    <row r="1991" spans="6:16">
      <c r="F1991" s="1121">
        <f t="shared" si="127"/>
        <v>3.1140223578941455E-3</v>
      </c>
      <c r="G1991" s="1122"/>
      <c r="H1991" s="436">
        <v>43259</v>
      </c>
      <c r="I1991" s="738">
        <v>2779.03</v>
      </c>
      <c r="J1991" s="440">
        <f t="shared" si="126"/>
        <v>3.1259362467830343E-3</v>
      </c>
      <c r="L1991" s="436">
        <v>43259</v>
      </c>
      <c r="M1991" s="738">
        <v>322.31009999999998</v>
      </c>
      <c r="N1991" s="115">
        <f t="shared" si="129"/>
        <v>1.1184966609720792E-3</v>
      </c>
      <c r="O1991" s="1121">
        <f t="shared" si="128"/>
        <v>1.1065827720831904E-3</v>
      </c>
      <c r="P1991" s="1122"/>
    </row>
    <row r="1992" spans="6:16">
      <c r="F1992" s="1121">
        <f t="shared" si="127"/>
        <v>1.0568043329367486E-3</v>
      </c>
      <c r="G1992" s="1122"/>
      <c r="H1992" s="436">
        <v>43262</v>
      </c>
      <c r="I1992" s="738">
        <v>2782</v>
      </c>
      <c r="J1992" s="440">
        <f t="shared" si="126"/>
        <v>1.0687182218256375E-3</v>
      </c>
      <c r="L1992" s="436">
        <v>43262</v>
      </c>
      <c r="M1992" s="738">
        <v>319.3</v>
      </c>
      <c r="N1992" s="115">
        <f t="shared" si="129"/>
        <v>-9.3391426455452509E-3</v>
      </c>
      <c r="O1992" s="1121">
        <f t="shared" si="128"/>
        <v>-9.3510565344341393E-3</v>
      </c>
      <c r="P1992" s="1122"/>
    </row>
    <row r="1993" spans="6:16">
      <c r="F1993" s="1121">
        <f t="shared" si="127"/>
        <v>1.731436218947217E-3</v>
      </c>
      <c r="G1993" s="1122"/>
      <c r="H1993" s="436">
        <v>43263</v>
      </c>
      <c r="I1993" s="738">
        <v>2786.85</v>
      </c>
      <c r="J1993" s="440">
        <f t="shared" si="126"/>
        <v>1.7433501078361058E-3</v>
      </c>
      <c r="L1993" s="436">
        <v>43263</v>
      </c>
      <c r="M1993" s="738">
        <v>315.15989999999999</v>
      </c>
      <c r="N1993" s="115">
        <f t="shared" si="129"/>
        <v>-1.2966176010021924E-2</v>
      </c>
      <c r="O1993" s="1121">
        <f t="shared" si="128"/>
        <v>-1.2978089898910812E-2</v>
      </c>
      <c r="P1993" s="1122"/>
    </row>
    <row r="1994" spans="6:16">
      <c r="F1994" s="1121">
        <f t="shared" si="127"/>
        <v>-4.0379648065915841E-3</v>
      </c>
      <c r="G1994" s="1122"/>
      <c r="H1994" s="436">
        <v>43264</v>
      </c>
      <c r="I1994" s="738">
        <v>2775.63</v>
      </c>
      <c r="J1994" s="440">
        <f t="shared" si="126"/>
        <v>-4.0260509177026949E-3</v>
      </c>
      <c r="L1994" s="436">
        <v>43264</v>
      </c>
      <c r="M1994" s="738">
        <v>314.3501</v>
      </c>
      <c r="N1994" s="115">
        <f t="shared" si="129"/>
        <v>-2.5694893290675314E-3</v>
      </c>
      <c r="O1994" s="1121">
        <f t="shared" si="128"/>
        <v>-2.5814032179564202E-3</v>
      </c>
      <c r="P1994" s="1122"/>
    </row>
    <row r="1995" spans="6:16">
      <c r="F1995" s="1121">
        <f t="shared" si="127"/>
        <v>2.4595970833948193E-3</v>
      </c>
      <c r="G1995" s="1122"/>
      <c r="H1995" s="436">
        <v>43265</v>
      </c>
      <c r="I1995" s="738">
        <v>2782.49</v>
      </c>
      <c r="J1995" s="440">
        <f t="shared" si="126"/>
        <v>2.4715109722837081E-3</v>
      </c>
      <c r="L1995" s="436">
        <v>43265</v>
      </c>
      <c r="M1995" s="738">
        <v>310.59010000000001</v>
      </c>
      <c r="N1995" s="115">
        <f t="shared" si="129"/>
        <v>-1.1961185951587017E-2</v>
      </c>
      <c r="O1995" s="1121">
        <f t="shared" si="128"/>
        <v>-1.1973099840475905E-2</v>
      </c>
      <c r="P1995" s="1122"/>
    </row>
    <row r="1996" spans="6:16">
      <c r="F1996" s="1121">
        <f t="shared" si="127"/>
        <v>-1.0289885234787762E-3</v>
      </c>
      <c r="G1996" s="1122"/>
      <c r="H1996" s="436">
        <v>43266</v>
      </c>
      <c r="I1996" s="738">
        <v>2779.66</v>
      </c>
      <c r="J1996" s="440">
        <f t="shared" si="126"/>
        <v>-1.0170746345898873E-3</v>
      </c>
      <c r="L1996" s="436">
        <v>43266</v>
      </c>
      <c r="M1996" s="738">
        <v>310.13990000000001</v>
      </c>
      <c r="N1996" s="115">
        <f t="shared" si="129"/>
        <v>-1.4494988732738356E-3</v>
      </c>
      <c r="O1996" s="1121">
        <f t="shared" si="128"/>
        <v>-1.4614127621627245E-3</v>
      </c>
      <c r="P1996" s="1122"/>
    </row>
    <row r="1997" spans="6:16">
      <c r="F1997" s="1121">
        <f t="shared" si="127"/>
        <v>-2.1380732033373724E-3</v>
      </c>
      <c r="G1997" s="1122"/>
      <c r="H1997" s="436">
        <v>43269</v>
      </c>
      <c r="I1997" s="738">
        <v>2773.75</v>
      </c>
      <c r="J1997" s="440">
        <f t="shared" si="126"/>
        <v>-2.1261593144484836E-3</v>
      </c>
      <c r="L1997" s="436">
        <v>43269</v>
      </c>
      <c r="M1997" s="738">
        <v>309.52</v>
      </c>
      <c r="N1997" s="115">
        <f t="shared" si="129"/>
        <v>-1.9987753913638384E-3</v>
      </c>
      <c r="O1997" s="1121">
        <f t="shared" si="128"/>
        <v>-2.0106892802527272E-3</v>
      </c>
      <c r="P1997" s="1122"/>
    </row>
    <row r="1998" spans="6:16">
      <c r="F1998" s="1121">
        <f t="shared" si="127"/>
        <v>-4.0353478681587418E-3</v>
      </c>
      <c r="G1998" s="1122"/>
      <c r="H1998" s="436">
        <v>43270</v>
      </c>
      <c r="I1998" s="738">
        <v>2762.59</v>
      </c>
      <c r="J1998" s="440">
        <f t="shared" si="126"/>
        <v>-4.0234339792698526E-3</v>
      </c>
      <c r="L1998" s="436">
        <v>43270</v>
      </c>
      <c r="M1998" s="738">
        <v>302.52</v>
      </c>
      <c r="N1998" s="115">
        <f t="shared" si="129"/>
        <v>-2.2615662962005678E-2</v>
      </c>
      <c r="O1998" s="1121">
        <f t="shared" si="128"/>
        <v>-2.2627576850894567E-2</v>
      </c>
      <c r="P1998" s="1122"/>
    </row>
    <row r="1999" spans="6:16">
      <c r="F1999" s="1121">
        <f t="shared" si="127"/>
        <v>1.7002475248569719E-3</v>
      </c>
      <c r="G1999" s="1122"/>
      <c r="H1999" s="436">
        <v>43271</v>
      </c>
      <c r="I1999" s="738">
        <v>2767.32</v>
      </c>
      <c r="J1999" s="440">
        <f t="shared" si="126"/>
        <v>1.7121614137458607E-3</v>
      </c>
      <c r="L1999" s="436">
        <v>43271</v>
      </c>
      <c r="M1999" s="738">
        <v>302.86009999999999</v>
      </c>
      <c r="N1999" s="115">
        <f t="shared" si="129"/>
        <v>1.1242231918551226E-3</v>
      </c>
      <c r="O1999" s="1121">
        <f t="shared" si="128"/>
        <v>1.1123093029662338E-3</v>
      </c>
      <c r="P1999" s="1122"/>
    </row>
    <row r="2000" spans="6:16">
      <c r="F2000" s="1121">
        <f t="shared" si="127"/>
        <v>-6.3574033877541536E-3</v>
      </c>
      <c r="G2000" s="1122"/>
      <c r="H2000" s="436">
        <v>43272</v>
      </c>
      <c r="I2000" s="738">
        <v>2749.76</v>
      </c>
      <c r="J2000" s="440">
        <f t="shared" si="126"/>
        <v>-6.3454894988652644E-3</v>
      </c>
      <c r="L2000" s="436">
        <v>43272</v>
      </c>
      <c r="M2000" s="738">
        <v>300.37990000000002</v>
      </c>
      <c r="N2000" s="115">
        <f t="shared" si="129"/>
        <v>-8.189259661473991E-3</v>
      </c>
      <c r="O2000" s="1121">
        <f t="shared" si="128"/>
        <v>-8.2011735503628794E-3</v>
      </c>
      <c r="P2000" s="1122"/>
    </row>
    <row r="2001" spans="6:16">
      <c r="F2001" s="1121">
        <f t="shared" si="127"/>
        <v>1.8500667930615371E-3</v>
      </c>
      <c r="G2001" s="1122"/>
      <c r="H2001" s="436">
        <v>43273</v>
      </c>
      <c r="I2001" s="738">
        <v>2754.88</v>
      </c>
      <c r="J2001" s="440">
        <f t="shared" si="126"/>
        <v>1.8619806819504259E-3</v>
      </c>
      <c r="L2001" s="436">
        <v>43273</v>
      </c>
      <c r="M2001" s="738">
        <v>299.37990000000002</v>
      </c>
      <c r="N2001" s="115">
        <f t="shared" si="129"/>
        <v>-3.3291175607954582E-3</v>
      </c>
      <c r="O2001" s="1121">
        <f t="shared" si="128"/>
        <v>-3.341031449684347E-3</v>
      </c>
      <c r="P2001" s="1122"/>
    </row>
    <row r="2002" spans="6:16">
      <c r="F2002" s="1121">
        <f t="shared" si="127"/>
        <v>-1.373664963055455E-2</v>
      </c>
      <c r="G2002" s="1122"/>
      <c r="H2002" s="436">
        <v>43276</v>
      </c>
      <c r="I2002" s="738">
        <v>2717.07</v>
      </c>
      <c r="J2002" s="440">
        <f t="shared" si="126"/>
        <v>-1.3724735741665661E-2</v>
      </c>
      <c r="L2002" s="436">
        <v>43276</v>
      </c>
      <c r="M2002" s="738">
        <v>298.77</v>
      </c>
      <c r="N2002" s="115">
        <f t="shared" si="129"/>
        <v>-2.0372109149613404E-3</v>
      </c>
      <c r="O2002" s="1121">
        <f t="shared" si="128"/>
        <v>-2.0491248038502293E-3</v>
      </c>
      <c r="P2002" s="1122"/>
    </row>
    <row r="2003" spans="6:16">
      <c r="F2003" s="1121">
        <f t="shared" si="127"/>
        <v>2.1926667807293724E-3</v>
      </c>
      <c r="G2003" s="1122"/>
      <c r="H2003" s="436">
        <v>43277</v>
      </c>
      <c r="I2003" s="738">
        <v>2723.06</v>
      </c>
      <c r="J2003" s="440">
        <f t="shared" si="126"/>
        <v>2.2045806696182613E-3</v>
      </c>
      <c r="L2003" s="436">
        <v>43277</v>
      </c>
      <c r="M2003" s="738">
        <v>299.08010000000002</v>
      </c>
      <c r="N2003" s="115">
        <f t="shared" si="129"/>
        <v>1.0379221474714484E-3</v>
      </c>
      <c r="O2003" s="1121">
        <f t="shared" si="128"/>
        <v>1.0260082585825596E-3</v>
      </c>
      <c r="P2003" s="1122"/>
    </row>
    <row r="2004" spans="6:16">
      <c r="F2004" s="1121">
        <f t="shared" si="127"/>
        <v>-8.616204650017896E-3</v>
      </c>
      <c r="G2004" s="1122"/>
      <c r="H2004" s="436">
        <v>43278</v>
      </c>
      <c r="I2004" s="738">
        <v>2699.63</v>
      </c>
      <c r="J2004" s="440">
        <f t="shared" si="126"/>
        <v>-8.6042907611290076E-3</v>
      </c>
      <c r="L2004" s="436">
        <v>43278</v>
      </c>
      <c r="M2004" s="738">
        <v>294.77999999999997</v>
      </c>
      <c r="N2004" s="115">
        <f t="shared" si="129"/>
        <v>-1.4377753651948266E-2</v>
      </c>
      <c r="O2004" s="1121">
        <f t="shared" si="128"/>
        <v>-1.4389667540837155E-2</v>
      </c>
      <c r="P2004" s="1122"/>
    </row>
    <row r="2005" spans="6:16">
      <c r="F2005" s="1121">
        <f t="shared" si="127"/>
        <v>6.1667105892803031E-3</v>
      </c>
      <c r="G2005" s="1122"/>
      <c r="H2005" s="436">
        <v>43279</v>
      </c>
      <c r="I2005" s="738">
        <v>2716.31</v>
      </c>
      <c r="J2005" s="440">
        <f t="shared" si="126"/>
        <v>6.1786244781691924E-3</v>
      </c>
      <c r="L2005" s="436">
        <v>43279</v>
      </c>
      <c r="M2005" s="738">
        <v>295.24</v>
      </c>
      <c r="N2005" s="115">
        <f t="shared" si="129"/>
        <v>1.5604857860100907E-3</v>
      </c>
      <c r="O2005" s="1121">
        <f t="shared" si="128"/>
        <v>1.5485718971212019E-3</v>
      </c>
      <c r="P2005" s="1122"/>
    </row>
    <row r="2006" spans="6:16">
      <c r="F2006" s="1121">
        <f t="shared" si="127"/>
        <v>7.464678863872068E-4</v>
      </c>
      <c r="G2006" s="1122"/>
      <c r="H2006" s="436">
        <v>43280</v>
      </c>
      <c r="I2006" s="738">
        <v>2718.37</v>
      </c>
      <c r="J2006" s="440">
        <f t="shared" si="126"/>
        <v>7.5838177527609574E-4</v>
      </c>
      <c r="L2006" s="436">
        <v>43280</v>
      </c>
      <c r="M2006" s="738">
        <v>295.42989999999998</v>
      </c>
      <c r="N2006" s="115">
        <f t="shared" si="129"/>
        <v>6.4320552770613659E-4</v>
      </c>
      <c r="O2006" s="1121">
        <f t="shared" si="128"/>
        <v>6.3129163881724766E-4</v>
      </c>
      <c r="P2006" s="1122"/>
    </row>
    <row r="2007" spans="6:16">
      <c r="F2007" s="1121">
        <f t="shared" si="127"/>
        <v>3.0561011348201254E-3</v>
      </c>
      <c r="G2007" s="1122"/>
      <c r="H2007" s="436">
        <v>43283</v>
      </c>
      <c r="I2007" s="738">
        <v>2726.71</v>
      </c>
      <c r="J2007" s="440">
        <f t="shared" si="126"/>
        <v>3.0680150237090142E-3</v>
      </c>
      <c r="L2007" s="436">
        <v>43283</v>
      </c>
      <c r="M2007" s="738">
        <v>299.12009999999998</v>
      </c>
      <c r="N2007" s="115">
        <f t="shared" si="129"/>
        <v>1.249094962967523E-2</v>
      </c>
      <c r="O2007" s="1121">
        <f t="shared" si="128"/>
        <v>1.2479035740786341E-2</v>
      </c>
      <c r="P2007" s="1122"/>
    </row>
    <row r="2008" spans="6:16">
      <c r="F2008" s="1121">
        <f t="shared" si="127"/>
        <v>-4.9592680262926592E-3</v>
      </c>
      <c r="G2008" s="1122"/>
      <c r="H2008" s="436">
        <v>43284</v>
      </c>
      <c r="I2008" s="738">
        <v>2713.22</v>
      </c>
      <c r="J2008" s="440">
        <f t="shared" si="126"/>
        <v>-4.9473541374037699E-3</v>
      </c>
      <c r="L2008" s="436">
        <v>43284</v>
      </c>
      <c r="M2008" s="738">
        <v>299.45999999999998</v>
      </c>
      <c r="N2008" s="115">
        <f t="shared" si="129"/>
        <v>1.1363328642910453E-3</v>
      </c>
      <c r="O2008" s="1121">
        <f t="shared" si="128"/>
        <v>1.1244189754021565E-3</v>
      </c>
      <c r="P2008" s="1122"/>
    </row>
    <row r="2009" spans="6:16">
      <c r="F2009" s="1121">
        <f t="shared" si="127"/>
        <v>-1.1913888888888887E-5</v>
      </c>
      <c r="G2009" s="1122"/>
      <c r="H2009" s="436">
        <v>43285</v>
      </c>
      <c r="I2009" s="738">
        <v>2713.22</v>
      </c>
      <c r="J2009" s="440">
        <f t="shared" si="126"/>
        <v>0</v>
      </c>
      <c r="L2009" s="436">
        <v>43285</v>
      </c>
      <c r="M2009" s="738">
        <v>299.45999999999998</v>
      </c>
      <c r="N2009" s="115">
        <f t="shared" si="129"/>
        <v>0</v>
      </c>
      <c r="O2009" s="1121">
        <f t="shared" si="128"/>
        <v>-1.1913888888888887E-5</v>
      </c>
      <c r="P2009" s="1122"/>
    </row>
    <row r="2010" spans="6:16">
      <c r="F2010" s="1121">
        <f t="shared" si="127"/>
        <v>8.6088393121049808E-3</v>
      </c>
      <c r="G2010" s="1122"/>
      <c r="H2010" s="436">
        <v>43286</v>
      </c>
      <c r="I2010" s="738">
        <v>2736.61</v>
      </c>
      <c r="J2010" s="440">
        <f t="shared" si="126"/>
        <v>8.6207532009938692E-3</v>
      </c>
      <c r="L2010" s="436">
        <v>43286</v>
      </c>
      <c r="M2010" s="738">
        <v>299.18990000000002</v>
      </c>
      <c r="N2010" s="115">
        <f t="shared" si="129"/>
        <v>-9.0195685567340256E-4</v>
      </c>
      <c r="O2010" s="1121">
        <f t="shared" si="128"/>
        <v>-9.1387074456229149E-4</v>
      </c>
      <c r="P2010" s="1122"/>
    </row>
    <row r="2011" spans="6:16">
      <c r="F2011" s="1121">
        <f t="shared" si="127"/>
        <v>8.4693823133467003E-3</v>
      </c>
      <c r="G2011" s="1122"/>
      <c r="H2011" s="436">
        <v>43287</v>
      </c>
      <c r="I2011" s="738">
        <v>2759.82</v>
      </c>
      <c r="J2011" s="440">
        <f t="shared" si="126"/>
        <v>8.4812962022355887E-3</v>
      </c>
      <c r="L2011" s="436">
        <v>43287</v>
      </c>
      <c r="M2011" s="738">
        <v>299.18990000000002</v>
      </c>
      <c r="N2011" s="115">
        <f t="shared" si="129"/>
        <v>0</v>
      </c>
      <c r="O2011" s="1121">
        <f t="shared" si="128"/>
        <v>-1.1913888888888887E-5</v>
      </c>
      <c r="P2011" s="1122"/>
    </row>
    <row r="2012" spans="6:16">
      <c r="F2012" s="1121">
        <f t="shared" si="127"/>
        <v>8.8111252948258542E-3</v>
      </c>
      <c r="G2012" s="1122"/>
      <c r="H2012" s="436">
        <v>43290</v>
      </c>
      <c r="I2012" s="738">
        <v>2784.17</v>
      </c>
      <c r="J2012" s="440">
        <f t="shared" si="126"/>
        <v>8.8230391837147426E-3</v>
      </c>
      <c r="L2012" s="436">
        <v>43290</v>
      </c>
      <c r="M2012" s="738">
        <v>306.48</v>
      </c>
      <c r="N2012" s="115">
        <f t="shared" si="129"/>
        <v>2.4366130006393982E-2</v>
      </c>
      <c r="O2012" s="1121">
        <f t="shared" si="128"/>
        <v>2.4354216117505094E-2</v>
      </c>
      <c r="P2012" s="1122"/>
    </row>
    <row r="2013" spans="6:16">
      <c r="F2013" s="1121">
        <f t="shared" si="127"/>
        <v>3.4612935661156789E-3</v>
      </c>
      <c r="G2013" s="1122"/>
      <c r="H2013" s="436">
        <v>43291</v>
      </c>
      <c r="I2013" s="738">
        <v>2793.84</v>
      </c>
      <c r="J2013" s="440">
        <f t="shared" ref="J2013:J2076" si="130">I2013/I2012-1</f>
        <v>3.4732074550045677E-3</v>
      </c>
      <c r="L2013" s="436">
        <v>43291</v>
      </c>
      <c r="M2013" s="738">
        <v>308.83010000000002</v>
      </c>
      <c r="N2013" s="115">
        <f t="shared" si="129"/>
        <v>7.6680370660402453E-3</v>
      </c>
      <c r="O2013" s="1121">
        <f t="shared" si="128"/>
        <v>7.656123177151356E-3</v>
      </c>
      <c r="P2013" s="1122"/>
    </row>
    <row r="2014" spans="6:16">
      <c r="F2014" s="1121">
        <f t="shared" ref="F2014:F2077" si="131">J2014-$I$19</f>
        <v>-7.1060925104277162E-3</v>
      </c>
      <c r="G2014" s="1122"/>
      <c r="H2014" s="436">
        <v>43292</v>
      </c>
      <c r="I2014" s="738">
        <v>2774.02</v>
      </c>
      <c r="J2014" s="440">
        <f t="shared" si="130"/>
        <v>-7.0941786215388269E-3</v>
      </c>
      <c r="L2014" s="436">
        <v>43292</v>
      </c>
      <c r="M2014" s="738">
        <v>306.58010000000002</v>
      </c>
      <c r="N2014" s="115">
        <f t="shared" si="129"/>
        <v>-7.2855592767674393E-3</v>
      </c>
      <c r="O2014" s="1121">
        <f t="shared" ref="O2014:O2077" si="132">N2014-$I$19</f>
        <v>-7.2974731656563286E-3</v>
      </c>
      <c r="P2014" s="1122"/>
    </row>
    <row r="2015" spans="6:16">
      <c r="F2015" s="1121">
        <f t="shared" si="131"/>
        <v>8.7371218066000164E-3</v>
      </c>
      <c r="G2015" s="1122"/>
      <c r="H2015" s="436">
        <v>43293</v>
      </c>
      <c r="I2015" s="738">
        <v>2798.29</v>
      </c>
      <c r="J2015" s="440">
        <f t="shared" si="130"/>
        <v>8.7490356954889048E-3</v>
      </c>
      <c r="L2015" s="436">
        <v>43293</v>
      </c>
      <c r="M2015" s="738">
        <v>313.31009999999998</v>
      </c>
      <c r="N2015" s="115">
        <f t="shared" si="129"/>
        <v>2.1951848799057538E-2</v>
      </c>
      <c r="O2015" s="1121">
        <f t="shared" si="132"/>
        <v>2.193993491016865E-2</v>
      </c>
      <c r="P2015" s="1122"/>
    </row>
    <row r="2016" spans="6:16">
      <c r="F2016" s="1121">
        <f t="shared" si="131"/>
        <v>1.0673166411848604E-3</v>
      </c>
      <c r="G2016" s="1122"/>
      <c r="H2016" s="436">
        <v>43294</v>
      </c>
      <c r="I2016" s="738">
        <v>2801.31</v>
      </c>
      <c r="J2016" s="440">
        <f t="shared" si="130"/>
        <v>1.0792305300737493E-3</v>
      </c>
      <c r="L2016" s="436">
        <v>43294</v>
      </c>
      <c r="M2016" s="738">
        <v>318.37009999999998</v>
      </c>
      <c r="N2016" s="115">
        <f t="shared" si="129"/>
        <v>1.6150133685444601E-2</v>
      </c>
      <c r="O2016" s="1121">
        <f t="shared" si="132"/>
        <v>1.6138219796555713E-2</v>
      </c>
      <c r="P2016" s="1122"/>
    </row>
    <row r="2017" spans="6:16">
      <c r="F2017" s="1121">
        <f t="shared" si="131"/>
        <v>-1.0400043180095538E-3</v>
      </c>
      <c r="G2017" s="1122"/>
      <c r="H2017" s="436">
        <v>43297</v>
      </c>
      <c r="I2017" s="738">
        <v>2798.43</v>
      </c>
      <c r="J2017" s="440">
        <f t="shared" si="130"/>
        <v>-1.028090429120665E-3</v>
      </c>
      <c r="L2017" s="436">
        <v>43297</v>
      </c>
      <c r="M2017" s="738">
        <v>319.05</v>
      </c>
      <c r="N2017" s="115">
        <f t="shared" si="129"/>
        <v>2.1355648661731674E-3</v>
      </c>
      <c r="O2017" s="1121">
        <f t="shared" si="132"/>
        <v>2.1236509772842786E-3</v>
      </c>
      <c r="P2017" s="1122"/>
    </row>
    <row r="2018" spans="6:16">
      <c r="F2018" s="1121">
        <f t="shared" si="131"/>
        <v>3.9617427685941708E-3</v>
      </c>
      <c r="G2018" s="1122"/>
      <c r="H2018" s="436">
        <v>43298</v>
      </c>
      <c r="I2018" s="738">
        <v>2809.55</v>
      </c>
      <c r="J2018" s="440">
        <f t="shared" si="130"/>
        <v>3.9736566574830601E-3</v>
      </c>
      <c r="L2018" s="436">
        <v>43298</v>
      </c>
      <c r="M2018" s="738">
        <v>317.5</v>
      </c>
      <c r="N2018" s="115">
        <f t="shared" si="129"/>
        <v>-4.8581727002037223E-3</v>
      </c>
      <c r="O2018" s="1121">
        <f t="shared" si="132"/>
        <v>-4.8700865890926115E-3</v>
      </c>
      <c r="P2018" s="1122"/>
    </row>
    <row r="2019" spans="6:16">
      <c r="F2019" s="1121">
        <f t="shared" si="131"/>
        <v>2.1485744455417215E-3</v>
      </c>
      <c r="G2019" s="1122"/>
      <c r="H2019" s="436">
        <v>43299</v>
      </c>
      <c r="I2019" s="738">
        <v>2815.62</v>
      </c>
      <c r="J2019" s="440">
        <f t="shared" si="130"/>
        <v>2.1604883344306103E-3</v>
      </c>
      <c r="L2019" s="436">
        <v>43299</v>
      </c>
      <c r="M2019" s="738">
        <v>319.77</v>
      </c>
      <c r="N2019" s="115">
        <f t="shared" si="129"/>
        <v>7.1496062992124632E-3</v>
      </c>
      <c r="O2019" s="1121">
        <f t="shared" si="132"/>
        <v>7.1376924103235739E-3</v>
      </c>
      <c r="P2019" s="1122"/>
    </row>
    <row r="2020" spans="6:16">
      <c r="F2020" s="1121">
        <f t="shared" si="131"/>
        <v>-3.964862085023343E-3</v>
      </c>
      <c r="G2020" s="1122"/>
      <c r="H2020" s="436">
        <v>43300</v>
      </c>
      <c r="I2020" s="738">
        <v>2804.49</v>
      </c>
      <c r="J2020" s="440">
        <f t="shared" si="130"/>
        <v>-3.9529481961344537E-3</v>
      </c>
      <c r="L2020" s="436">
        <v>43300</v>
      </c>
      <c r="M2020" s="738">
        <v>319.6001</v>
      </c>
      <c r="N2020" s="115">
        <f t="shared" si="129"/>
        <v>-5.3131938580852633E-4</v>
      </c>
      <c r="O2020" s="1121">
        <f t="shared" si="132"/>
        <v>-5.4323327469741527E-4</v>
      </c>
      <c r="P2020" s="1122"/>
    </row>
    <row r="2021" spans="6:16">
      <c r="F2021" s="1121">
        <f t="shared" si="131"/>
        <v>-9.6039293498995841E-4</v>
      </c>
      <c r="G2021" s="1122"/>
      <c r="H2021" s="436">
        <v>43301</v>
      </c>
      <c r="I2021" s="738">
        <v>2801.83</v>
      </c>
      <c r="J2021" s="440">
        <f t="shared" si="130"/>
        <v>-9.4847904610106948E-4</v>
      </c>
      <c r="L2021" s="436">
        <v>43301</v>
      </c>
      <c r="M2021" s="738">
        <v>322.55</v>
      </c>
      <c r="N2021" s="115">
        <f t="shared" si="129"/>
        <v>9.2299720807347274E-3</v>
      </c>
      <c r="O2021" s="1121">
        <f t="shared" si="132"/>
        <v>9.218058191845839E-3</v>
      </c>
      <c r="P2021" s="1122"/>
    </row>
    <row r="2022" spans="6:16">
      <c r="F2022" s="1121">
        <f t="shared" si="131"/>
        <v>1.8261705059531212E-3</v>
      </c>
      <c r="G2022" s="1122"/>
      <c r="H2022" s="436">
        <v>43304</v>
      </c>
      <c r="I2022" s="738">
        <v>2806.98</v>
      </c>
      <c r="J2022" s="440">
        <f t="shared" si="130"/>
        <v>1.83808439484201E-3</v>
      </c>
      <c r="L2022" s="436">
        <v>43304</v>
      </c>
      <c r="M2022" s="738">
        <v>318.33010000000002</v>
      </c>
      <c r="N2022" s="115">
        <f t="shared" si="129"/>
        <v>-1.3082932878623499E-2</v>
      </c>
      <c r="O2022" s="1121">
        <f t="shared" si="132"/>
        <v>-1.3094846767512387E-2</v>
      </c>
      <c r="P2022" s="1122"/>
    </row>
    <row r="2023" spans="6:16">
      <c r="F2023" s="1121">
        <f t="shared" si="131"/>
        <v>4.769025056169488E-3</v>
      </c>
      <c r="G2023" s="1122"/>
      <c r="H2023" s="436">
        <v>43305</v>
      </c>
      <c r="I2023" s="738">
        <v>2820.4</v>
      </c>
      <c r="J2023" s="440">
        <f t="shared" si="130"/>
        <v>4.7809389450583772E-3</v>
      </c>
      <c r="L2023" s="436">
        <v>43305</v>
      </c>
      <c r="M2023" s="738">
        <v>322.57010000000002</v>
      </c>
      <c r="N2023" s="115">
        <f t="shared" si="129"/>
        <v>1.3319507014887932E-2</v>
      </c>
      <c r="O2023" s="1121">
        <f t="shared" si="132"/>
        <v>1.3307593125999044E-2</v>
      </c>
      <c r="P2023" s="1122"/>
    </row>
    <row r="2024" spans="6:16">
      <c r="F2024" s="1121">
        <f t="shared" si="131"/>
        <v>9.089631991128104E-3</v>
      </c>
      <c r="G2024" s="1122"/>
      <c r="H2024" s="436">
        <v>43306</v>
      </c>
      <c r="I2024" s="738">
        <v>2846.07</v>
      </c>
      <c r="J2024" s="440">
        <f t="shared" si="130"/>
        <v>9.1015458800169924E-3</v>
      </c>
      <c r="L2024" s="436">
        <v>43306</v>
      </c>
      <c r="M2024" s="738">
        <v>324.36009999999999</v>
      </c>
      <c r="N2024" s="115">
        <f t="shared" si="129"/>
        <v>5.5491814027399666E-3</v>
      </c>
      <c r="O2024" s="1121">
        <f t="shared" si="132"/>
        <v>5.5372675138510774E-3</v>
      </c>
      <c r="P2024" s="1122"/>
    </row>
    <row r="2025" spans="6:16">
      <c r="F2025" s="1121">
        <f t="shared" si="131"/>
        <v>-3.0441653795408937E-3</v>
      </c>
      <c r="G2025" s="1122"/>
      <c r="H2025" s="436">
        <v>43307</v>
      </c>
      <c r="I2025" s="738">
        <v>2837.44</v>
      </c>
      <c r="J2025" s="440">
        <f t="shared" si="130"/>
        <v>-3.0322514906520048E-3</v>
      </c>
      <c r="L2025" s="436">
        <v>43307</v>
      </c>
      <c r="M2025" s="738">
        <v>322.93990000000002</v>
      </c>
      <c r="N2025" s="115">
        <f t="shared" si="129"/>
        <v>-4.3784670186005625E-3</v>
      </c>
      <c r="O2025" s="1121">
        <f t="shared" si="132"/>
        <v>-4.3903809074894518E-3</v>
      </c>
      <c r="P2025" s="1122"/>
    </row>
    <row r="2026" spans="6:16">
      <c r="F2026" s="1121">
        <f t="shared" si="131"/>
        <v>-6.5741671876370445E-3</v>
      </c>
      <c r="G2026" s="1122"/>
      <c r="H2026" s="436">
        <v>43308</v>
      </c>
      <c r="I2026" s="738">
        <v>2818.82</v>
      </c>
      <c r="J2026" s="440">
        <f t="shared" si="130"/>
        <v>-6.5622532987481552E-3</v>
      </c>
      <c r="L2026" s="436">
        <v>43308</v>
      </c>
      <c r="M2026" s="738">
        <v>324.09010000000001</v>
      </c>
      <c r="N2026" s="115">
        <f t="shared" si="129"/>
        <v>3.5616534222002727E-3</v>
      </c>
      <c r="O2026" s="1121">
        <f t="shared" si="132"/>
        <v>3.5497395333113839E-3</v>
      </c>
      <c r="P2026" s="1122"/>
    </row>
    <row r="2027" spans="6:16">
      <c r="F2027" s="1121">
        <f t="shared" si="131"/>
        <v>-5.7660947163273935E-3</v>
      </c>
      <c r="G2027" s="1122"/>
      <c r="H2027" s="436">
        <v>43311</v>
      </c>
      <c r="I2027" s="738">
        <v>2802.6</v>
      </c>
      <c r="J2027" s="440">
        <f t="shared" si="130"/>
        <v>-5.7541808274385042E-3</v>
      </c>
      <c r="L2027" s="436">
        <v>43311</v>
      </c>
      <c r="M2027" s="738">
        <v>320.11009999999999</v>
      </c>
      <c r="N2027" s="115">
        <f t="shared" si="129"/>
        <v>-1.2280535567115503E-2</v>
      </c>
      <c r="O2027" s="1121">
        <f t="shared" si="132"/>
        <v>-1.2292449456004391E-2</v>
      </c>
      <c r="P2027" s="1122"/>
    </row>
    <row r="2028" spans="6:16">
      <c r="F2028" s="1121">
        <f t="shared" si="131"/>
        <v>4.8728359862270009E-3</v>
      </c>
      <c r="G2028" s="1122"/>
      <c r="H2028" s="436">
        <v>43312</v>
      </c>
      <c r="I2028" s="738">
        <v>2816.29</v>
      </c>
      <c r="J2028" s="440">
        <f t="shared" si="130"/>
        <v>4.8847498751158902E-3</v>
      </c>
      <c r="L2028" s="436">
        <v>43312</v>
      </c>
      <c r="M2028" s="738">
        <v>326.1001</v>
      </c>
      <c r="N2028" s="115">
        <f t="shared" si="129"/>
        <v>1.8712311795223036E-2</v>
      </c>
      <c r="O2028" s="1121">
        <f t="shared" si="132"/>
        <v>1.8700397906334147E-2</v>
      </c>
      <c r="P2028" s="1122"/>
    </row>
    <row r="2029" spans="6:16">
      <c r="F2029" s="1121">
        <f t="shared" si="131"/>
        <v>-1.0522897024591933E-3</v>
      </c>
      <c r="G2029" s="1122"/>
      <c r="H2029" s="436">
        <v>43313</v>
      </c>
      <c r="I2029" s="738">
        <v>2813.36</v>
      </c>
      <c r="J2029" s="440">
        <f t="shared" si="130"/>
        <v>-1.0403758135703045E-3</v>
      </c>
      <c r="L2029" s="436">
        <v>43313</v>
      </c>
      <c r="M2029" s="738">
        <v>324.92989999999998</v>
      </c>
      <c r="N2029" s="115">
        <f t="shared" si="129"/>
        <v>-3.5884686941218824E-3</v>
      </c>
      <c r="O2029" s="1121">
        <f t="shared" si="132"/>
        <v>-3.6003825830107712E-3</v>
      </c>
      <c r="P2029" s="1122"/>
    </row>
    <row r="2030" spans="6:16">
      <c r="F2030" s="1121">
        <f t="shared" si="131"/>
        <v>4.914579698849556E-3</v>
      </c>
      <c r="G2030" s="1122"/>
      <c r="H2030" s="436">
        <v>43314</v>
      </c>
      <c r="I2030" s="738">
        <v>2827.22</v>
      </c>
      <c r="J2030" s="440">
        <f t="shared" si="130"/>
        <v>4.9264935877384453E-3</v>
      </c>
      <c r="L2030" s="436">
        <v>43314</v>
      </c>
      <c r="M2030" s="738">
        <v>322.02</v>
      </c>
      <c r="N2030" s="115">
        <f t="shared" si="129"/>
        <v>-8.9554700875480453E-3</v>
      </c>
      <c r="O2030" s="1121">
        <f t="shared" si="132"/>
        <v>-8.9673839764369337E-3</v>
      </c>
      <c r="P2030" s="1122"/>
    </row>
    <row r="2031" spans="6:16">
      <c r="F2031" s="1121">
        <f t="shared" si="131"/>
        <v>4.6322241689912202E-3</v>
      </c>
      <c r="G2031" s="1122"/>
      <c r="H2031" s="436">
        <v>43315</v>
      </c>
      <c r="I2031" s="738">
        <v>2840.35</v>
      </c>
      <c r="J2031" s="440">
        <f t="shared" si="130"/>
        <v>4.6441380578801095E-3</v>
      </c>
      <c r="L2031" s="436">
        <v>43315</v>
      </c>
      <c r="M2031" s="738">
        <v>320.55</v>
      </c>
      <c r="N2031" s="115">
        <f t="shared" si="129"/>
        <v>-4.5649338550399765E-3</v>
      </c>
      <c r="O2031" s="1121">
        <f t="shared" si="132"/>
        <v>-4.5768477439288658E-3</v>
      </c>
      <c r="P2031" s="1122"/>
    </row>
    <row r="2032" spans="6:16">
      <c r="F2032" s="1121">
        <f t="shared" si="131"/>
        <v>3.5263824478303156E-3</v>
      </c>
      <c r="G2032" s="1122"/>
      <c r="H2032" s="436">
        <v>43318</v>
      </c>
      <c r="I2032" s="738">
        <v>2850.4</v>
      </c>
      <c r="J2032" s="440">
        <f t="shared" si="130"/>
        <v>3.5382963367192044E-3</v>
      </c>
      <c r="L2032" s="436">
        <v>43318</v>
      </c>
      <c r="M2032" s="738">
        <v>316.91989999999998</v>
      </c>
      <c r="N2032" s="115">
        <f t="shared" si="129"/>
        <v>-1.132459834659183E-2</v>
      </c>
      <c r="O2032" s="1121">
        <f t="shared" si="132"/>
        <v>-1.1336512235480718E-2</v>
      </c>
      <c r="P2032" s="1122"/>
    </row>
    <row r="2033" spans="6:16">
      <c r="F2033" s="1121">
        <f t="shared" si="131"/>
        <v>2.8122511405804722E-3</v>
      </c>
      <c r="G2033" s="1122"/>
      <c r="H2033" s="436">
        <v>43319</v>
      </c>
      <c r="I2033" s="738">
        <v>2858.45</v>
      </c>
      <c r="J2033" s="440">
        <f t="shared" si="130"/>
        <v>2.824165029469361E-3</v>
      </c>
      <c r="L2033" s="436">
        <v>43319</v>
      </c>
      <c r="M2033" s="738">
        <v>317.40989999999999</v>
      </c>
      <c r="N2033" s="115">
        <f t="shared" ref="N2033:N2096" si="133">M2033/M2032-1</f>
        <v>1.5461320037020165E-3</v>
      </c>
      <c r="O2033" s="1121">
        <f t="shared" si="132"/>
        <v>1.5342181148131277E-3</v>
      </c>
      <c r="P2033" s="1122"/>
    </row>
    <row r="2034" spans="6:16">
      <c r="F2034" s="1121">
        <f t="shared" si="131"/>
        <v>-2.7429385005662464E-4</v>
      </c>
      <c r="G2034" s="1122"/>
      <c r="H2034" s="436">
        <v>43320</v>
      </c>
      <c r="I2034" s="738">
        <v>2857.7</v>
      </c>
      <c r="J2034" s="440">
        <f t="shared" si="130"/>
        <v>-2.6237996116773576E-4</v>
      </c>
      <c r="L2034" s="436">
        <v>43320</v>
      </c>
      <c r="M2034" s="738">
        <v>315.31009999999998</v>
      </c>
      <c r="N2034" s="115">
        <f t="shared" si="133"/>
        <v>-6.6154206280271133E-3</v>
      </c>
      <c r="O2034" s="1121">
        <f t="shared" si="132"/>
        <v>-6.6273345169160025E-3</v>
      </c>
      <c r="P2034" s="1122"/>
    </row>
    <row r="2035" spans="6:16">
      <c r="F2035" s="1121">
        <f t="shared" si="131"/>
        <v>-1.4536327537102507E-3</v>
      </c>
      <c r="G2035" s="1122"/>
      <c r="H2035" s="436">
        <v>43321</v>
      </c>
      <c r="I2035" s="738">
        <v>2853.58</v>
      </c>
      <c r="J2035" s="440">
        <f t="shared" si="130"/>
        <v>-1.4417188648213619E-3</v>
      </c>
      <c r="L2035" s="436">
        <v>43321</v>
      </c>
      <c r="M2035" s="738">
        <v>315.70999999999998</v>
      </c>
      <c r="N2035" s="115">
        <f t="shared" si="133"/>
        <v>1.2682752629871175E-3</v>
      </c>
      <c r="O2035" s="1121">
        <f t="shared" si="132"/>
        <v>1.2563613740982286E-3</v>
      </c>
      <c r="P2035" s="1122"/>
    </row>
    <row r="2036" spans="6:16">
      <c r="F2036" s="1121">
        <f t="shared" si="131"/>
        <v>-7.1257848860222317E-3</v>
      </c>
      <c r="G2036" s="1122"/>
      <c r="H2036" s="436">
        <v>43322</v>
      </c>
      <c r="I2036" s="738">
        <v>2833.28</v>
      </c>
      <c r="J2036" s="440">
        <f t="shared" si="130"/>
        <v>-7.1138709971333425E-3</v>
      </c>
      <c r="L2036" s="436">
        <v>43322</v>
      </c>
      <c r="M2036" s="738">
        <v>313.12009999999998</v>
      </c>
      <c r="N2036" s="115">
        <f t="shared" si="133"/>
        <v>-8.2034145259890501E-3</v>
      </c>
      <c r="O2036" s="1121">
        <f t="shared" si="132"/>
        <v>-8.2153284148779385E-3</v>
      </c>
      <c r="P2036" s="1122"/>
    </row>
    <row r="2037" spans="6:16">
      <c r="F2037" s="1121">
        <f t="shared" si="131"/>
        <v>-4.0178716480938704E-3</v>
      </c>
      <c r="G2037" s="1122"/>
      <c r="H2037" s="436">
        <v>43325</v>
      </c>
      <c r="I2037" s="738">
        <v>2821.93</v>
      </c>
      <c r="J2037" s="440">
        <f t="shared" si="130"/>
        <v>-4.0059577592049811E-3</v>
      </c>
      <c r="L2037" s="436">
        <v>43325</v>
      </c>
      <c r="M2037" s="738">
        <v>313.63990000000001</v>
      </c>
      <c r="N2037" s="115">
        <f t="shared" si="133"/>
        <v>1.660065898037244E-3</v>
      </c>
      <c r="O2037" s="1121">
        <f t="shared" si="132"/>
        <v>1.6481520091483552E-3</v>
      </c>
      <c r="P2037" s="1122"/>
    </row>
    <row r="2038" spans="6:16">
      <c r="F2038" s="1121">
        <f t="shared" si="131"/>
        <v>6.3773303517550206E-3</v>
      </c>
      <c r="G2038" s="1122"/>
      <c r="H2038" s="436">
        <v>43326</v>
      </c>
      <c r="I2038" s="738">
        <v>2839.96</v>
      </c>
      <c r="J2038" s="440">
        <f t="shared" si="130"/>
        <v>6.3892442406439098E-3</v>
      </c>
      <c r="L2038" s="436">
        <v>43326</v>
      </c>
      <c r="M2038" s="738">
        <v>318.59010000000001</v>
      </c>
      <c r="N2038" s="115">
        <f t="shared" si="133"/>
        <v>1.5783068416996615E-2</v>
      </c>
      <c r="O2038" s="1121">
        <f t="shared" si="132"/>
        <v>1.5771154528107727E-2</v>
      </c>
      <c r="P2038" s="1122"/>
    </row>
    <row r="2039" spans="6:16">
      <c r="F2039" s="1121">
        <f t="shared" si="131"/>
        <v>-7.6141336384628689E-3</v>
      </c>
      <c r="G2039" s="1122"/>
      <c r="H2039" s="436">
        <v>43327</v>
      </c>
      <c r="I2039" s="738">
        <v>2818.37</v>
      </c>
      <c r="J2039" s="440">
        <f t="shared" si="130"/>
        <v>-7.6022197495739796E-3</v>
      </c>
      <c r="L2039" s="436">
        <v>43327</v>
      </c>
      <c r="M2039" s="738">
        <v>317.7</v>
      </c>
      <c r="N2039" s="115">
        <f t="shared" si="133"/>
        <v>-2.7938721259700428E-3</v>
      </c>
      <c r="O2039" s="1121">
        <f t="shared" si="132"/>
        <v>-2.8057860148589316E-3</v>
      </c>
      <c r="P2039" s="1122"/>
    </row>
    <row r="2040" spans="6:16">
      <c r="F2040" s="1121">
        <f t="shared" si="131"/>
        <v>7.9075572948096237E-3</v>
      </c>
      <c r="G2040" s="1122"/>
      <c r="H2040" s="436">
        <v>43328</v>
      </c>
      <c r="I2040" s="738">
        <v>2840.69</v>
      </c>
      <c r="J2040" s="440">
        <f t="shared" si="130"/>
        <v>7.9194711836985121E-3</v>
      </c>
      <c r="L2040" s="436">
        <v>43328</v>
      </c>
      <c r="M2040" s="738">
        <v>325.86009999999999</v>
      </c>
      <c r="N2040" s="115">
        <f t="shared" si="133"/>
        <v>2.5684922883223216E-2</v>
      </c>
      <c r="O2040" s="1121">
        <f t="shared" si="132"/>
        <v>2.5673008994334327E-2</v>
      </c>
      <c r="P2040" s="1122"/>
    </row>
    <row r="2041" spans="6:16">
      <c r="F2041" s="1121">
        <f t="shared" si="131"/>
        <v>3.3112223913810339E-3</v>
      </c>
      <c r="G2041" s="1122"/>
      <c r="H2041" s="436">
        <v>43329</v>
      </c>
      <c r="I2041" s="738">
        <v>2850.13</v>
      </c>
      <c r="J2041" s="440">
        <f t="shared" si="130"/>
        <v>3.3231362802699227E-3</v>
      </c>
      <c r="L2041" s="436">
        <v>43329</v>
      </c>
      <c r="M2041" s="738">
        <v>325.23</v>
      </c>
      <c r="N2041" s="115">
        <f t="shared" si="133"/>
        <v>-1.9336518953991799E-3</v>
      </c>
      <c r="O2041" s="1121">
        <f t="shared" si="132"/>
        <v>-1.9455657842880687E-3</v>
      </c>
      <c r="P2041" s="1122"/>
    </row>
    <row r="2042" spans="6:16">
      <c r="F2042" s="1121">
        <f t="shared" si="131"/>
        <v>2.416045537523163E-3</v>
      </c>
      <c r="G2042" s="1122"/>
      <c r="H2042" s="436">
        <v>43332</v>
      </c>
      <c r="I2042" s="738">
        <v>2857.05</v>
      </c>
      <c r="J2042" s="440">
        <f t="shared" si="130"/>
        <v>2.4279594264120519E-3</v>
      </c>
      <c r="L2042" s="436">
        <v>43332</v>
      </c>
      <c r="M2042" s="738">
        <v>324.22000000000003</v>
      </c>
      <c r="N2042" s="115">
        <f t="shared" si="133"/>
        <v>-3.1054945730712991E-3</v>
      </c>
      <c r="O2042" s="1121">
        <f t="shared" si="132"/>
        <v>-3.1174084619601879E-3</v>
      </c>
      <c r="P2042" s="1122"/>
    </row>
    <row r="2043" spans="6:16">
      <c r="F2043" s="1121">
        <f t="shared" si="131"/>
        <v>2.0566533395459589E-3</v>
      </c>
      <c r="G2043" s="1122"/>
      <c r="H2043" s="436">
        <v>43333</v>
      </c>
      <c r="I2043" s="738">
        <v>2862.96</v>
      </c>
      <c r="J2043" s="440">
        <f t="shared" si="130"/>
        <v>2.0685672284348477E-3</v>
      </c>
      <c r="L2043" s="436">
        <v>43333</v>
      </c>
      <c r="M2043" s="738">
        <v>324.38990000000001</v>
      </c>
      <c r="N2043" s="115">
        <f t="shared" si="133"/>
        <v>5.2402689531794167E-4</v>
      </c>
      <c r="O2043" s="1121">
        <f t="shared" si="132"/>
        <v>5.1211300642905273E-4</v>
      </c>
      <c r="P2043" s="1122"/>
    </row>
    <row r="2044" spans="6:16">
      <c r="F2044" s="1121">
        <f t="shared" si="131"/>
        <v>-4.101031755012826E-4</v>
      </c>
      <c r="G2044" s="1122"/>
      <c r="H2044" s="436">
        <v>43334</v>
      </c>
      <c r="I2044" s="738">
        <v>2861.82</v>
      </c>
      <c r="J2044" s="440">
        <f t="shared" si="130"/>
        <v>-3.9818928661239372E-4</v>
      </c>
      <c r="L2044" s="436">
        <v>43334</v>
      </c>
      <c r="M2044" s="738">
        <v>321.91989999999998</v>
      </c>
      <c r="N2044" s="115">
        <f t="shared" si="133"/>
        <v>-7.6142937865821825E-3</v>
      </c>
      <c r="O2044" s="1121">
        <f t="shared" si="132"/>
        <v>-7.6262076754710717E-3</v>
      </c>
      <c r="P2044" s="1122"/>
    </row>
    <row r="2045" spans="6:16">
      <c r="F2045" s="1121">
        <f t="shared" si="131"/>
        <v>-1.7031453429985429E-3</v>
      </c>
      <c r="G2045" s="1122"/>
      <c r="H2045" s="436">
        <v>43335</v>
      </c>
      <c r="I2045" s="738">
        <v>2856.98</v>
      </c>
      <c r="J2045" s="440">
        <f t="shared" si="130"/>
        <v>-1.691231454109654E-3</v>
      </c>
      <c r="L2045" s="436">
        <v>43335</v>
      </c>
      <c r="M2045" s="738">
        <v>320.01</v>
      </c>
      <c r="N2045" s="115">
        <f t="shared" si="133"/>
        <v>-5.9328423002119601E-3</v>
      </c>
      <c r="O2045" s="1121">
        <f t="shared" si="132"/>
        <v>-5.9447561891008494E-3</v>
      </c>
      <c r="P2045" s="1122"/>
    </row>
    <row r="2046" spans="6:16">
      <c r="F2046" s="1121">
        <f t="shared" si="131"/>
        <v>6.1869394457510973E-3</v>
      </c>
      <c r="G2046" s="1122"/>
      <c r="H2046" s="436">
        <v>43336</v>
      </c>
      <c r="I2046" s="738">
        <v>2874.69</v>
      </c>
      <c r="J2046" s="440">
        <f t="shared" si="130"/>
        <v>6.1988533346399866E-3</v>
      </c>
      <c r="L2046" s="436">
        <v>43336</v>
      </c>
      <c r="M2046" s="738">
        <v>321.29000000000002</v>
      </c>
      <c r="N2046" s="115">
        <f t="shared" si="133"/>
        <v>3.9998750039063058E-3</v>
      </c>
      <c r="O2046" s="1121">
        <f t="shared" si="132"/>
        <v>3.9879611150174165E-3</v>
      </c>
      <c r="P2046" s="1122"/>
    </row>
    <row r="2047" spans="6:16">
      <c r="F2047" s="1121">
        <f t="shared" si="131"/>
        <v>7.6584783968879277E-3</v>
      </c>
      <c r="G2047" s="1122"/>
      <c r="H2047" s="436">
        <v>43339</v>
      </c>
      <c r="I2047" s="738">
        <v>2896.74</v>
      </c>
      <c r="J2047" s="440">
        <f t="shared" si="130"/>
        <v>7.670392285776817E-3</v>
      </c>
      <c r="L2047" s="436">
        <v>43339</v>
      </c>
      <c r="M2047" s="738">
        <v>324.34010000000001</v>
      </c>
      <c r="N2047" s="115">
        <f t="shared" si="133"/>
        <v>9.4932926639483828E-3</v>
      </c>
      <c r="O2047" s="1121">
        <f t="shared" si="132"/>
        <v>9.4813787750594944E-3</v>
      </c>
      <c r="P2047" s="1122"/>
    </row>
    <row r="2048" spans="6:16">
      <c r="F2048" s="1121">
        <f t="shared" si="131"/>
        <v>2.573543229630252E-4</v>
      </c>
      <c r="G2048" s="1122"/>
      <c r="H2048" s="436">
        <v>43340</v>
      </c>
      <c r="I2048" s="738">
        <v>2897.52</v>
      </c>
      <c r="J2048" s="440">
        <f t="shared" si="130"/>
        <v>2.6926821185191407E-4</v>
      </c>
      <c r="L2048" s="436">
        <v>43340</v>
      </c>
      <c r="M2048" s="738">
        <v>324.34010000000001</v>
      </c>
      <c r="N2048" s="115">
        <f t="shared" si="133"/>
        <v>0</v>
      </c>
      <c r="O2048" s="1121">
        <f t="shared" si="132"/>
        <v>-1.1913888888888887E-5</v>
      </c>
      <c r="P2048" s="1122"/>
    </row>
    <row r="2049" spans="6:16">
      <c r="F2049" s="1121">
        <f t="shared" si="131"/>
        <v>5.689513538704386E-3</v>
      </c>
      <c r="G2049" s="1122"/>
      <c r="H2049" s="436">
        <v>43341</v>
      </c>
      <c r="I2049" s="738">
        <v>2914.04</v>
      </c>
      <c r="J2049" s="440">
        <f t="shared" si="130"/>
        <v>5.7014274275932753E-3</v>
      </c>
      <c r="L2049" s="436">
        <v>43341</v>
      </c>
      <c r="M2049" s="738">
        <v>324.32010000000002</v>
      </c>
      <c r="N2049" s="115">
        <f t="shared" si="133"/>
        <v>-6.1663667243028186E-5</v>
      </c>
      <c r="O2049" s="1121">
        <f t="shared" si="132"/>
        <v>-7.3577556131917079E-5</v>
      </c>
      <c r="P2049" s="1122"/>
    </row>
    <row r="2050" spans="6:16">
      <c r="F2050" s="1121">
        <f t="shared" si="131"/>
        <v>-4.4421893827050274E-3</v>
      </c>
      <c r="G2050" s="1122"/>
      <c r="H2050" s="436">
        <v>43342</v>
      </c>
      <c r="I2050" s="738">
        <v>2901.13</v>
      </c>
      <c r="J2050" s="440">
        <f t="shared" si="130"/>
        <v>-4.4302754938161382E-3</v>
      </c>
      <c r="L2050" s="436">
        <v>43342</v>
      </c>
      <c r="M2050" s="738">
        <v>321.8501</v>
      </c>
      <c r="N2050" s="115">
        <f t="shared" si="133"/>
        <v>-7.6159325308546855E-3</v>
      </c>
      <c r="O2050" s="1121">
        <f t="shared" si="132"/>
        <v>-7.6278464197435747E-3</v>
      </c>
      <c r="P2050" s="1122"/>
    </row>
    <row r="2051" spans="6:16">
      <c r="F2051" s="1121">
        <f t="shared" si="131"/>
        <v>1.225164882400135E-4</v>
      </c>
      <c r="G2051" s="1122"/>
      <c r="H2051" s="436">
        <v>43343</v>
      </c>
      <c r="I2051" s="738">
        <v>2901.52</v>
      </c>
      <c r="J2051" s="440">
        <f t="shared" si="130"/>
        <v>1.3443037712890238E-4</v>
      </c>
      <c r="L2051" s="436">
        <v>43343</v>
      </c>
      <c r="M2051" s="738">
        <v>320.40989999999999</v>
      </c>
      <c r="N2051" s="115">
        <f t="shared" si="133"/>
        <v>-4.4747539304788031E-3</v>
      </c>
      <c r="O2051" s="1121">
        <f t="shared" si="132"/>
        <v>-4.4866678193676924E-3</v>
      </c>
      <c r="P2051" s="1122"/>
    </row>
    <row r="2052" spans="6:16">
      <c r="F2052" s="1121">
        <f t="shared" si="131"/>
        <v>-1.1913888888888887E-5</v>
      </c>
      <c r="G2052" s="1122"/>
      <c r="H2052" s="436">
        <v>43346</v>
      </c>
      <c r="I2052" s="738">
        <v>2901.52</v>
      </c>
      <c r="J2052" s="440">
        <f t="shared" si="130"/>
        <v>0</v>
      </c>
      <c r="L2052" s="436">
        <v>43346</v>
      </c>
      <c r="M2052" s="738">
        <v>320.40989999999999</v>
      </c>
      <c r="N2052" s="115">
        <f t="shared" si="133"/>
        <v>0</v>
      </c>
      <c r="O2052" s="1121">
        <f t="shared" si="132"/>
        <v>-1.1913888888888887E-5</v>
      </c>
      <c r="P2052" s="1122"/>
    </row>
    <row r="2053" spans="6:16">
      <c r="F2053" s="1121">
        <f t="shared" si="131"/>
        <v>-1.6662192185092979E-3</v>
      </c>
      <c r="G2053" s="1122"/>
      <c r="H2053" s="436">
        <v>43347</v>
      </c>
      <c r="I2053" s="738">
        <v>2896.72</v>
      </c>
      <c r="J2053" s="440">
        <f t="shared" si="130"/>
        <v>-1.6543053296204091E-3</v>
      </c>
      <c r="L2053" s="436">
        <v>43347</v>
      </c>
      <c r="M2053" s="738">
        <v>321.90989999999999</v>
      </c>
      <c r="N2053" s="115">
        <f t="shared" si="133"/>
        <v>4.6815032868834372E-3</v>
      </c>
      <c r="O2053" s="1121">
        <f t="shared" si="132"/>
        <v>4.6695893979945479E-3</v>
      </c>
      <c r="P2053" s="1122"/>
    </row>
    <row r="2054" spans="6:16">
      <c r="F2054" s="1121">
        <f t="shared" si="131"/>
        <v>-2.81508437136558E-3</v>
      </c>
      <c r="G2054" s="1122"/>
      <c r="H2054" s="436">
        <v>43348</v>
      </c>
      <c r="I2054" s="738">
        <v>2888.6</v>
      </c>
      <c r="J2054" s="440">
        <f t="shared" si="130"/>
        <v>-2.8031704824766912E-3</v>
      </c>
      <c r="L2054" s="436">
        <v>43348</v>
      </c>
      <c r="M2054" s="738">
        <v>321.33010000000002</v>
      </c>
      <c r="N2054" s="115">
        <f t="shared" si="133"/>
        <v>-1.8011250974262483E-3</v>
      </c>
      <c r="O2054" s="1121">
        <f t="shared" si="132"/>
        <v>-1.8130389863151371E-3</v>
      </c>
      <c r="P2054" s="1122"/>
    </row>
    <row r="2055" spans="6:16">
      <c r="F2055" s="1121">
        <f t="shared" si="131"/>
        <v>-3.6642021946424815E-3</v>
      </c>
      <c r="G2055" s="1122"/>
      <c r="H2055" s="436">
        <v>43349</v>
      </c>
      <c r="I2055" s="738">
        <v>2878.05</v>
      </c>
      <c r="J2055" s="440">
        <f t="shared" si="130"/>
        <v>-3.6522883057535926E-3</v>
      </c>
      <c r="L2055" s="436">
        <v>43349</v>
      </c>
      <c r="M2055" s="738">
        <v>328.90989999999999</v>
      </c>
      <c r="N2055" s="115">
        <f t="shared" si="133"/>
        <v>2.3588826568068155E-2</v>
      </c>
      <c r="O2055" s="1121">
        <f t="shared" si="132"/>
        <v>2.3576912679179267E-2</v>
      </c>
      <c r="P2055" s="1122"/>
    </row>
    <row r="2056" spans="6:16">
      <c r="F2056" s="1121">
        <f t="shared" si="131"/>
        <v>-2.225218035794015E-3</v>
      </c>
      <c r="G2056" s="1122"/>
      <c r="H2056" s="436">
        <v>43350</v>
      </c>
      <c r="I2056" s="738">
        <v>2871.68</v>
      </c>
      <c r="J2056" s="440">
        <f t="shared" si="130"/>
        <v>-2.2133041469051262E-3</v>
      </c>
      <c r="L2056" s="436">
        <v>43350</v>
      </c>
      <c r="M2056" s="738">
        <v>328.53</v>
      </c>
      <c r="N2056" s="115">
        <f t="shared" si="133"/>
        <v>-1.1550275622594919E-3</v>
      </c>
      <c r="O2056" s="1121">
        <f t="shared" si="132"/>
        <v>-1.1669414511483807E-3</v>
      </c>
      <c r="P2056" s="1122"/>
    </row>
    <row r="2057" spans="6:16">
      <c r="F2057" s="1121">
        <f t="shared" si="131"/>
        <v>1.8859298820049701E-3</v>
      </c>
      <c r="G2057" s="1122"/>
      <c r="H2057" s="436">
        <v>43353</v>
      </c>
      <c r="I2057" s="738">
        <v>2877.13</v>
      </c>
      <c r="J2057" s="440">
        <f t="shared" si="130"/>
        <v>1.8978437708938589E-3</v>
      </c>
      <c r="L2057" s="436">
        <v>43353</v>
      </c>
      <c r="M2057" s="738">
        <v>322.95</v>
      </c>
      <c r="N2057" s="115">
        <f t="shared" si="133"/>
        <v>-1.6984750251118563E-2</v>
      </c>
      <c r="O2057" s="1121">
        <f t="shared" si="132"/>
        <v>-1.6996664140007452E-2</v>
      </c>
      <c r="P2057" s="1122"/>
    </row>
    <row r="2058" spans="6:16">
      <c r="F2058" s="1121">
        <f t="shared" si="131"/>
        <v>3.7279240746371715E-3</v>
      </c>
      <c r="G2058" s="1122"/>
      <c r="H2058" s="436">
        <v>43354</v>
      </c>
      <c r="I2058" s="738">
        <v>2887.89</v>
      </c>
      <c r="J2058" s="440">
        <f t="shared" si="130"/>
        <v>3.7398379635260603E-3</v>
      </c>
      <c r="L2058" s="436">
        <v>43354</v>
      </c>
      <c r="M2058" s="738">
        <v>322.23</v>
      </c>
      <c r="N2058" s="115">
        <f t="shared" si="133"/>
        <v>-2.2294472828610079E-3</v>
      </c>
      <c r="O2058" s="1121">
        <f t="shared" si="132"/>
        <v>-2.2413611717498967E-3</v>
      </c>
      <c r="P2058" s="1122"/>
    </row>
    <row r="2059" spans="6:16">
      <c r="F2059" s="1121">
        <f t="shared" si="131"/>
        <v>3.4474789532034457E-4</v>
      </c>
      <c r="G2059" s="1122"/>
      <c r="H2059" s="436">
        <v>43355</v>
      </c>
      <c r="I2059" s="738">
        <v>2888.92</v>
      </c>
      <c r="J2059" s="440">
        <f t="shared" si="130"/>
        <v>3.5666178420923345E-4</v>
      </c>
      <c r="L2059" s="436">
        <v>43355</v>
      </c>
      <c r="M2059" s="738">
        <v>325.27999999999997</v>
      </c>
      <c r="N2059" s="115">
        <f t="shared" si="133"/>
        <v>9.4652887688917442E-3</v>
      </c>
      <c r="O2059" s="1121">
        <f t="shared" si="132"/>
        <v>9.4533748800028558E-3</v>
      </c>
      <c r="P2059" s="1122"/>
    </row>
    <row r="2060" spans="6:16">
      <c r="F2060" s="1121">
        <f t="shared" si="131"/>
        <v>5.2703369176408865E-3</v>
      </c>
      <c r="G2060" s="1122"/>
      <c r="H2060" s="436">
        <v>43356</v>
      </c>
      <c r="I2060" s="738">
        <v>2904.18</v>
      </c>
      <c r="J2060" s="440">
        <f t="shared" si="130"/>
        <v>5.2822508065297757E-3</v>
      </c>
      <c r="L2060" s="436">
        <v>43356</v>
      </c>
      <c r="M2060" s="738">
        <v>331.28</v>
      </c>
      <c r="N2060" s="115">
        <f t="shared" si="133"/>
        <v>1.8445646827348838E-2</v>
      </c>
      <c r="O2060" s="1121">
        <f t="shared" si="132"/>
        <v>1.843373293845995E-2</v>
      </c>
      <c r="P2060" s="1122"/>
    </row>
    <row r="2061" spans="6:16">
      <c r="F2061" s="1121">
        <f t="shared" si="131"/>
        <v>2.6355113049702318E-4</v>
      </c>
      <c r="G2061" s="1122"/>
      <c r="H2061" s="436">
        <v>43357</v>
      </c>
      <c r="I2061" s="738">
        <v>2904.98</v>
      </c>
      <c r="J2061" s="440">
        <f t="shared" si="130"/>
        <v>2.7546501938591206E-4</v>
      </c>
      <c r="L2061" s="436">
        <v>43357</v>
      </c>
      <c r="M2061" s="738">
        <v>335.8</v>
      </c>
      <c r="N2061" s="115">
        <f t="shared" si="133"/>
        <v>1.3644047331562437E-2</v>
      </c>
      <c r="O2061" s="1121">
        <f t="shared" si="132"/>
        <v>1.3632133442673548E-2</v>
      </c>
      <c r="P2061" s="1122"/>
    </row>
    <row r="2062" spans="6:16">
      <c r="F2062" s="1121">
        <f t="shared" si="131"/>
        <v>-5.5816596358474546E-3</v>
      </c>
      <c r="G2062" s="1122"/>
      <c r="H2062" s="436">
        <v>43360</v>
      </c>
      <c r="I2062" s="738">
        <v>2888.8</v>
      </c>
      <c r="J2062" s="440">
        <f t="shared" si="130"/>
        <v>-5.5697457469585654E-3</v>
      </c>
      <c r="L2062" s="436">
        <v>43360</v>
      </c>
      <c r="M2062" s="738">
        <v>339.34010000000001</v>
      </c>
      <c r="N2062" s="115">
        <f t="shared" si="133"/>
        <v>1.05422870756402E-2</v>
      </c>
      <c r="O2062" s="1121">
        <f t="shared" si="132"/>
        <v>1.0530373186751311E-2</v>
      </c>
      <c r="P2062" s="1122"/>
    </row>
    <row r="2063" spans="6:16">
      <c r="F2063" s="1121">
        <f t="shared" si="131"/>
        <v>5.3570974653066516E-3</v>
      </c>
      <c r="G2063" s="1122"/>
      <c r="H2063" s="436">
        <v>43361</v>
      </c>
      <c r="I2063" s="738">
        <v>2904.31</v>
      </c>
      <c r="J2063" s="440">
        <f t="shared" si="130"/>
        <v>5.3690113541955409E-3</v>
      </c>
      <c r="L2063" s="436">
        <v>43361</v>
      </c>
      <c r="M2063" s="738">
        <v>343.22</v>
      </c>
      <c r="N2063" s="115">
        <f t="shared" si="133"/>
        <v>1.1433661981003818E-2</v>
      </c>
      <c r="O2063" s="1121">
        <f t="shared" si="132"/>
        <v>1.1421748092114929E-2</v>
      </c>
      <c r="P2063" s="1122"/>
    </row>
    <row r="2064" spans="6:16">
      <c r="F2064" s="1121">
        <f t="shared" si="131"/>
        <v>1.2413958473306212E-3</v>
      </c>
      <c r="G2064" s="1122"/>
      <c r="H2064" s="436">
        <v>43362</v>
      </c>
      <c r="I2064" s="738">
        <v>2907.95</v>
      </c>
      <c r="J2064" s="440">
        <f t="shared" si="130"/>
        <v>1.25330973621951E-3</v>
      </c>
      <c r="L2064" s="436">
        <v>43362</v>
      </c>
      <c r="M2064" s="738">
        <v>339.3</v>
      </c>
      <c r="N2064" s="115">
        <f t="shared" si="133"/>
        <v>-1.1421245848144079E-2</v>
      </c>
      <c r="O2064" s="1121">
        <f t="shared" si="132"/>
        <v>-1.1433159737032968E-2</v>
      </c>
      <c r="P2064" s="1122"/>
    </row>
    <row r="2065" spans="6:16">
      <c r="F2065" s="1121">
        <f t="shared" si="131"/>
        <v>7.8286610866092829E-3</v>
      </c>
      <c r="G2065" s="1122"/>
      <c r="H2065" s="436">
        <v>43363</v>
      </c>
      <c r="I2065" s="738">
        <v>2930.75</v>
      </c>
      <c r="J2065" s="440">
        <f t="shared" si="130"/>
        <v>7.8405749754981713E-3</v>
      </c>
      <c r="L2065" s="436">
        <v>43363</v>
      </c>
      <c r="M2065" s="738">
        <v>333.12990000000002</v>
      </c>
      <c r="N2065" s="115">
        <f t="shared" si="133"/>
        <v>-1.8184792219274937E-2</v>
      </c>
      <c r="O2065" s="1121">
        <f t="shared" si="132"/>
        <v>-1.8196706108163825E-2</v>
      </c>
      <c r="P2065" s="1122"/>
    </row>
    <row r="2066" spans="6:16">
      <c r="F2066" s="1121">
        <f t="shared" si="131"/>
        <v>-3.8042024391738615E-4</v>
      </c>
      <c r="G2066" s="1122"/>
      <c r="H2066" s="436">
        <v>43364</v>
      </c>
      <c r="I2066" s="738">
        <v>2929.67</v>
      </c>
      <c r="J2066" s="440">
        <f t="shared" si="130"/>
        <v>-3.6850635502849727E-4</v>
      </c>
      <c r="L2066" s="436">
        <v>43364</v>
      </c>
      <c r="M2066" s="738">
        <v>337.65989999999999</v>
      </c>
      <c r="N2066" s="115">
        <f t="shared" si="133"/>
        <v>1.3598299041905237E-2</v>
      </c>
      <c r="O2066" s="1121">
        <f t="shared" si="132"/>
        <v>1.3586385153016349E-2</v>
      </c>
      <c r="P2066" s="1122"/>
    </row>
    <row r="2067" spans="6:16">
      <c r="F2067" s="1121">
        <f t="shared" si="131"/>
        <v>-3.5276682229948915E-3</v>
      </c>
      <c r="G2067" s="1122"/>
      <c r="H2067" s="436">
        <v>43367</v>
      </c>
      <c r="I2067" s="738">
        <v>2919.37</v>
      </c>
      <c r="J2067" s="440">
        <f t="shared" si="130"/>
        <v>-3.5157543341060027E-3</v>
      </c>
      <c r="L2067" s="436">
        <v>43367</v>
      </c>
      <c r="M2067" s="738">
        <v>337.58010000000002</v>
      </c>
      <c r="N2067" s="115">
        <f t="shared" si="133"/>
        <v>-2.3633247536936075E-4</v>
      </c>
      <c r="O2067" s="1121">
        <f t="shared" si="132"/>
        <v>-2.4824636425824963E-4</v>
      </c>
      <c r="P2067" s="1122"/>
    </row>
    <row r="2068" spans="6:16">
      <c r="F2068" s="1121">
        <f t="shared" si="131"/>
        <v>-1.3169899840738204E-3</v>
      </c>
      <c r="G2068" s="1122"/>
      <c r="H2068" s="436">
        <v>43368</v>
      </c>
      <c r="I2068" s="738">
        <v>2915.56</v>
      </c>
      <c r="J2068" s="440">
        <f t="shared" si="130"/>
        <v>-1.3050760951849316E-3</v>
      </c>
      <c r="L2068" s="436">
        <v>43368</v>
      </c>
      <c r="M2068" s="738">
        <v>343.54</v>
      </c>
      <c r="N2068" s="115">
        <f t="shared" si="133"/>
        <v>1.7654772896862125E-2</v>
      </c>
      <c r="O2068" s="1121">
        <f t="shared" si="132"/>
        <v>1.7642859007973237E-2</v>
      </c>
      <c r="P2068" s="1122"/>
    </row>
    <row r="2069" spans="6:16">
      <c r="F2069" s="1121">
        <f t="shared" si="131"/>
        <v>-3.3011619235717789E-3</v>
      </c>
      <c r="G2069" s="1122"/>
      <c r="H2069" s="436">
        <v>43369</v>
      </c>
      <c r="I2069" s="738">
        <v>2905.97</v>
      </c>
      <c r="J2069" s="440">
        <f t="shared" si="130"/>
        <v>-3.2892480346828901E-3</v>
      </c>
      <c r="L2069" s="436">
        <v>43369</v>
      </c>
      <c r="M2069" s="738">
        <v>342.87990000000002</v>
      </c>
      <c r="N2069" s="115">
        <f t="shared" si="133"/>
        <v>-1.9214647493741577E-3</v>
      </c>
      <c r="O2069" s="1121">
        <f t="shared" si="132"/>
        <v>-1.9333786382630465E-3</v>
      </c>
      <c r="P2069" s="1122"/>
    </row>
    <row r="2070" spans="6:16">
      <c r="F2070" s="1121">
        <f t="shared" si="131"/>
        <v>2.7513630891943179E-3</v>
      </c>
      <c r="G2070" s="1122"/>
      <c r="H2070" s="436">
        <v>43370</v>
      </c>
      <c r="I2070" s="738">
        <v>2914</v>
      </c>
      <c r="J2070" s="440">
        <f t="shared" si="130"/>
        <v>2.7632769780832067E-3</v>
      </c>
      <c r="L2070" s="436">
        <v>43370</v>
      </c>
      <c r="M2070" s="738">
        <v>346.05</v>
      </c>
      <c r="N2070" s="115">
        <f t="shared" si="133"/>
        <v>9.2455113291856073E-3</v>
      </c>
      <c r="O2070" s="1121">
        <f t="shared" si="132"/>
        <v>9.2335974402967189E-3</v>
      </c>
      <c r="P2070" s="1122"/>
    </row>
    <row r="2071" spans="6:16">
      <c r="F2071" s="1121">
        <f t="shared" si="131"/>
        <v>-1.8777306871061378E-5</v>
      </c>
      <c r="G2071" s="1122"/>
      <c r="H2071" s="436">
        <v>43371</v>
      </c>
      <c r="I2071" s="738">
        <v>2913.98</v>
      </c>
      <c r="J2071" s="440">
        <f t="shared" si="130"/>
        <v>-6.8634179821724928E-6</v>
      </c>
      <c r="L2071" s="436">
        <v>43371</v>
      </c>
      <c r="M2071" s="738">
        <v>345.96</v>
      </c>
      <c r="N2071" s="115">
        <f t="shared" si="133"/>
        <v>-2.6007802340710651E-4</v>
      </c>
      <c r="O2071" s="1121">
        <f t="shared" si="132"/>
        <v>-2.7199191229599539E-4</v>
      </c>
      <c r="P2071" s="1122"/>
    </row>
    <row r="2072" spans="6:16">
      <c r="F2072" s="1121">
        <f t="shared" si="131"/>
        <v>3.6291543408176678E-3</v>
      </c>
      <c r="G2072" s="1122"/>
      <c r="H2072" s="436">
        <v>43374</v>
      </c>
      <c r="I2072" s="738">
        <v>2924.59</v>
      </c>
      <c r="J2072" s="440">
        <f t="shared" si="130"/>
        <v>3.6410682297065566E-3</v>
      </c>
      <c r="L2072" s="436">
        <v>43374</v>
      </c>
      <c r="M2072" s="738">
        <v>347.92989999999998</v>
      </c>
      <c r="N2072" s="115">
        <f t="shared" si="133"/>
        <v>5.6940108683085633E-3</v>
      </c>
      <c r="O2072" s="1121">
        <f t="shared" si="132"/>
        <v>5.682096979419674E-3</v>
      </c>
      <c r="P2072" s="1122"/>
    </row>
    <row r="2073" spans="6:16">
      <c r="F2073" s="1121">
        <f t="shared" si="131"/>
        <v>-4.0855068242241131E-4</v>
      </c>
      <c r="G2073" s="1122"/>
      <c r="H2073" s="436">
        <v>43375</v>
      </c>
      <c r="I2073" s="738">
        <v>2923.43</v>
      </c>
      <c r="J2073" s="440">
        <f t="shared" si="130"/>
        <v>-3.9663679353352244E-4</v>
      </c>
      <c r="L2073" s="436">
        <v>43375</v>
      </c>
      <c r="M2073" s="738">
        <v>349.07010000000002</v>
      </c>
      <c r="N2073" s="115">
        <f t="shared" si="133"/>
        <v>3.2770969094637614E-3</v>
      </c>
      <c r="O2073" s="1121">
        <f t="shared" si="132"/>
        <v>3.2651830205748726E-3</v>
      </c>
      <c r="P2073" s="1122"/>
    </row>
    <row r="2074" spans="6:16">
      <c r="F2074" s="1121">
        <f t="shared" si="131"/>
        <v>6.9957911761397236E-4</v>
      </c>
      <c r="G2074" s="1122"/>
      <c r="H2074" s="436">
        <v>43376</v>
      </c>
      <c r="I2074" s="738">
        <v>2925.51</v>
      </c>
      <c r="J2074" s="440">
        <f t="shared" si="130"/>
        <v>7.1149300650286129E-4</v>
      </c>
      <c r="L2074" s="436">
        <v>43376</v>
      </c>
      <c r="M2074" s="738">
        <v>347.43990000000002</v>
      </c>
      <c r="N2074" s="115">
        <f t="shared" si="133"/>
        <v>-4.670122133061505E-3</v>
      </c>
      <c r="O2074" s="1121">
        <f t="shared" si="132"/>
        <v>-4.6820360219503943E-3</v>
      </c>
      <c r="P2074" s="1122"/>
    </row>
    <row r="2075" spans="6:16">
      <c r="F2075" s="1121">
        <f t="shared" si="131"/>
        <v>-8.1814296314432003E-3</v>
      </c>
      <c r="G2075" s="1122"/>
      <c r="H2075" s="436">
        <v>43377</v>
      </c>
      <c r="I2075" s="738">
        <v>2901.61</v>
      </c>
      <c r="J2075" s="440">
        <f t="shared" si="130"/>
        <v>-8.1695157425543119E-3</v>
      </c>
      <c r="L2075" s="436">
        <v>43377</v>
      </c>
      <c r="M2075" s="738">
        <v>349.46</v>
      </c>
      <c r="N2075" s="115">
        <f t="shared" si="133"/>
        <v>5.814242981303952E-3</v>
      </c>
      <c r="O2075" s="1121">
        <f t="shared" si="132"/>
        <v>5.8023290924150627E-3</v>
      </c>
      <c r="P2075" s="1122"/>
    </row>
    <row r="2076" spans="6:16">
      <c r="F2076" s="1121">
        <f t="shared" si="131"/>
        <v>-5.5398793976926342E-3</v>
      </c>
      <c r="G2076" s="1122"/>
      <c r="H2076" s="436">
        <v>43378</v>
      </c>
      <c r="I2076" s="738">
        <v>2885.57</v>
      </c>
      <c r="J2076" s="440">
        <f t="shared" si="130"/>
        <v>-5.5279655088037449E-3</v>
      </c>
      <c r="L2076" s="436">
        <v>43378</v>
      </c>
      <c r="M2076" s="738">
        <v>347.21</v>
      </c>
      <c r="N2076" s="115">
        <f t="shared" si="133"/>
        <v>-6.4385051221884648E-3</v>
      </c>
      <c r="O2076" s="1121">
        <f t="shared" si="132"/>
        <v>-6.4504190110773541E-3</v>
      </c>
      <c r="P2076" s="1122"/>
    </row>
    <row r="2077" spans="6:16">
      <c r="F2077" s="1121">
        <f t="shared" si="131"/>
        <v>-4.0698314730237183E-4</v>
      </c>
      <c r="G2077" s="1122"/>
      <c r="H2077" s="436">
        <v>43381</v>
      </c>
      <c r="I2077" s="738">
        <v>2884.43</v>
      </c>
      <c r="J2077" s="440">
        <f t="shared" ref="J2077:J2137" si="134">I2077/I2076-1</f>
        <v>-3.9506925841348295E-4</v>
      </c>
      <c r="L2077" s="436">
        <v>43381</v>
      </c>
      <c r="M2077" s="738">
        <v>349.92989999999998</v>
      </c>
      <c r="N2077" s="115">
        <f t="shared" si="133"/>
        <v>7.8335877422885947E-3</v>
      </c>
      <c r="O2077" s="1121">
        <f t="shared" si="132"/>
        <v>7.8216738533997063E-3</v>
      </c>
      <c r="P2077" s="1122"/>
    </row>
    <row r="2078" spans="6:16">
      <c r="F2078" s="1121">
        <f t="shared" ref="F2078:F2137" si="135">J2078-$I$19</f>
        <v>-1.4298716829763765E-3</v>
      </c>
      <c r="G2078" s="1122"/>
      <c r="H2078" s="436">
        <v>43382</v>
      </c>
      <c r="I2078" s="738">
        <v>2880.34</v>
      </c>
      <c r="J2078" s="440">
        <f t="shared" si="134"/>
        <v>-1.4179577940874877E-3</v>
      </c>
      <c r="L2078" s="436">
        <v>43382</v>
      </c>
      <c r="M2078" s="738">
        <v>347.31009999999998</v>
      </c>
      <c r="N2078" s="115">
        <f t="shared" si="133"/>
        <v>-7.4866423246484626E-3</v>
      </c>
      <c r="O2078" s="1121">
        <f t="shared" ref="O2078:O2137" si="136">N2078-$I$19</f>
        <v>-7.4985562135373518E-3</v>
      </c>
      <c r="P2078" s="1122"/>
    </row>
    <row r="2079" spans="6:16">
      <c r="F2079" s="1121">
        <f t="shared" si="135"/>
        <v>-3.2876089645917712E-2</v>
      </c>
      <c r="G2079" s="1122"/>
      <c r="H2079" s="436">
        <v>43383</v>
      </c>
      <c r="I2079" s="738">
        <v>2785.68</v>
      </c>
      <c r="J2079" s="440">
        <f t="shared" si="134"/>
        <v>-3.2864175757028824E-2</v>
      </c>
      <c r="L2079" s="436">
        <v>43383</v>
      </c>
      <c r="M2079" s="738">
        <v>336.75</v>
      </c>
      <c r="N2079" s="115">
        <f t="shared" si="133"/>
        <v>-3.0405392759957128E-2</v>
      </c>
      <c r="O2079" s="1121">
        <f t="shared" si="136"/>
        <v>-3.0417306648846017E-2</v>
      </c>
      <c r="P2079" s="1122"/>
    </row>
    <row r="2080" spans="6:16">
      <c r="F2080" s="1121">
        <f t="shared" si="135"/>
        <v>-2.0584987608770595E-2</v>
      </c>
      <c r="G2080" s="1122"/>
      <c r="H2080" s="436">
        <v>43384</v>
      </c>
      <c r="I2080" s="738">
        <v>2728.37</v>
      </c>
      <c r="J2080" s="440">
        <f t="shared" si="134"/>
        <v>-2.0573073719881707E-2</v>
      </c>
      <c r="L2080" s="436">
        <v>43384</v>
      </c>
      <c r="M2080" s="738">
        <v>326.26</v>
      </c>
      <c r="N2080" s="115">
        <f t="shared" si="133"/>
        <v>-3.1150705270972523E-2</v>
      </c>
      <c r="O2080" s="1121">
        <f t="shared" si="136"/>
        <v>-3.1162619159861411E-2</v>
      </c>
      <c r="P2080" s="1122"/>
    </row>
    <row r="2081" spans="6:16">
      <c r="F2081" s="1121">
        <f t="shared" si="135"/>
        <v>1.4194370449379094E-2</v>
      </c>
      <c r="G2081" s="1122"/>
      <c r="H2081" s="436">
        <v>43385</v>
      </c>
      <c r="I2081" s="738">
        <v>2767.13</v>
      </c>
      <c r="J2081" s="440">
        <f t="shared" si="134"/>
        <v>1.4206284338267983E-2</v>
      </c>
      <c r="L2081" s="436">
        <v>43385</v>
      </c>
      <c r="M2081" s="738">
        <v>327.62009999999998</v>
      </c>
      <c r="N2081" s="115">
        <f t="shared" si="133"/>
        <v>4.1687611107705802E-3</v>
      </c>
      <c r="O2081" s="1121">
        <f t="shared" si="136"/>
        <v>4.1568472218816909E-3</v>
      </c>
      <c r="P2081" s="1122"/>
    </row>
    <row r="2082" spans="6:16">
      <c r="F2082" s="1121">
        <f t="shared" si="135"/>
        <v>-5.9169490697441674E-3</v>
      </c>
      <c r="G2082" s="1122"/>
      <c r="H2082" s="436">
        <v>43388</v>
      </c>
      <c r="I2082" s="738">
        <v>2750.79</v>
      </c>
      <c r="J2082" s="440">
        <f t="shared" si="134"/>
        <v>-5.9050351808552781E-3</v>
      </c>
      <c r="L2082" s="436">
        <v>43388</v>
      </c>
      <c r="M2082" s="738">
        <v>331.24</v>
      </c>
      <c r="N2082" s="115">
        <f t="shared" si="133"/>
        <v>1.1049077880142422E-2</v>
      </c>
      <c r="O2082" s="1121">
        <f t="shared" si="136"/>
        <v>1.1037163991253533E-2</v>
      </c>
      <c r="P2082" s="1122"/>
    </row>
    <row r="2083" spans="6:16">
      <c r="F2083" s="1121">
        <f t="shared" si="135"/>
        <v>2.1483729180920112E-2</v>
      </c>
      <c r="G2083" s="1122"/>
      <c r="H2083" s="436">
        <v>43389</v>
      </c>
      <c r="I2083" s="738">
        <v>2809.92</v>
      </c>
      <c r="J2083" s="440">
        <f t="shared" si="134"/>
        <v>2.1495643069809001E-2</v>
      </c>
      <c r="L2083" s="436">
        <v>43389</v>
      </c>
      <c r="M2083" s="738">
        <v>337.12990000000002</v>
      </c>
      <c r="N2083" s="115">
        <f t="shared" si="133"/>
        <v>1.7781366984663816E-2</v>
      </c>
      <c r="O2083" s="1121">
        <f t="shared" si="136"/>
        <v>1.7769453095774927E-2</v>
      </c>
      <c r="P2083" s="1122"/>
    </row>
    <row r="2084" spans="6:16">
      <c r="F2084" s="1121">
        <f t="shared" si="135"/>
        <v>-2.6459012166425065E-4</v>
      </c>
      <c r="G2084" s="1122"/>
      <c r="H2084" s="436">
        <v>43390</v>
      </c>
      <c r="I2084" s="738">
        <v>2809.21</v>
      </c>
      <c r="J2084" s="440">
        <f t="shared" si="134"/>
        <v>-2.5267623277536178E-4</v>
      </c>
      <c r="L2084" s="436">
        <v>43390</v>
      </c>
      <c r="M2084" s="738">
        <v>333.3999</v>
      </c>
      <c r="N2084" s="115">
        <f t="shared" si="133"/>
        <v>-1.1063984535337967E-2</v>
      </c>
      <c r="O2084" s="1121">
        <f t="shared" si="136"/>
        <v>-1.1075898424226856E-2</v>
      </c>
      <c r="P2084" s="1122"/>
    </row>
    <row r="2085" spans="6:16">
      <c r="F2085" s="1121">
        <f t="shared" si="135"/>
        <v>-1.4403860379183293E-2</v>
      </c>
      <c r="G2085" s="1122"/>
      <c r="H2085" s="436">
        <v>43391</v>
      </c>
      <c r="I2085" s="738">
        <v>2768.78</v>
      </c>
      <c r="J2085" s="440">
        <f t="shared" si="134"/>
        <v>-1.4391946490294405E-2</v>
      </c>
      <c r="L2085" s="436">
        <v>43391</v>
      </c>
      <c r="M2085" s="738">
        <v>328</v>
      </c>
      <c r="N2085" s="115">
        <f t="shared" si="133"/>
        <v>-1.6196465565826546E-2</v>
      </c>
      <c r="O2085" s="1121">
        <f t="shared" si="136"/>
        <v>-1.6208379454715434E-2</v>
      </c>
      <c r="P2085" s="1122"/>
    </row>
    <row r="2086" spans="6:16">
      <c r="F2086" s="1121">
        <f t="shared" si="135"/>
        <v>-3.7308379043399974E-4</v>
      </c>
      <c r="G2086" s="1122"/>
      <c r="H2086" s="436">
        <v>43392</v>
      </c>
      <c r="I2086" s="738">
        <v>2767.78</v>
      </c>
      <c r="J2086" s="440">
        <f t="shared" si="134"/>
        <v>-3.6116990154511086E-4</v>
      </c>
      <c r="L2086" s="436">
        <v>43392</v>
      </c>
      <c r="M2086" s="738">
        <v>328.13990000000001</v>
      </c>
      <c r="N2086" s="115">
        <f t="shared" si="133"/>
        <v>4.2652439024393196E-4</v>
      </c>
      <c r="O2086" s="1121">
        <f t="shared" si="136"/>
        <v>4.1461050135504308E-4</v>
      </c>
      <c r="P2086" s="1122"/>
    </row>
    <row r="2087" spans="6:16">
      <c r="F2087" s="1121">
        <f t="shared" si="135"/>
        <v>-4.3113885581184197E-3</v>
      </c>
      <c r="G2087" s="1122"/>
      <c r="H2087" s="436">
        <v>43395</v>
      </c>
      <c r="I2087" s="738">
        <v>2755.88</v>
      </c>
      <c r="J2087" s="440">
        <f t="shared" si="134"/>
        <v>-4.2994746692295305E-3</v>
      </c>
      <c r="L2087" s="436">
        <v>43395</v>
      </c>
      <c r="M2087" s="738">
        <v>326.77999999999997</v>
      </c>
      <c r="N2087" s="115">
        <f t="shared" si="133"/>
        <v>-4.1442689535775568E-3</v>
      </c>
      <c r="O2087" s="1121">
        <f t="shared" si="136"/>
        <v>-4.156182842466446E-3</v>
      </c>
      <c r="P2087" s="1122"/>
    </row>
    <row r="2088" spans="6:16">
      <c r="F2088" s="1121">
        <f t="shared" si="135"/>
        <v>-5.5237649128812094E-3</v>
      </c>
      <c r="G2088" s="1122"/>
      <c r="H2088" s="436">
        <v>43396</v>
      </c>
      <c r="I2088" s="738">
        <v>2740.69</v>
      </c>
      <c r="J2088" s="440">
        <f t="shared" si="134"/>
        <v>-5.5118510239923202E-3</v>
      </c>
      <c r="L2088" s="436">
        <v>43396</v>
      </c>
      <c r="M2088" s="738">
        <v>321.3501</v>
      </c>
      <c r="N2088" s="115">
        <f t="shared" si="133"/>
        <v>-1.6616377991309106E-2</v>
      </c>
      <c r="O2088" s="1121">
        <f t="shared" si="136"/>
        <v>-1.6628291880197994E-2</v>
      </c>
      <c r="P2088" s="1122"/>
    </row>
    <row r="2089" spans="6:16">
      <c r="F2089" s="1121">
        <f t="shared" si="135"/>
        <v>-3.0876404217966676E-2</v>
      </c>
      <c r="G2089" s="1122"/>
      <c r="H2089" s="436">
        <v>43397</v>
      </c>
      <c r="I2089" s="738">
        <v>2656.1</v>
      </c>
      <c r="J2089" s="440">
        <f t="shared" si="134"/>
        <v>-3.0864490329077787E-2</v>
      </c>
      <c r="L2089" s="436">
        <v>43397</v>
      </c>
      <c r="M2089" s="738">
        <v>311.12990000000002</v>
      </c>
      <c r="N2089" s="115">
        <f t="shared" si="133"/>
        <v>-3.1803942180195333E-2</v>
      </c>
      <c r="O2089" s="1121">
        <f t="shared" si="136"/>
        <v>-3.1815856069084221E-2</v>
      </c>
      <c r="P2089" s="1122"/>
    </row>
    <row r="2090" spans="6:16">
      <c r="F2090" s="1121">
        <f t="shared" si="135"/>
        <v>1.861313787874052E-2</v>
      </c>
      <c r="G2090" s="1122"/>
      <c r="H2090" s="436">
        <v>43398</v>
      </c>
      <c r="I2090" s="738">
        <v>2705.57</v>
      </c>
      <c r="J2090" s="440">
        <f t="shared" si="134"/>
        <v>1.8625051767629408E-2</v>
      </c>
      <c r="L2090" s="436">
        <v>43398</v>
      </c>
      <c r="M2090" s="738">
        <v>306.40989999999999</v>
      </c>
      <c r="N2090" s="115">
        <f t="shared" si="133"/>
        <v>-1.5170512380841661E-2</v>
      </c>
      <c r="O2090" s="1121">
        <f t="shared" si="136"/>
        <v>-1.5182426269730549E-2</v>
      </c>
      <c r="P2090" s="1122"/>
    </row>
    <row r="2091" spans="6:16">
      <c r="F2091" s="1121">
        <f t="shared" si="135"/>
        <v>-1.7339131443784968E-2</v>
      </c>
      <c r="G2091" s="1122"/>
      <c r="H2091" s="436">
        <v>43399</v>
      </c>
      <c r="I2091" s="738">
        <v>2658.69</v>
      </c>
      <c r="J2091" s="440">
        <f t="shared" si="134"/>
        <v>-1.7327217554896079E-2</v>
      </c>
      <c r="L2091" s="436">
        <v>43399</v>
      </c>
      <c r="M2091" s="738">
        <v>305.05</v>
      </c>
      <c r="N2091" s="115">
        <f t="shared" si="133"/>
        <v>-4.4381725264098781E-3</v>
      </c>
      <c r="O2091" s="1121">
        <f t="shared" si="136"/>
        <v>-4.4500864152987674E-3</v>
      </c>
      <c r="P2091" s="1122"/>
    </row>
    <row r="2092" spans="6:16">
      <c r="F2092" s="1121">
        <f t="shared" si="135"/>
        <v>-6.5715353566041601E-3</v>
      </c>
      <c r="G2092" s="1122"/>
      <c r="H2092" s="436">
        <v>43402</v>
      </c>
      <c r="I2092" s="738">
        <v>2641.25</v>
      </c>
      <c r="J2092" s="440">
        <f t="shared" si="134"/>
        <v>-6.5596214677152709E-3</v>
      </c>
      <c r="L2092" s="436">
        <v>43402</v>
      </c>
      <c r="M2092" s="738">
        <v>286.66989999999998</v>
      </c>
      <c r="N2092" s="115">
        <f t="shared" si="133"/>
        <v>-6.0252745451565448E-2</v>
      </c>
      <c r="O2092" s="1121">
        <f t="shared" si="136"/>
        <v>-6.0264659340454337E-2</v>
      </c>
      <c r="P2092" s="1122"/>
    </row>
    <row r="2093" spans="6:16">
      <c r="F2093" s="1121">
        <f t="shared" si="135"/>
        <v>1.5654910531366688E-2</v>
      </c>
      <c r="G2093" s="1122"/>
      <c r="H2093" s="436">
        <v>43403</v>
      </c>
      <c r="I2093" s="738">
        <v>2682.63</v>
      </c>
      <c r="J2093" s="440">
        <f t="shared" si="134"/>
        <v>1.5666824420255576E-2</v>
      </c>
      <c r="L2093" s="436">
        <v>43403</v>
      </c>
      <c r="M2093" s="738">
        <v>291.07010000000002</v>
      </c>
      <c r="N2093" s="115">
        <f t="shared" si="133"/>
        <v>1.534936175719892E-2</v>
      </c>
      <c r="O2093" s="1121">
        <f t="shared" si="136"/>
        <v>1.5337447868310032E-2</v>
      </c>
      <c r="P2093" s="1122"/>
    </row>
    <row r="2094" spans="6:16">
      <c r="F2094" s="1121">
        <f t="shared" si="135"/>
        <v>1.0839377567629309E-2</v>
      </c>
      <c r="G2094" s="1122"/>
      <c r="H2094" s="436">
        <v>43404</v>
      </c>
      <c r="I2094" s="738">
        <v>2711.74</v>
      </c>
      <c r="J2094" s="440">
        <f t="shared" si="134"/>
        <v>1.0851291456518197E-2</v>
      </c>
      <c r="L2094" s="436">
        <v>43404</v>
      </c>
      <c r="M2094" s="738">
        <v>293.8501</v>
      </c>
      <c r="N2094" s="115">
        <f t="shared" si="133"/>
        <v>9.5509638399819963E-3</v>
      </c>
      <c r="O2094" s="1121">
        <f t="shared" si="136"/>
        <v>9.5390499510931079E-3</v>
      </c>
      <c r="P2094" s="1122"/>
    </row>
    <row r="2095" spans="6:16">
      <c r="F2095" s="1121">
        <f t="shared" si="135"/>
        <v>1.0545882950041212E-2</v>
      </c>
      <c r="G2095" s="1122"/>
      <c r="H2095" s="436">
        <v>43405</v>
      </c>
      <c r="I2095" s="738">
        <v>2740.37</v>
      </c>
      <c r="J2095" s="440">
        <f t="shared" si="134"/>
        <v>1.05577968389301E-2</v>
      </c>
      <c r="L2095" s="436">
        <v>43405</v>
      </c>
      <c r="M2095" s="738">
        <v>299.41989999999998</v>
      </c>
      <c r="N2095" s="115">
        <f t="shared" si="133"/>
        <v>1.8954562207057268E-2</v>
      </c>
      <c r="O2095" s="1121">
        <f t="shared" si="136"/>
        <v>1.894264831816838E-2</v>
      </c>
      <c r="P2095" s="1122"/>
    </row>
    <row r="2096" spans="6:16">
      <c r="F2096" s="1121">
        <f t="shared" si="135"/>
        <v>-6.328579156717703E-3</v>
      </c>
      <c r="G2096" s="1122"/>
      <c r="H2096" s="436">
        <v>43406</v>
      </c>
      <c r="I2096" s="738">
        <v>2723.06</v>
      </c>
      <c r="J2096" s="440">
        <f t="shared" si="134"/>
        <v>-6.3166652678288138E-3</v>
      </c>
      <c r="L2096" s="436">
        <v>43406</v>
      </c>
      <c r="M2096" s="738">
        <v>299.27999999999997</v>
      </c>
      <c r="N2096" s="115">
        <f t="shared" si="133"/>
        <v>-4.6723681358529223E-4</v>
      </c>
      <c r="O2096" s="1121">
        <f t="shared" si="136"/>
        <v>-4.7915070247418111E-4</v>
      </c>
      <c r="P2096" s="1122"/>
    </row>
    <row r="2097" spans="6:16">
      <c r="F2097" s="1121">
        <f t="shared" si="135"/>
        <v>5.5884034012184591E-3</v>
      </c>
      <c r="G2097" s="1122"/>
      <c r="H2097" s="436">
        <v>43409</v>
      </c>
      <c r="I2097" s="738">
        <v>2738.31</v>
      </c>
      <c r="J2097" s="440">
        <f t="shared" si="134"/>
        <v>5.6003172901073484E-3</v>
      </c>
      <c r="L2097" s="436">
        <v>43409</v>
      </c>
      <c r="M2097" s="738">
        <v>303.20999999999998</v>
      </c>
      <c r="N2097" s="115">
        <f t="shared" ref="N2097:N2137" si="137">M2097/M2096-1</f>
        <v>1.3131515637530011E-2</v>
      </c>
      <c r="O2097" s="1121">
        <f t="shared" si="136"/>
        <v>1.3119601748641123E-2</v>
      </c>
      <c r="P2097" s="1122"/>
    </row>
    <row r="2098" spans="6:16">
      <c r="F2098" s="1121">
        <f t="shared" si="135"/>
        <v>6.2474212484767621E-3</v>
      </c>
      <c r="G2098" s="1122"/>
      <c r="H2098" s="436">
        <v>43410</v>
      </c>
      <c r="I2098" s="738">
        <v>2755.45</v>
      </c>
      <c r="J2098" s="440">
        <f t="shared" si="134"/>
        <v>6.2593351373656514E-3</v>
      </c>
      <c r="L2098" s="436">
        <v>43410</v>
      </c>
      <c r="M2098" s="738">
        <v>306.56009999999998</v>
      </c>
      <c r="N2098" s="115">
        <f t="shared" si="137"/>
        <v>1.1048778074601806E-2</v>
      </c>
      <c r="O2098" s="1121">
        <f t="shared" si="136"/>
        <v>1.1036864185712918E-2</v>
      </c>
      <c r="P2098" s="1122"/>
    </row>
    <row r="2099" spans="6:16">
      <c r="F2099" s="1121">
        <f t="shared" si="135"/>
        <v>2.119696306405882E-2</v>
      </c>
      <c r="G2099" s="1122"/>
      <c r="H2099" s="436">
        <v>43411</v>
      </c>
      <c r="I2099" s="738">
        <v>2813.89</v>
      </c>
      <c r="J2099" s="440">
        <f t="shared" si="134"/>
        <v>2.1208876952947708E-2</v>
      </c>
      <c r="L2099" s="436">
        <v>43411</v>
      </c>
      <c r="M2099" s="738">
        <v>309.82010000000002</v>
      </c>
      <c r="N2099" s="115">
        <f t="shared" si="137"/>
        <v>1.0634130142833431E-2</v>
      </c>
      <c r="O2099" s="1121">
        <f t="shared" si="136"/>
        <v>1.0622216253944543E-2</v>
      </c>
      <c r="P2099" s="1122"/>
    </row>
    <row r="2100" spans="6:16">
      <c r="F2100" s="1121">
        <f t="shared" si="135"/>
        <v>-2.5208961163391071E-3</v>
      </c>
      <c r="G2100" s="1122"/>
      <c r="H2100" s="436">
        <v>43412</v>
      </c>
      <c r="I2100" s="738">
        <v>2806.83</v>
      </c>
      <c r="J2100" s="440">
        <f t="shared" si="134"/>
        <v>-2.5089822274502183E-3</v>
      </c>
      <c r="L2100" s="436">
        <v>43412</v>
      </c>
      <c r="M2100" s="738">
        <v>308.56009999999998</v>
      </c>
      <c r="N2100" s="115">
        <f t="shared" si="137"/>
        <v>-4.0668762291409255E-3</v>
      </c>
      <c r="O2100" s="1121">
        <f t="shared" si="136"/>
        <v>-4.0787901180298148E-3</v>
      </c>
      <c r="P2100" s="1122"/>
    </row>
    <row r="2101" spans="6:16">
      <c r="F2101" s="1121">
        <f t="shared" si="135"/>
        <v>-9.2109034963819905E-3</v>
      </c>
      <c r="G2101" s="1122"/>
      <c r="H2101" s="436">
        <v>43413</v>
      </c>
      <c r="I2101" s="738">
        <v>2781.01</v>
      </c>
      <c r="J2101" s="440">
        <f t="shared" si="134"/>
        <v>-9.1989896074931021E-3</v>
      </c>
      <c r="L2101" s="436">
        <v>43413</v>
      </c>
      <c r="M2101" s="738">
        <v>313.12009999999998</v>
      </c>
      <c r="N2101" s="115">
        <f t="shared" si="137"/>
        <v>1.4778320333704853E-2</v>
      </c>
      <c r="O2101" s="1121">
        <f t="shared" si="136"/>
        <v>1.4766406444815965E-2</v>
      </c>
      <c r="P2101" s="1122"/>
    </row>
    <row r="2102" spans="6:16">
      <c r="F2102" s="1121">
        <f t="shared" si="135"/>
        <v>-1.9713389252156384E-2</v>
      </c>
      <c r="G2102" s="1122"/>
      <c r="H2102" s="436">
        <v>43416</v>
      </c>
      <c r="I2102" s="738">
        <v>2726.22</v>
      </c>
      <c r="J2102" s="440">
        <f t="shared" si="134"/>
        <v>-1.9701475363267495E-2</v>
      </c>
      <c r="L2102" s="436">
        <v>43416</v>
      </c>
      <c r="M2102" s="738">
        <v>305.12009999999998</v>
      </c>
      <c r="N2102" s="115">
        <f t="shared" si="137"/>
        <v>-2.5549302009037378E-2</v>
      </c>
      <c r="O2102" s="1121">
        <f t="shared" si="136"/>
        <v>-2.5561215897926266E-2</v>
      </c>
      <c r="P2102" s="1122"/>
    </row>
    <row r="2103" spans="6:16">
      <c r="F2103" s="1121">
        <f t="shared" si="135"/>
        <v>-1.4938192376868849E-3</v>
      </c>
      <c r="G2103" s="1122"/>
      <c r="H2103" s="436">
        <v>43417</v>
      </c>
      <c r="I2103" s="738">
        <v>2722.18</v>
      </c>
      <c r="J2103" s="440">
        <f t="shared" si="134"/>
        <v>-1.4819053487979961E-3</v>
      </c>
      <c r="L2103" s="436">
        <v>43417</v>
      </c>
      <c r="M2103" s="738">
        <v>305.74</v>
      </c>
      <c r="N2103" s="115">
        <f t="shared" si="137"/>
        <v>2.0316590090263542E-3</v>
      </c>
      <c r="O2103" s="1121">
        <f t="shared" si="136"/>
        <v>2.0197451201374654E-3</v>
      </c>
      <c r="P2103" s="1122"/>
    </row>
    <row r="2104" spans="6:16">
      <c r="F2104" s="1121">
        <f t="shared" si="135"/>
        <v>-7.5793782005801969E-3</v>
      </c>
      <c r="G2104" s="1122"/>
      <c r="H2104" s="436">
        <v>43418</v>
      </c>
      <c r="I2104" s="738">
        <v>2701.58</v>
      </c>
      <c r="J2104" s="440">
        <f t="shared" si="134"/>
        <v>-7.5674643116913076E-3</v>
      </c>
      <c r="L2104" s="436">
        <v>43418</v>
      </c>
      <c r="M2104" s="738">
        <v>303.38990000000001</v>
      </c>
      <c r="N2104" s="115">
        <f t="shared" si="137"/>
        <v>-7.686596454503869E-3</v>
      </c>
      <c r="O2104" s="1121">
        <f t="shared" si="136"/>
        <v>-7.6985103433927582E-3</v>
      </c>
      <c r="P2104" s="1122"/>
    </row>
    <row r="2105" spans="6:16">
      <c r="F2105" s="1121">
        <f t="shared" si="135"/>
        <v>1.0581886775907205E-2</v>
      </c>
      <c r="G2105" s="1122"/>
      <c r="H2105" s="436">
        <v>43419</v>
      </c>
      <c r="I2105" s="738">
        <v>2730.2</v>
      </c>
      <c r="J2105" s="440">
        <f t="shared" si="134"/>
        <v>1.0593800664796094E-2</v>
      </c>
      <c r="L2105" s="436">
        <v>43419</v>
      </c>
      <c r="M2105" s="738">
        <v>305.48</v>
      </c>
      <c r="N2105" s="115">
        <f t="shared" si="137"/>
        <v>6.8891548466181174E-3</v>
      </c>
      <c r="O2105" s="1121">
        <f t="shared" si="136"/>
        <v>6.8772409577292281E-3</v>
      </c>
      <c r="P2105" s="1122"/>
    </row>
    <row r="2106" spans="6:16">
      <c r="F2106" s="1121">
        <f t="shared" si="135"/>
        <v>2.2113664568733575E-3</v>
      </c>
      <c r="G2106" s="1122"/>
      <c r="H2106" s="436">
        <v>43420</v>
      </c>
      <c r="I2106" s="738">
        <v>2736.27</v>
      </c>
      <c r="J2106" s="440">
        <f t="shared" si="134"/>
        <v>2.2232803457622463E-3</v>
      </c>
      <c r="L2106" s="436">
        <v>43420</v>
      </c>
      <c r="M2106" s="738">
        <v>301.24</v>
      </c>
      <c r="N2106" s="115">
        <f t="shared" si="137"/>
        <v>-1.3879795731308153E-2</v>
      </c>
      <c r="O2106" s="1121">
        <f t="shared" si="136"/>
        <v>-1.3891709620197042E-2</v>
      </c>
      <c r="P2106" s="1122"/>
    </row>
    <row r="2107" spans="6:16">
      <c r="F2107" s="1121">
        <f t="shared" si="135"/>
        <v>-1.6655008320359495E-2</v>
      </c>
      <c r="G2107" s="1122"/>
      <c r="H2107" s="436">
        <v>43423</v>
      </c>
      <c r="I2107" s="738">
        <v>2690.73</v>
      </c>
      <c r="J2107" s="440">
        <f t="shared" si="134"/>
        <v>-1.6643094431470606E-2</v>
      </c>
      <c r="L2107" s="436">
        <v>43423</v>
      </c>
      <c r="M2107" s="738">
        <v>294.59010000000001</v>
      </c>
      <c r="N2107" s="115">
        <f t="shared" si="137"/>
        <v>-2.2075089629531308E-2</v>
      </c>
      <c r="O2107" s="1121">
        <f t="shared" si="136"/>
        <v>-2.2087003518420197E-2</v>
      </c>
      <c r="P2107" s="1122"/>
    </row>
    <row r="2108" spans="6:16">
      <c r="F2108" s="1121">
        <f t="shared" si="135"/>
        <v>-1.8163121925369737E-2</v>
      </c>
      <c r="G2108" s="1122"/>
      <c r="H2108" s="436">
        <v>43424</v>
      </c>
      <c r="I2108" s="738">
        <v>2641.89</v>
      </c>
      <c r="J2108" s="440">
        <f t="shared" si="134"/>
        <v>-1.8151208036480848E-2</v>
      </c>
      <c r="L2108" s="436">
        <v>43424</v>
      </c>
      <c r="M2108" s="738">
        <v>293.86009999999999</v>
      </c>
      <c r="N2108" s="115">
        <f t="shared" si="137"/>
        <v>-2.4780194582235682E-3</v>
      </c>
      <c r="O2108" s="1121">
        <f t="shared" si="136"/>
        <v>-2.489933347112457E-3</v>
      </c>
      <c r="P2108" s="1122"/>
    </row>
    <row r="2109" spans="6:16">
      <c r="F2109" s="1121">
        <f t="shared" si="135"/>
        <v>3.031361947728121E-3</v>
      </c>
      <c r="G2109" s="1122"/>
      <c r="H2109" s="436">
        <v>43425</v>
      </c>
      <c r="I2109" s="738">
        <v>2649.93</v>
      </c>
      <c r="J2109" s="440">
        <f t="shared" si="134"/>
        <v>3.0432758366170098E-3</v>
      </c>
      <c r="L2109" s="436">
        <v>43425</v>
      </c>
      <c r="M2109" s="738">
        <v>294.29000000000002</v>
      </c>
      <c r="N2109" s="115">
        <f t="shared" si="137"/>
        <v>1.4629410389501718E-3</v>
      </c>
      <c r="O2109" s="1121">
        <f t="shared" si="136"/>
        <v>1.451027150061283E-3</v>
      </c>
      <c r="P2109" s="1122"/>
    </row>
    <row r="2110" spans="6:16">
      <c r="F2110" s="1121">
        <f t="shared" si="135"/>
        <v>-1.1913888888888887E-5</v>
      </c>
      <c r="G2110" s="1122"/>
      <c r="H2110" s="436">
        <v>43426</v>
      </c>
      <c r="I2110" s="738">
        <v>2649.93</v>
      </c>
      <c r="J2110" s="440">
        <f t="shared" si="134"/>
        <v>0</v>
      </c>
      <c r="L2110" s="436">
        <v>43426</v>
      </c>
      <c r="M2110" s="738">
        <v>294.29000000000002</v>
      </c>
      <c r="N2110" s="115">
        <f t="shared" si="137"/>
        <v>0</v>
      </c>
      <c r="O2110" s="1121">
        <f t="shared" si="136"/>
        <v>-1.1913888888888887E-5</v>
      </c>
      <c r="P2110" s="1122"/>
    </row>
    <row r="2111" spans="6:16">
      <c r="F2111" s="1121">
        <f t="shared" si="135"/>
        <v>-6.5668040180620968E-3</v>
      </c>
      <c r="G2111" s="1122"/>
      <c r="H2111" s="436">
        <v>43427</v>
      </c>
      <c r="I2111" s="738">
        <v>2632.56</v>
      </c>
      <c r="J2111" s="440">
        <f t="shared" si="134"/>
        <v>-6.5548901291732076E-3</v>
      </c>
      <c r="L2111" s="436">
        <v>43427</v>
      </c>
      <c r="M2111" s="738">
        <v>295.37990000000002</v>
      </c>
      <c r="N2111" s="115">
        <f t="shared" si="137"/>
        <v>3.7034897550036749E-3</v>
      </c>
      <c r="O2111" s="1121">
        <f t="shared" si="136"/>
        <v>3.6915758661147861E-3</v>
      </c>
      <c r="P2111" s="1122"/>
    </row>
    <row r="2112" spans="6:16">
      <c r="F2112" s="1121">
        <f t="shared" si="135"/>
        <v>1.5520495628842938E-2</v>
      </c>
      <c r="G2112" s="1122"/>
      <c r="H2112" s="436">
        <v>43430</v>
      </c>
      <c r="I2112" s="738">
        <v>2673.45</v>
      </c>
      <c r="J2112" s="440">
        <f t="shared" si="134"/>
        <v>1.5532409517731827E-2</v>
      </c>
      <c r="L2112" s="436">
        <v>43430</v>
      </c>
      <c r="M2112" s="738">
        <v>295.27999999999997</v>
      </c>
      <c r="N2112" s="115">
        <f t="shared" si="137"/>
        <v>-3.3820852400601176E-4</v>
      </c>
      <c r="O2112" s="1121">
        <f t="shared" si="136"/>
        <v>-3.5012241289490064E-4</v>
      </c>
      <c r="P2112" s="1122"/>
    </row>
    <row r="2113" spans="6:16">
      <c r="F2113" s="1121">
        <f t="shared" si="135"/>
        <v>3.2497891539958672E-3</v>
      </c>
      <c r="G2113" s="1122"/>
      <c r="H2113" s="436">
        <v>43431</v>
      </c>
      <c r="I2113" s="738">
        <v>2682.17</v>
      </c>
      <c r="J2113" s="440">
        <f t="shared" si="134"/>
        <v>3.261703042884756E-3</v>
      </c>
      <c r="L2113" s="436">
        <v>43431</v>
      </c>
      <c r="M2113" s="738">
        <v>295.29000000000002</v>
      </c>
      <c r="N2113" s="115">
        <f t="shared" si="137"/>
        <v>3.3866160932261025E-5</v>
      </c>
      <c r="O2113" s="1121">
        <f t="shared" si="136"/>
        <v>2.1952272043372139E-5</v>
      </c>
      <c r="P2113" s="1122"/>
    </row>
    <row r="2114" spans="6:16">
      <c r="F2114" s="1121">
        <f t="shared" si="135"/>
        <v>2.2962021394855252E-2</v>
      </c>
      <c r="G2114" s="1122"/>
      <c r="H2114" s="436">
        <v>43432</v>
      </c>
      <c r="I2114" s="738">
        <v>2743.79</v>
      </c>
      <c r="J2114" s="440">
        <f t="shared" si="134"/>
        <v>2.297393528374414E-2</v>
      </c>
      <c r="L2114" s="436">
        <v>43432</v>
      </c>
      <c r="M2114" s="738">
        <v>299.93990000000002</v>
      </c>
      <c r="N2114" s="115">
        <f t="shared" si="137"/>
        <v>1.5746892884960451E-2</v>
      </c>
      <c r="O2114" s="1121">
        <f t="shared" si="136"/>
        <v>1.5734978996071562E-2</v>
      </c>
      <c r="P2114" s="1122"/>
    </row>
    <row r="2115" spans="6:16">
      <c r="F2115" s="1121">
        <f t="shared" si="135"/>
        <v>-2.2096039453435375E-3</v>
      </c>
      <c r="G2115" s="1122"/>
      <c r="H2115" s="436">
        <v>43433</v>
      </c>
      <c r="I2115" s="738">
        <v>2737.76</v>
      </c>
      <c r="J2115" s="440">
        <f t="shared" si="134"/>
        <v>-2.1976900564546487E-3</v>
      </c>
      <c r="L2115" s="436">
        <v>43433</v>
      </c>
      <c r="M2115" s="738">
        <v>302.41989999999998</v>
      </c>
      <c r="N2115" s="115">
        <f t="shared" si="137"/>
        <v>8.2683230873916713E-3</v>
      </c>
      <c r="O2115" s="1121">
        <f t="shared" si="136"/>
        <v>8.2564091985027829E-3</v>
      </c>
      <c r="P2115" s="1122"/>
    </row>
    <row r="2116" spans="6:16">
      <c r="F2116" s="1121">
        <f t="shared" si="135"/>
        <v>8.1736100430845823E-3</v>
      </c>
      <c r="G2116" s="1122"/>
      <c r="H2116" s="436">
        <v>43434</v>
      </c>
      <c r="I2116" s="738">
        <v>2760.17</v>
      </c>
      <c r="J2116" s="440">
        <f t="shared" si="134"/>
        <v>8.1855239319734707E-3</v>
      </c>
      <c r="L2116" s="436">
        <v>43434</v>
      </c>
      <c r="M2116" s="738">
        <v>300.42989999999998</v>
      </c>
      <c r="N2116" s="115">
        <f t="shared" si="137"/>
        <v>-6.5802548046607345E-3</v>
      </c>
      <c r="O2116" s="1121">
        <f t="shared" si="136"/>
        <v>-6.5921686935496238E-3</v>
      </c>
      <c r="P2116" s="1122"/>
    </row>
    <row r="2117" spans="6:16">
      <c r="F2117" s="1121">
        <f t="shared" si="135"/>
        <v>1.0929441172574543E-2</v>
      </c>
      <c r="G2117" s="1122"/>
      <c r="H2117" s="436">
        <v>43437</v>
      </c>
      <c r="I2117" s="738">
        <v>2790.37</v>
      </c>
      <c r="J2117" s="440">
        <f t="shared" si="134"/>
        <v>1.0941355061463431E-2</v>
      </c>
      <c r="L2117" s="436">
        <v>43437</v>
      </c>
      <c r="M2117" s="738">
        <v>296.79000000000002</v>
      </c>
      <c r="N2117" s="115">
        <f t="shared" si="137"/>
        <v>-1.21156382903298E-2</v>
      </c>
      <c r="O2117" s="1121">
        <f t="shared" si="136"/>
        <v>-1.2127552179218688E-2</v>
      </c>
      <c r="P2117" s="1122"/>
    </row>
    <row r="2118" spans="6:16">
      <c r="F2118" s="1121">
        <f t="shared" si="135"/>
        <v>-3.2376797398961051E-2</v>
      </c>
      <c r="G2118" s="1122"/>
      <c r="H2118" s="436">
        <v>43438</v>
      </c>
      <c r="I2118" s="738">
        <v>2700.06</v>
      </c>
      <c r="J2118" s="440">
        <f t="shared" si="134"/>
        <v>-3.2364883510072162E-2</v>
      </c>
      <c r="L2118" s="436">
        <v>43438</v>
      </c>
      <c r="M2118" s="738">
        <v>286.73</v>
      </c>
      <c r="N2118" s="115">
        <f t="shared" si="137"/>
        <v>-3.3896020755416312E-2</v>
      </c>
      <c r="O2118" s="1121">
        <f t="shared" si="136"/>
        <v>-3.39079346443052E-2</v>
      </c>
      <c r="P2118" s="1122"/>
    </row>
    <row r="2119" spans="6:16">
      <c r="F2119" s="1121">
        <f t="shared" si="135"/>
        <v>-1.1913888888888887E-5</v>
      </c>
      <c r="G2119" s="1122"/>
      <c r="H2119" s="436">
        <v>43439</v>
      </c>
      <c r="I2119" s="738">
        <v>2700.06</v>
      </c>
      <c r="J2119" s="440">
        <f t="shared" si="134"/>
        <v>0</v>
      </c>
      <c r="L2119" s="436">
        <v>43439</v>
      </c>
      <c r="M2119" s="738">
        <v>286.73</v>
      </c>
      <c r="N2119" s="115">
        <f t="shared" si="137"/>
        <v>0</v>
      </c>
      <c r="O2119" s="1121">
        <f t="shared" si="136"/>
        <v>-1.1913888888888887E-5</v>
      </c>
      <c r="P2119" s="1122"/>
    </row>
    <row r="2120" spans="6:16">
      <c r="F2120" s="1121">
        <f t="shared" si="135"/>
        <v>-1.5341022847024173E-3</v>
      </c>
      <c r="G2120" s="1122"/>
      <c r="H2120" s="436">
        <v>43440</v>
      </c>
      <c r="I2120" s="738">
        <v>2695.95</v>
      </c>
      <c r="J2120" s="440">
        <f t="shared" si="134"/>
        <v>-1.5221883958135285E-3</v>
      </c>
      <c r="L2120" s="436">
        <v>43440</v>
      </c>
      <c r="M2120" s="738">
        <v>286.3501</v>
      </c>
      <c r="N2120" s="115">
        <f t="shared" si="137"/>
        <v>-1.3249398388728295E-3</v>
      </c>
      <c r="O2120" s="1121">
        <f t="shared" si="136"/>
        <v>-1.3368537277617183E-3</v>
      </c>
      <c r="P2120" s="1122"/>
    </row>
    <row r="2121" spans="6:16">
      <c r="F2121" s="1121">
        <f t="shared" si="135"/>
        <v>-2.3332079322224038E-2</v>
      </c>
      <c r="G2121" s="1122"/>
      <c r="H2121" s="436">
        <v>43441</v>
      </c>
      <c r="I2121" s="738">
        <v>2633.08</v>
      </c>
      <c r="J2121" s="440">
        <f t="shared" si="134"/>
        <v>-2.3320165433335149E-2</v>
      </c>
      <c r="L2121" s="436">
        <v>43441</v>
      </c>
      <c r="M2121" s="738">
        <v>285.3999</v>
      </c>
      <c r="N2121" s="115">
        <f t="shared" si="137"/>
        <v>-3.3183155864097147E-3</v>
      </c>
      <c r="O2121" s="1121">
        <f t="shared" si="136"/>
        <v>-3.3302294752986035E-3</v>
      </c>
      <c r="P2121" s="1122"/>
    </row>
    <row r="2122" spans="6:16">
      <c r="F2122" s="1121">
        <f t="shared" si="135"/>
        <v>1.7502809551720381E-3</v>
      </c>
      <c r="G2122" s="1122"/>
      <c r="H2122" s="436">
        <v>43444</v>
      </c>
      <c r="I2122" s="738">
        <v>2637.72</v>
      </c>
      <c r="J2122" s="440">
        <f t="shared" si="134"/>
        <v>1.762194844060927E-3</v>
      </c>
      <c r="L2122" s="436">
        <v>43444</v>
      </c>
      <c r="M2122" s="738">
        <v>298.3999</v>
      </c>
      <c r="N2122" s="115">
        <f t="shared" si="137"/>
        <v>4.5550121075725647E-2</v>
      </c>
      <c r="O2122" s="1121">
        <f t="shared" si="136"/>
        <v>4.5538207186836759E-2</v>
      </c>
      <c r="P2122" s="1122"/>
    </row>
    <row r="2123" spans="6:16">
      <c r="F2123" s="1121">
        <f t="shared" si="135"/>
        <v>-3.6828226764008175E-4</v>
      </c>
      <c r="G2123" s="1122"/>
      <c r="H2123" s="436">
        <v>43445</v>
      </c>
      <c r="I2123" s="738">
        <v>2636.78</v>
      </c>
      <c r="J2123" s="440">
        <f t="shared" si="134"/>
        <v>-3.5636837875119287E-4</v>
      </c>
      <c r="L2123" s="436">
        <v>43445</v>
      </c>
      <c r="M2123" s="738">
        <v>292.1499</v>
      </c>
      <c r="N2123" s="115">
        <f t="shared" si="137"/>
        <v>-2.0945047233594916E-2</v>
      </c>
      <c r="O2123" s="1121">
        <f t="shared" si="136"/>
        <v>-2.0956961122483804E-2</v>
      </c>
      <c r="P2123" s="1122"/>
    </row>
    <row r="2124" spans="6:16">
      <c r="F2124" s="1121">
        <f t="shared" si="135"/>
        <v>5.4075750332055394E-3</v>
      </c>
      <c r="G2124" s="1122"/>
      <c r="H2124" s="436">
        <v>43446</v>
      </c>
      <c r="I2124" s="738">
        <v>2651.07</v>
      </c>
      <c r="J2124" s="440">
        <f t="shared" si="134"/>
        <v>5.4194889220944287E-3</v>
      </c>
      <c r="L2124" s="436">
        <v>43446</v>
      </c>
      <c r="M2124" s="738">
        <v>292.5</v>
      </c>
      <c r="N2124" s="115">
        <f t="shared" si="137"/>
        <v>1.1983574185716606E-3</v>
      </c>
      <c r="O2124" s="1121">
        <f t="shared" si="136"/>
        <v>1.1864435296827717E-3</v>
      </c>
      <c r="P2124" s="1122"/>
    </row>
    <row r="2125" spans="6:16">
      <c r="F2125" s="1121">
        <f t="shared" si="135"/>
        <v>-2.1183316676543683E-4</v>
      </c>
      <c r="G2125" s="1122"/>
      <c r="H2125" s="436">
        <v>43447</v>
      </c>
      <c r="I2125" s="738">
        <v>2650.54</v>
      </c>
      <c r="J2125" s="440">
        <f t="shared" si="134"/>
        <v>-1.9991927787654795E-4</v>
      </c>
      <c r="L2125" s="436">
        <v>43447</v>
      </c>
      <c r="M2125" s="738">
        <v>292.23</v>
      </c>
      <c r="N2125" s="115">
        <f t="shared" si="137"/>
        <v>-9.2307692307691536E-4</v>
      </c>
      <c r="O2125" s="1121">
        <f t="shared" si="136"/>
        <v>-9.3499081196580429E-4</v>
      </c>
      <c r="P2125" s="1122"/>
    </row>
    <row r="2126" spans="6:16">
      <c r="F2126" s="1121">
        <f t="shared" si="135"/>
        <v>-1.9098590566094316E-2</v>
      </c>
      <c r="G2126" s="1122"/>
      <c r="H2126" s="436">
        <v>43448</v>
      </c>
      <c r="I2126" s="738">
        <v>2599.9499999999998</v>
      </c>
      <c r="J2126" s="440">
        <f t="shared" si="134"/>
        <v>-1.9086676677205427E-2</v>
      </c>
      <c r="L2126" s="436">
        <v>43448</v>
      </c>
      <c r="M2126" s="738">
        <v>287.7</v>
      </c>
      <c r="N2126" s="115">
        <f t="shared" si="137"/>
        <v>-1.5501488553536724E-2</v>
      </c>
      <c r="O2126" s="1121">
        <f t="shared" si="136"/>
        <v>-1.5513402442425613E-2</v>
      </c>
      <c r="P2126" s="1122"/>
    </row>
    <row r="2127" spans="6:16">
      <c r="F2127" s="1121">
        <f t="shared" si="135"/>
        <v>-2.0785390301896751E-2</v>
      </c>
      <c r="G2127" s="1122"/>
      <c r="H2127" s="436">
        <v>43451</v>
      </c>
      <c r="I2127" s="738">
        <v>2545.94</v>
      </c>
      <c r="J2127" s="440">
        <f t="shared" si="134"/>
        <v>-2.0773476413007863E-2</v>
      </c>
      <c r="L2127" s="436">
        <v>43451</v>
      </c>
      <c r="M2127" s="738">
        <v>279.23</v>
      </c>
      <c r="N2127" s="115">
        <f t="shared" si="137"/>
        <v>-2.9440389294403846E-2</v>
      </c>
      <c r="O2127" s="1121">
        <f t="shared" si="136"/>
        <v>-2.9452303183292734E-2</v>
      </c>
      <c r="P2127" s="1122"/>
    </row>
    <row r="2128" spans="6:16">
      <c r="F2128" s="1121">
        <f t="shared" si="135"/>
        <v>7.4498202519250099E-5</v>
      </c>
      <c r="G2128" s="1122"/>
      <c r="H2128" s="436">
        <v>43452</v>
      </c>
      <c r="I2128" s="738">
        <v>2546.16</v>
      </c>
      <c r="J2128" s="440">
        <f t="shared" si="134"/>
        <v>8.6412091408138991E-5</v>
      </c>
      <c r="L2128" s="436">
        <v>43452</v>
      </c>
      <c r="M2128" s="738">
        <v>279.47000000000003</v>
      </c>
      <c r="N2128" s="115">
        <f t="shared" si="137"/>
        <v>8.5950650001787032E-4</v>
      </c>
      <c r="O2128" s="1121">
        <f t="shared" si="136"/>
        <v>8.4759261112898139E-4</v>
      </c>
      <c r="P2128" s="1122"/>
    </row>
    <row r="2129" spans="6:16">
      <c r="F2129" s="1121">
        <f t="shared" si="135"/>
        <v>-1.5407647071406856E-2</v>
      </c>
      <c r="G2129" s="1122"/>
      <c r="H2129" s="436">
        <v>43453</v>
      </c>
      <c r="I2129" s="738">
        <v>2506.96</v>
      </c>
      <c r="J2129" s="440">
        <f t="shared" si="134"/>
        <v>-1.5395733182517968E-2</v>
      </c>
      <c r="L2129" s="436">
        <v>43453</v>
      </c>
      <c r="M2129" s="738">
        <v>273.95999999999998</v>
      </c>
      <c r="N2129" s="115">
        <f t="shared" si="137"/>
        <v>-1.9715890793287505E-2</v>
      </c>
      <c r="O2129" s="1121">
        <f t="shared" si="136"/>
        <v>-1.9727804682176393E-2</v>
      </c>
      <c r="P2129" s="1122"/>
    </row>
    <row r="2130" spans="6:16">
      <c r="F2130" s="1121">
        <f t="shared" si="135"/>
        <v>-1.5784004388936686E-2</v>
      </c>
      <c r="G2130" s="1122"/>
      <c r="H2130" s="436">
        <v>43454</v>
      </c>
      <c r="I2130" s="738">
        <v>2467.42</v>
      </c>
      <c r="J2130" s="440">
        <f t="shared" si="134"/>
        <v>-1.5772090500047797E-2</v>
      </c>
      <c r="L2130" s="436">
        <v>43454</v>
      </c>
      <c r="M2130" s="738">
        <v>265.29000000000002</v>
      </c>
      <c r="N2130" s="115">
        <f t="shared" si="137"/>
        <v>-3.164695575996479E-2</v>
      </c>
      <c r="O2130" s="1121">
        <f t="shared" si="136"/>
        <v>-3.1658869648853678E-2</v>
      </c>
      <c r="P2130" s="1122"/>
    </row>
    <row r="2131" spans="6:16">
      <c r="F2131" s="1121">
        <f t="shared" si="135"/>
        <v>-2.0600220703294266E-2</v>
      </c>
      <c r="G2131" s="1122"/>
      <c r="H2131" s="436">
        <v>43455</v>
      </c>
      <c r="I2131" s="738">
        <v>2416.62</v>
      </c>
      <c r="J2131" s="440">
        <f t="shared" si="134"/>
        <v>-2.0588306814405377E-2</v>
      </c>
      <c r="L2131" s="436">
        <v>43455</v>
      </c>
      <c r="M2131" s="738">
        <v>256.55</v>
      </c>
      <c r="N2131" s="115">
        <f t="shared" si="137"/>
        <v>-3.2945078970183617E-2</v>
      </c>
      <c r="O2131" s="1121">
        <f t="shared" si="136"/>
        <v>-3.2956992859072505E-2</v>
      </c>
      <c r="P2131" s="1122"/>
    </row>
    <row r="2132" spans="6:16">
      <c r="F2132" s="1121">
        <f t="shared" si="135"/>
        <v>-2.7124161573671708E-2</v>
      </c>
      <c r="G2132" s="1122"/>
      <c r="H2132" s="436">
        <v>43458</v>
      </c>
      <c r="I2132" s="738">
        <v>2351.1</v>
      </c>
      <c r="J2132" s="440">
        <f t="shared" si="134"/>
        <v>-2.711224768478282E-2</v>
      </c>
      <c r="L2132" s="436">
        <v>43458</v>
      </c>
      <c r="M2132" s="738">
        <v>245.22</v>
      </c>
      <c r="N2132" s="115">
        <f t="shared" si="137"/>
        <v>-4.4162931202494704E-2</v>
      </c>
      <c r="O2132" s="1121">
        <f t="shared" si="136"/>
        <v>-4.4174845091383592E-2</v>
      </c>
      <c r="P2132" s="1122"/>
    </row>
    <row r="2133" spans="6:16">
      <c r="F2133" s="1121">
        <f t="shared" si="135"/>
        <v>-1.1913888888888887E-5</v>
      </c>
      <c r="G2133" s="1122"/>
      <c r="H2133" s="436">
        <v>43459</v>
      </c>
      <c r="I2133" s="738">
        <v>2351.1</v>
      </c>
      <c r="J2133" s="440">
        <f t="shared" si="134"/>
        <v>0</v>
      </c>
      <c r="L2133" s="436">
        <v>43459</v>
      </c>
      <c r="M2133" s="738">
        <v>245.22</v>
      </c>
      <c r="N2133" s="115">
        <f t="shared" si="137"/>
        <v>0</v>
      </c>
      <c r="O2133" s="1121">
        <f t="shared" si="136"/>
        <v>-1.1913888888888887E-5</v>
      </c>
      <c r="P2133" s="1122"/>
    </row>
    <row r="2134" spans="6:16">
      <c r="F2134" s="1121">
        <f t="shared" si="135"/>
        <v>4.9581893265209113E-2</v>
      </c>
      <c r="G2134" s="1122"/>
      <c r="H2134" s="436">
        <v>43460</v>
      </c>
      <c r="I2134" s="738">
        <v>2467.6999999999998</v>
      </c>
      <c r="J2134" s="440">
        <f t="shared" si="134"/>
        <v>4.9593807154098002E-2</v>
      </c>
      <c r="L2134" s="436">
        <v>43460</v>
      </c>
      <c r="M2134" s="738">
        <v>251.62</v>
      </c>
      <c r="N2134" s="115">
        <f t="shared" si="137"/>
        <v>2.6099013131066107E-2</v>
      </c>
      <c r="O2134" s="1121">
        <f t="shared" si="136"/>
        <v>2.6087099242177218E-2</v>
      </c>
      <c r="P2134" s="1122"/>
    </row>
    <row r="2135" spans="6:16">
      <c r="F2135" s="1121">
        <f t="shared" si="135"/>
        <v>8.5507152799727468E-3</v>
      </c>
      <c r="G2135" s="1122"/>
      <c r="H2135" s="436">
        <v>43461</v>
      </c>
      <c r="I2135" s="738">
        <v>2488.83</v>
      </c>
      <c r="J2135" s="440">
        <f t="shared" si="134"/>
        <v>8.5626291688616352E-3</v>
      </c>
      <c r="L2135" s="436">
        <v>43461</v>
      </c>
      <c r="M2135" s="738">
        <v>259.79000000000002</v>
      </c>
      <c r="N2135" s="115">
        <f t="shared" si="137"/>
        <v>3.2469597011366425E-2</v>
      </c>
      <c r="O2135" s="1121">
        <f t="shared" si="136"/>
        <v>3.2457683122477536E-2</v>
      </c>
      <c r="P2135" s="1122"/>
    </row>
    <row r="2136" spans="6:16">
      <c r="F2136" s="1121">
        <f t="shared" si="135"/>
        <v>-1.2534611219261545E-3</v>
      </c>
      <c r="G2136" s="1122"/>
      <c r="H2136" s="436">
        <v>43462</v>
      </c>
      <c r="I2136" s="738">
        <v>2485.7399999999998</v>
      </c>
      <c r="J2136" s="440">
        <f t="shared" si="134"/>
        <v>-1.2415472330372657E-3</v>
      </c>
      <c r="L2136" s="436">
        <v>43462</v>
      </c>
      <c r="M2136" s="738">
        <v>261.26</v>
      </c>
      <c r="N2136" s="115">
        <f t="shared" si="137"/>
        <v>5.6584164132567061E-3</v>
      </c>
      <c r="O2136" s="1121">
        <f t="shared" si="136"/>
        <v>5.6465025243678168E-3</v>
      </c>
      <c r="P2136" s="1122"/>
    </row>
    <row r="2137" spans="6:16" ht="17" thickBot="1">
      <c r="F2137" s="1121">
        <f t="shared" si="135"/>
        <v>8.4805269939066605E-3</v>
      </c>
      <c r="G2137" s="1122"/>
      <c r="H2137" s="437">
        <v>43465</v>
      </c>
      <c r="I2137" s="739">
        <v>2506.85</v>
      </c>
      <c r="J2137" s="441">
        <f t="shared" si="134"/>
        <v>8.4924408827955489E-3</v>
      </c>
      <c r="L2137" s="437">
        <v>43465</v>
      </c>
      <c r="M2137" s="739">
        <v>261.84010000000001</v>
      </c>
      <c r="N2137" s="118">
        <f t="shared" si="137"/>
        <v>2.2203934777615952E-3</v>
      </c>
      <c r="O2137" s="1121">
        <f t="shared" si="136"/>
        <v>2.2084795888727064E-3</v>
      </c>
      <c r="P2137" s="1122"/>
    </row>
    <row r="2138" spans="6:16">
      <c r="F2138" s="135"/>
      <c r="G2138" s="326"/>
    </row>
  </sheetData>
  <mergeCells count="4259">
    <mergeCell ref="O2133:P2133"/>
    <mergeCell ref="O2134:P2134"/>
    <mergeCell ref="O2135:P2135"/>
    <mergeCell ref="O2136:P2136"/>
    <mergeCell ref="O2137:P2137"/>
    <mergeCell ref="O2128:P2128"/>
    <mergeCell ref="O2129:P2129"/>
    <mergeCell ref="O2130:P2130"/>
    <mergeCell ref="O2131:P2131"/>
    <mergeCell ref="O2132:P2132"/>
    <mergeCell ref="O2123:P2123"/>
    <mergeCell ref="O2124:P2124"/>
    <mergeCell ref="O2125:P2125"/>
    <mergeCell ref="O2126:P2126"/>
    <mergeCell ref="O2127:P2127"/>
    <mergeCell ref="O2118:P2118"/>
    <mergeCell ref="O2119:P2119"/>
    <mergeCell ref="O2120:P2120"/>
    <mergeCell ref="O2121:P2121"/>
    <mergeCell ref="O2122:P2122"/>
    <mergeCell ref="O2115:P2115"/>
    <mergeCell ref="O2116:P2116"/>
    <mergeCell ref="O2117:P2117"/>
    <mergeCell ref="O2108:P2108"/>
    <mergeCell ref="O2109:P2109"/>
    <mergeCell ref="O2110:P2110"/>
    <mergeCell ref="O2111:P2111"/>
    <mergeCell ref="O2112:P2112"/>
    <mergeCell ref="O2103:P2103"/>
    <mergeCell ref="O2104:P2104"/>
    <mergeCell ref="O2105:P2105"/>
    <mergeCell ref="O2106:P2106"/>
    <mergeCell ref="O2107:P2107"/>
    <mergeCell ref="O2098:P2098"/>
    <mergeCell ref="O2099:P2099"/>
    <mergeCell ref="O2100:P2100"/>
    <mergeCell ref="O2101:P2101"/>
    <mergeCell ref="O2102:P2102"/>
    <mergeCell ref="O2113:P2113"/>
    <mergeCell ref="O2114:P2114"/>
    <mergeCell ref="O2093:P2093"/>
    <mergeCell ref="O2094:P2094"/>
    <mergeCell ref="O2095:P2095"/>
    <mergeCell ref="O2096:P2096"/>
    <mergeCell ref="O2097:P2097"/>
    <mergeCell ref="O2088:P2088"/>
    <mergeCell ref="O2089:P2089"/>
    <mergeCell ref="O2090:P2090"/>
    <mergeCell ref="O2091:P2091"/>
    <mergeCell ref="O2092:P2092"/>
    <mergeCell ref="O2083:P2083"/>
    <mergeCell ref="O2084:P2084"/>
    <mergeCell ref="O2085:P2085"/>
    <mergeCell ref="O2086:P2086"/>
    <mergeCell ref="O2087:P2087"/>
    <mergeCell ref="O2078:P2078"/>
    <mergeCell ref="O2079:P2079"/>
    <mergeCell ref="O2080:P2080"/>
    <mergeCell ref="O2081:P2081"/>
    <mergeCell ref="O2082:P2082"/>
    <mergeCell ref="O2073:P2073"/>
    <mergeCell ref="O2074:P2074"/>
    <mergeCell ref="O2075:P2075"/>
    <mergeCell ref="O2076:P2076"/>
    <mergeCell ref="O2077:P2077"/>
    <mergeCell ref="O2068:P2068"/>
    <mergeCell ref="O2069:P2069"/>
    <mergeCell ref="O2070:P2070"/>
    <mergeCell ref="O2071:P2071"/>
    <mergeCell ref="O2072:P2072"/>
    <mergeCell ref="O2063:P2063"/>
    <mergeCell ref="O2064:P2064"/>
    <mergeCell ref="O2065:P2065"/>
    <mergeCell ref="O2066:P2066"/>
    <mergeCell ref="O2067:P2067"/>
    <mergeCell ref="O2058:P2058"/>
    <mergeCell ref="O2059:P2059"/>
    <mergeCell ref="O2060:P2060"/>
    <mergeCell ref="O2061:P2061"/>
    <mergeCell ref="O2062:P2062"/>
    <mergeCell ref="O2053:P2053"/>
    <mergeCell ref="O2054:P2054"/>
    <mergeCell ref="O2055:P2055"/>
    <mergeCell ref="O2056:P2056"/>
    <mergeCell ref="O2057:P2057"/>
    <mergeCell ref="O2048:P2048"/>
    <mergeCell ref="O2049:P2049"/>
    <mergeCell ref="O2050:P2050"/>
    <mergeCell ref="O2051:P2051"/>
    <mergeCell ref="O2052:P2052"/>
    <mergeCell ref="O2043:P2043"/>
    <mergeCell ref="O2044:P2044"/>
    <mergeCell ref="O2045:P2045"/>
    <mergeCell ref="O2046:P2046"/>
    <mergeCell ref="O2047:P2047"/>
    <mergeCell ref="O2038:P2038"/>
    <mergeCell ref="O2039:P2039"/>
    <mergeCell ref="O2040:P2040"/>
    <mergeCell ref="O2041:P2041"/>
    <mergeCell ref="O2042:P2042"/>
    <mergeCell ref="O2033:P2033"/>
    <mergeCell ref="O2034:P2034"/>
    <mergeCell ref="O2035:P2035"/>
    <mergeCell ref="O2036:P2036"/>
    <mergeCell ref="O2037:P2037"/>
    <mergeCell ref="O2028:P2028"/>
    <mergeCell ref="O2029:P2029"/>
    <mergeCell ref="O2030:P2030"/>
    <mergeCell ref="O2031:P2031"/>
    <mergeCell ref="O2032:P2032"/>
    <mergeCell ref="O2023:P2023"/>
    <mergeCell ref="O2024:P2024"/>
    <mergeCell ref="O2025:P2025"/>
    <mergeCell ref="O2026:P2026"/>
    <mergeCell ref="O2027:P2027"/>
    <mergeCell ref="O2018:P2018"/>
    <mergeCell ref="O2019:P2019"/>
    <mergeCell ref="O2020:P2020"/>
    <mergeCell ref="O2021:P2021"/>
    <mergeCell ref="O2022:P2022"/>
    <mergeCell ref="O2013:P2013"/>
    <mergeCell ref="O2014:P2014"/>
    <mergeCell ref="O2015:P2015"/>
    <mergeCell ref="O2016:P2016"/>
    <mergeCell ref="O2017:P2017"/>
    <mergeCell ref="O2008:P2008"/>
    <mergeCell ref="O2009:P2009"/>
    <mergeCell ref="O2010:P2010"/>
    <mergeCell ref="O2011:P2011"/>
    <mergeCell ref="O2012:P2012"/>
    <mergeCell ref="O2003:P2003"/>
    <mergeCell ref="O2004:P2004"/>
    <mergeCell ref="O2005:P2005"/>
    <mergeCell ref="O2006:P2006"/>
    <mergeCell ref="O2007:P2007"/>
    <mergeCell ref="O1998:P1998"/>
    <mergeCell ref="O1999:P1999"/>
    <mergeCell ref="O2000:P2000"/>
    <mergeCell ref="O2001:P2001"/>
    <mergeCell ref="O2002:P2002"/>
    <mergeCell ref="O1993:P1993"/>
    <mergeCell ref="O1994:P1994"/>
    <mergeCell ref="O1995:P1995"/>
    <mergeCell ref="O1996:P1996"/>
    <mergeCell ref="O1997:P1997"/>
    <mergeCell ref="O1988:P1988"/>
    <mergeCell ref="O1989:P1989"/>
    <mergeCell ref="O1990:P1990"/>
    <mergeCell ref="O1991:P1991"/>
    <mergeCell ref="O1992:P1992"/>
    <mergeCell ref="O1983:P1983"/>
    <mergeCell ref="O1984:P1984"/>
    <mergeCell ref="O1985:P1985"/>
    <mergeCell ref="O1986:P1986"/>
    <mergeCell ref="O1987:P1987"/>
    <mergeCell ref="O1978:P1978"/>
    <mergeCell ref="O1979:P1979"/>
    <mergeCell ref="O1980:P1980"/>
    <mergeCell ref="O1981:P1981"/>
    <mergeCell ref="O1982:P1982"/>
    <mergeCell ref="O1973:P1973"/>
    <mergeCell ref="O1974:P1974"/>
    <mergeCell ref="O1975:P1975"/>
    <mergeCell ref="O1976:P1976"/>
    <mergeCell ref="O1977:P1977"/>
    <mergeCell ref="O1968:P1968"/>
    <mergeCell ref="O1969:P1969"/>
    <mergeCell ref="O1970:P1970"/>
    <mergeCell ref="O1971:P1971"/>
    <mergeCell ref="O1972:P1972"/>
    <mergeCell ref="O1963:P1963"/>
    <mergeCell ref="O1964:P1964"/>
    <mergeCell ref="O1965:P1965"/>
    <mergeCell ref="O1966:P1966"/>
    <mergeCell ref="O1967:P1967"/>
    <mergeCell ref="O1958:P1958"/>
    <mergeCell ref="O1959:P1959"/>
    <mergeCell ref="O1960:P1960"/>
    <mergeCell ref="O1961:P1961"/>
    <mergeCell ref="O1962:P1962"/>
    <mergeCell ref="O1953:P1953"/>
    <mergeCell ref="O1954:P1954"/>
    <mergeCell ref="O1955:P1955"/>
    <mergeCell ref="O1956:P1956"/>
    <mergeCell ref="O1957:P1957"/>
    <mergeCell ref="O1948:P1948"/>
    <mergeCell ref="O1949:P1949"/>
    <mergeCell ref="O1950:P1950"/>
    <mergeCell ref="O1951:P1951"/>
    <mergeCell ref="O1952:P1952"/>
    <mergeCell ref="O1943:P1943"/>
    <mergeCell ref="O1944:P1944"/>
    <mergeCell ref="O1945:P1945"/>
    <mergeCell ref="O1946:P1946"/>
    <mergeCell ref="O1947:P1947"/>
    <mergeCell ref="O1938:P1938"/>
    <mergeCell ref="O1939:P1939"/>
    <mergeCell ref="O1940:P1940"/>
    <mergeCell ref="O1941:P1941"/>
    <mergeCell ref="O1942:P1942"/>
    <mergeCell ref="O1933:P1933"/>
    <mergeCell ref="O1934:P1934"/>
    <mergeCell ref="O1935:P1935"/>
    <mergeCell ref="O1936:P1936"/>
    <mergeCell ref="O1937:P1937"/>
    <mergeCell ref="O1928:P1928"/>
    <mergeCell ref="O1929:P1929"/>
    <mergeCell ref="O1930:P1930"/>
    <mergeCell ref="O1931:P1931"/>
    <mergeCell ref="O1932:P1932"/>
    <mergeCell ref="O1923:P1923"/>
    <mergeCell ref="O1924:P1924"/>
    <mergeCell ref="O1925:P1925"/>
    <mergeCell ref="O1926:P1926"/>
    <mergeCell ref="O1927:P1927"/>
    <mergeCell ref="O1918:P1918"/>
    <mergeCell ref="O1919:P1919"/>
    <mergeCell ref="O1920:P1920"/>
    <mergeCell ref="O1921:P1921"/>
    <mergeCell ref="O1922:P1922"/>
    <mergeCell ref="O1913:P1913"/>
    <mergeCell ref="O1914:P1914"/>
    <mergeCell ref="O1915:P1915"/>
    <mergeCell ref="O1916:P1916"/>
    <mergeCell ref="O1917:P1917"/>
    <mergeCell ref="O1908:P1908"/>
    <mergeCell ref="O1909:P1909"/>
    <mergeCell ref="O1910:P1910"/>
    <mergeCell ref="O1911:P1911"/>
    <mergeCell ref="O1912:P1912"/>
    <mergeCell ref="O1903:P1903"/>
    <mergeCell ref="O1904:P1904"/>
    <mergeCell ref="O1905:P1905"/>
    <mergeCell ref="O1906:P1906"/>
    <mergeCell ref="O1907:P1907"/>
    <mergeCell ref="O1898:P1898"/>
    <mergeCell ref="O1899:P1899"/>
    <mergeCell ref="O1900:P1900"/>
    <mergeCell ref="O1901:P1901"/>
    <mergeCell ref="O1902:P1902"/>
    <mergeCell ref="O1893:P1893"/>
    <mergeCell ref="O1894:P1894"/>
    <mergeCell ref="O1895:P1895"/>
    <mergeCell ref="O1896:P1896"/>
    <mergeCell ref="O1897:P1897"/>
    <mergeCell ref="O1888:P1888"/>
    <mergeCell ref="O1889:P1889"/>
    <mergeCell ref="O1890:P1890"/>
    <mergeCell ref="O1891:P1891"/>
    <mergeCell ref="O1892:P1892"/>
    <mergeCell ref="O1883:P1883"/>
    <mergeCell ref="O1884:P1884"/>
    <mergeCell ref="O1885:P1885"/>
    <mergeCell ref="O1886:P1886"/>
    <mergeCell ref="O1887:P1887"/>
    <mergeCell ref="O1878:P1878"/>
    <mergeCell ref="O1879:P1879"/>
    <mergeCell ref="O1880:P1880"/>
    <mergeCell ref="O1881:P1881"/>
    <mergeCell ref="O1882:P1882"/>
    <mergeCell ref="O1873:P1873"/>
    <mergeCell ref="O1874:P1874"/>
    <mergeCell ref="O1875:P1875"/>
    <mergeCell ref="O1876:P1876"/>
    <mergeCell ref="O1877:P1877"/>
    <mergeCell ref="O1868:P1868"/>
    <mergeCell ref="O1869:P1869"/>
    <mergeCell ref="O1870:P1870"/>
    <mergeCell ref="O1871:P1871"/>
    <mergeCell ref="O1872:P1872"/>
    <mergeCell ref="O1863:P1863"/>
    <mergeCell ref="O1864:P1864"/>
    <mergeCell ref="O1865:P1865"/>
    <mergeCell ref="O1866:P1866"/>
    <mergeCell ref="O1867:P1867"/>
    <mergeCell ref="O1858:P1858"/>
    <mergeCell ref="O1859:P1859"/>
    <mergeCell ref="O1860:P1860"/>
    <mergeCell ref="O1861:P1861"/>
    <mergeCell ref="O1862:P1862"/>
    <mergeCell ref="O1853:P1853"/>
    <mergeCell ref="O1854:P1854"/>
    <mergeCell ref="O1855:P1855"/>
    <mergeCell ref="O1856:P1856"/>
    <mergeCell ref="O1857:P1857"/>
    <mergeCell ref="O1848:P1848"/>
    <mergeCell ref="O1849:P1849"/>
    <mergeCell ref="O1850:P1850"/>
    <mergeCell ref="O1851:P1851"/>
    <mergeCell ref="O1852:P1852"/>
    <mergeCell ref="O1843:P1843"/>
    <mergeCell ref="O1844:P1844"/>
    <mergeCell ref="O1845:P1845"/>
    <mergeCell ref="O1846:P1846"/>
    <mergeCell ref="O1847:P1847"/>
    <mergeCell ref="O1838:P1838"/>
    <mergeCell ref="O1839:P1839"/>
    <mergeCell ref="O1840:P1840"/>
    <mergeCell ref="O1841:P1841"/>
    <mergeCell ref="O1842:P1842"/>
    <mergeCell ref="O1833:P1833"/>
    <mergeCell ref="O1834:P1834"/>
    <mergeCell ref="O1835:P1835"/>
    <mergeCell ref="O1836:P1836"/>
    <mergeCell ref="O1837:P1837"/>
    <mergeCell ref="O1828:P1828"/>
    <mergeCell ref="O1829:P1829"/>
    <mergeCell ref="O1830:P1830"/>
    <mergeCell ref="O1831:P1831"/>
    <mergeCell ref="O1832:P1832"/>
    <mergeCell ref="O1823:P1823"/>
    <mergeCell ref="O1824:P1824"/>
    <mergeCell ref="O1825:P1825"/>
    <mergeCell ref="O1826:P1826"/>
    <mergeCell ref="O1827:P1827"/>
    <mergeCell ref="O1818:P1818"/>
    <mergeCell ref="O1819:P1819"/>
    <mergeCell ref="O1820:P1820"/>
    <mergeCell ref="O1821:P1821"/>
    <mergeCell ref="O1822:P1822"/>
    <mergeCell ref="O1813:P1813"/>
    <mergeCell ref="O1814:P1814"/>
    <mergeCell ref="O1815:P1815"/>
    <mergeCell ref="O1816:P1816"/>
    <mergeCell ref="O1817:P1817"/>
    <mergeCell ref="O1808:P1808"/>
    <mergeCell ref="O1809:P1809"/>
    <mergeCell ref="O1810:P1810"/>
    <mergeCell ref="O1811:P1811"/>
    <mergeCell ref="O1812:P1812"/>
    <mergeCell ref="O1803:P1803"/>
    <mergeCell ref="O1804:P1804"/>
    <mergeCell ref="O1805:P1805"/>
    <mergeCell ref="O1806:P1806"/>
    <mergeCell ref="O1807:P1807"/>
    <mergeCell ref="O1798:P1798"/>
    <mergeCell ref="O1799:P1799"/>
    <mergeCell ref="O1800:P1800"/>
    <mergeCell ref="O1801:P1801"/>
    <mergeCell ref="O1802:P1802"/>
    <mergeCell ref="O1793:P1793"/>
    <mergeCell ref="O1794:P1794"/>
    <mergeCell ref="O1795:P1795"/>
    <mergeCell ref="O1796:P1796"/>
    <mergeCell ref="O1797:P1797"/>
    <mergeCell ref="O1788:P1788"/>
    <mergeCell ref="O1789:P1789"/>
    <mergeCell ref="O1790:P1790"/>
    <mergeCell ref="O1791:P1791"/>
    <mergeCell ref="O1792:P1792"/>
    <mergeCell ref="O1783:P1783"/>
    <mergeCell ref="O1784:P1784"/>
    <mergeCell ref="O1785:P1785"/>
    <mergeCell ref="O1786:P1786"/>
    <mergeCell ref="O1787:P1787"/>
    <mergeCell ref="O1778:P1778"/>
    <mergeCell ref="O1779:P1779"/>
    <mergeCell ref="O1780:P1780"/>
    <mergeCell ref="O1781:P1781"/>
    <mergeCell ref="O1782:P1782"/>
    <mergeCell ref="O1773:P1773"/>
    <mergeCell ref="O1774:P1774"/>
    <mergeCell ref="O1775:P1775"/>
    <mergeCell ref="O1776:P1776"/>
    <mergeCell ref="O1777:P1777"/>
    <mergeCell ref="O1768:P1768"/>
    <mergeCell ref="O1769:P1769"/>
    <mergeCell ref="O1770:P1770"/>
    <mergeCell ref="O1771:P1771"/>
    <mergeCell ref="O1772:P1772"/>
    <mergeCell ref="O1763:P1763"/>
    <mergeCell ref="O1764:P1764"/>
    <mergeCell ref="O1765:P1765"/>
    <mergeCell ref="O1766:P1766"/>
    <mergeCell ref="O1767:P1767"/>
    <mergeCell ref="O1758:P1758"/>
    <mergeCell ref="O1759:P1759"/>
    <mergeCell ref="O1760:P1760"/>
    <mergeCell ref="O1761:P1761"/>
    <mergeCell ref="O1762:P1762"/>
    <mergeCell ref="O1753:P1753"/>
    <mergeCell ref="O1754:P1754"/>
    <mergeCell ref="O1755:P1755"/>
    <mergeCell ref="O1756:P1756"/>
    <mergeCell ref="O1757:P1757"/>
    <mergeCell ref="O1748:P1748"/>
    <mergeCell ref="O1749:P1749"/>
    <mergeCell ref="O1750:P1750"/>
    <mergeCell ref="O1751:P1751"/>
    <mergeCell ref="O1752:P1752"/>
    <mergeCell ref="O1743:P1743"/>
    <mergeCell ref="O1744:P1744"/>
    <mergeCell ref="O1745:P1745"/>
    <mergeCell ref="O1746:P1746"/>
    <mergeCell ref="O1747:P1747"/>
    <mergeCell ref="O1738:P1738"/>
    <mergeCell ref="O1739:P1739"/>
    <mergeCell ref="O1740:P1740"/>
    <mergeCell ref="O1741:P1741"/>
    <mergeCell ref="O1742:P1742"/>
    <mergeCell ref="O1733:P1733"/>
    <mergeCell ref="O1734:P1734"/>
    <mergeCell ref="O1735:P1735"/>
    <mergeCell ref="O1736:P1736"/>
    <mergeCell ref="O1737:P1737"/>
    <mergeCell ref="O1728:P1728"/>
    <mergeCell ref="O1729:P1729"/>
    <mergeCell ref="O1730:P1730"/>
    <mergeCell ref="O1731:P1731"/>
    <mergeCell ref="O1732:P1732"/>
    <mergeCell ref="O1723:P1723"/>
    <mergeCell ref="O1724:P1724"/>
    <mergeCell ref="O1725:P1725"/>
    <mergeCell ref="O1726:P1726"/>
    <mergeCell ref="O1727:P1727"/>
    <mergeCell ref="O1718:P1718"/>
    <mergeCell ref="O1719:P1719"/>
    <mergeCell ref="O1720:P1720"/>
    <mergeCell ref="O1721:P1721"/>
    <mergeCell ref="O1722:P1722"/>
    <mergeCell ref="O1713:P1713"/>
    <mergeCell ref="O1714:P1714"/>
    <mergeCell ref="O1715:P1715"/>
    <mergeCell ref="O1716:P1716"/>
    <mergeCell ref="O1717:P1717"/>
    <mergeCell ref="O1708:P1708"/>
    <mergeCell ref="O1709:P1709"/>
    <mergeCell ref="O1710:P1710"/>
    <mergeCell ref="O1711:P1711"/>
    <mergeCell ref="O1712:P1712"/>
    <mergeCell ref="O1703:P1703"/>
    <mergeCell ref="O1704:P1704"/>
    <mergeCell ref="O1705:P1705"/>
    <mergeCell ref="O1706:P1706"/>
    <mergeCell ref="O1707:P1707"/>
    <mergeCell ref="O1698:P1698"/>
    <mergeCell ref="O1699:P1699"/>
    <mergeCell ref="O1700:P1700"/>
    <mergeCell ref="O1701:P1701"/>
    <mergeCell ref="O1702:P1702"/>
    <mergeCell ref="O1693:P1693"/>
    <mergeCell ref="O1694:P1694"/>
    <mergeCell ref="O1695:P1695"/>
    <mergeCell ref="O1696:P1696"/>
    <mergeCell ref="O1697:P1697"/>
    <mergeCell ref="O1688:P1688"/>
    <mergeCell ref="O1689:P1689"/>
    <mergeCell ref="O1690:P1690"/>
    <mergeCell ref="O1691:P1691"/>
    <mergeCell ref="O1692:P1692"/>
    <mergeCell ref="O1683:P1683"/>
    <mergeCell ref="O1684:P1684"/>
    <mergeCell ref="O1685:P1685"/>
    <mergeCell ref="O1686:P1686"/>
    <mergeCell ref="O1687:P1687"/>
    <mergeCell ref="O1678:P1678"/>
    <mergeCell ref="O1679:P1679"/>
    <mergeCell ref="O1680:P1680"/>
    <mergeCell ref="O1681:P1681"/>
    <mergeCell ref="O1682:P1682"/>
    <mergeCell ref="O1673:P1673"/>
    <mergeCell ref="O1674:P1674"/>
    <mergeCell ref="O1675:P1675"/>
    <mergeCell ref="O1676:P1676"/>
    <mergeCell ref="O1677:P1677"/>
    <mergeCell ref="O1668:P1668"/>
    <mergeCell ref="O1669:P1669"/>
    <mergeCell ref="O1670:P1670"/>
    <mergeCell ref="O1671:P1671"/>
    <mergeCell ref="O1672:P1672"/>
    <mergeCell ref="O1663:P1663"/>
    <mergeCell ref="O1664:P1664"/>
    <mergeCell ref="O1665:P1665"/>
    <mergeCell ref="O1666:P1666"/>
    <mergeCell ref="O1667:P1667"/>
    <mergeCell ref="O1658:P1658"/>
    <mergeCell ref="O1659:P1659"/>
    <mergeCell ref="O1660:P1660"/>
    <mergeCell ref="O1661:P1661"/>
    <mergeCell ref="O1662:P1662"/>
    <mergeCell ref="O1653:P1653"/>
    <mergeCell ref="O1654:P1654"/>
    <mergeCell ref="O1655:P1655"/>
    <mergeCell ref="O1656:P1656"/>
    <mergeCell ref="O1657:P1657"/>
    <mergeCell ref="O1648:P1648"/>
    <mergeCell ref="O1649:P1649"/>
    <mergeCell ref="O1650:P1650"/>
    <mergeCell ref="O1651:P1651"/>
    <mergeCell ref="O1652:P1652"/>
    <mergeCell ref="O1643:P1643"/>
    <mergeCell ref="O1644:P1644"/>
    <mergeCell ref="O1645:P1645"/>
    <mergeCell ref="O1646:P1646"/>
    <mergeCell ref="O1647:P1647"/>
    <mergeCell ref="O1638:P1638"/>
    <mergeCell ref="O1639:P1639"/>
    <mergeCell ref="O1640:P1640"/>
    <mergeCell ref="O1641:P1641"/>
    <mergeCell ref="O1642:P1642"/>
    <mergeCell ref="O1633:P1633"/>
    <mergeCell ref="O1634:P1634"/>
    <mergeCell ref="O1635:P1635"/>
    <mergeCell ref="O1636:P1636"/>
    <mergeCell ref="O1637:P1637"/>
    <mergeCell ref="O1628:P1628"/>
    <mergeCell ref="O1629:P1629"/>
    <mergeCell ref="O1630:P1630"/>
    <mergeCell ref="O1631:P1631"/>
    <mergeCell ref="O1632:P1632"/>
    <mergeCell ref="O1623:P1623"/>
    <mergeCell ref="O1624:P1624"/>
    <mergeCell ref="O1625:P1625"/>
    <mergeCell ref="O1626:P1626"/>
    <mergeCell ref="O1627:P1627"/>
    <mergeCell ref="O1618:P1618"/>
    <mergeCell ref="O1619:P1619"/>
    <mergeCell ref="O1620:P1620"/>
    <mergeCell ref="O1621:P1621"/>
    <mergeCell ref="O1622:P1622"/>
    <mergeCell ref="O1613:P1613"/>
    <mergeCell ref="O1614:P1614"/>
    <mergeCell ref="O1615:P1615"/>
    <mergeCell ref="O1616:P1616"/>
    <mergeCell ref="O1617:P1617"/>
    <mergeCell ref="O1608:P1608"/>
    <mergeCell ref="O1609:P1609"/>
    <mergeCell ref="O1610:P1610"/>
    <mergeCell ref="O1611:P1611"/>
    <mergeCell ref="O1612:P1612"/>
    <mergeCell ref="O1603:P1603"/>
    <mergeCell ref="O1604:P1604"/>
    <mergeCell ref="O1605:P1605"/>
    <mergeCell ref="O1606:P1606"/>
    <mergeCell ref="O1607:P1607"/>
    <mergeCell ref="O1598:P1598"/>
    <mergeCell ref="O1599:P1599"/>
    <mergeCell ref="O1600:P1600"/>
    <mergeCell ref="O1601:P1601"/>
    <mergeCell ref="O1602:P1602"/>
    <mergeCell ref="O1593:P1593"/>
    <mergeCell ref="O1594:P1594"/>
    <mergeCell ref="O1595:P1595"/>
    <mergeCell ref="O1596:P1596"/>
    <mergeCell ref="O1597:P1597"/>
    <mergeCell ref="O1588:P1588"/>
    <mergeCell ref="O1589:P1589"/>
    <mergeCell ref="O1590:P1590"/>
    <mergeCell ref="O1591:P1591"/>
    <mergeCell ref="O1592:P1592"/>
    <mergeCell ref="O1583:P1583"/>
    <mergeCell ref="O1584:P1584"/>
    <mergeCell ref="O1585:P1585"/>
    <mergeCell ref="O1586:P1586"/>
    <mergeCell ref="O1587:P1587"/>
    <mergeCell ref="O1578:P1578"/>
    <mergeCell ref="O1579:P1579"/>
    <mergeCell ref="O1580:P1580"/>
    <mergeCell ref="O1581:P1581"/>
    <mergeCell ref="O1582:P1582"/>
    <mergeCell ref="O1573:P1573"/>
    <mergeCell ref="O1574:P1574"/>
    <mergeCell ref="O1575:P1575"/>
    <mergeCell ref="O1576:P1576"/>
    <mergeCell ref="O1577:P1577"/>
    <mergeCell ref="O1568:P1568"/>
    <mergeCell ref="O1569:P1569"/>
    <mergeCell ref="O1570:P1570"/>
    <mergeCell ref="O1571:P1571"/>
    <mergeCell ref="O1572:P1572"/>
    <mergeCell ref="O1563:P1563"/>
    <mergeCell ref="O1564:P1564"/>
    <mergeCell ref="O1565:P1565"/>
    <mergeCell ref="O1566:P1566"/>
    <mergeCell ref="O1567:P1567"/>
    <mergeCell ref="O1558:P1558"/>
    <mergeCell ref="O1559:P1559"/>
    <mergeCell ref="O1560:P1560"/>
    <mergeCell ref="O1561:P1561"/>
    <mergeCell ref="O1562:P1562"/>
    <mergeCell ref="O1553:P1553"/>
    <mergeCell ref="O1554:P1554"/>
    <mergeCell ref="O1555:P1555"/>
    <mergeCell ref="O1556:P1556"/>
    <mergeCell ref="O1557:P1557"/>
    <mergeCell ref="O1548:P1548"/>
    <mergeCell ref="O1549:P1549"/>
    <mergeCell ref="O1550:P1550"/>
    <mergeCell ref="O1551:P1551"/>
    <mergeCell ref="O1552:P1552"/>
    <mergeCell ref="O1543:P1543"/>
    <mergeCell ref="O1544:P1544"/>
    <mergeCell ref="O1545:P1545"/>
    <mergeCell ref="O1546:P1546"/>
    <mergeCell ref="O1547:P1547"/>
    <mergeCell ref="O1538:P1538"/>
    <mergeCell ref="O1539:P1539"/>
    <mergeCell ref="O1540:P1540"/>
    <mergeCell ref="O1541:P1541"/>
    <mergeCell ref="O1542:P1542"/>
    <mergeCell ref="O1533:P1533"/>
    <mergeCell ref="O1534:P1534"/>
    <mergeCell ref="O1535:P1535"/>
    <mergeCell ref="O1536:P1536"/>
    <mergeCell ref="O1537:P1537"/>
    <mergeCell ref="O1528:P1528"/>
    <mergeCell ref="O1529:P1529"/>
    <mergeCell ref="O1530:P1530"/>
    <mergeCell ref="O1531:P1531"/>
    <mergeCell ref="O1532:P1532"/>
    <mergeCell ref="O1523:P1523"/>
    <mergeCell ref="O1524:P1524"/>
    <mergeCell ref="O1525:P1525"/>
    <mergeCell ref="O1526:P1526"/>
    <mergeCell ref="O1527:P1527"/>
    <mergeCell ref="O1518:P1518"/>
    <mergeCell ref="O1519:P1519"/>
    <mergeCell ref="O1520:P1520"/>
    <mergeCell ref="O1521:P1521"/>
    <mergeCell ref="O1522:P1522"/>
    <mergeCell ref="O1513:P1513"/>
    <mergeCell ref="O1514:P1514"/>
    <mergeCell ref="O1515:P1515"/>
    <mergeCell ref="O1516:P1516"/>
    <mergeCell ref="O1517:P1517"/>
    <mergeCell ref="O1508:P1508"/>
    <mergeCell ref="O1509:P1509"/>
    <mergeCell ref="O1510:P1510"/>
    <mergeCell ref="O1511:P1511"/>
    <mergeCell ref="O1512:P1512"/>
    <mergeCell ref="O1503:P1503"/>
    <mergeCell ref="O1504:P1504"/>
    <mergeCell ref="O1505:P1505"/>
    <mergeCell ref="O1506:P1506"/>
    <mergeCell ref="O1507:P1507"/>
    <mergeCell ref="O1498:P1498"/>
    <mergeCell ref="O1499:P1499"/>
    <mergeCell ref="O1500:P1500"/>
    <mergeCell ref="O1501:P1501"/>
    <mergeCell ref="O1502:P1502"/>
    <mergeCell ref="O1493:P1493"/>
    <mergeCell ref="O1494:P1494"/>
    <mergeCell ref="O1495:P1495"/>
    <mergeCell ref="O1496:P1496"/>
    <mergeCell ref="O1497:P1497"/>
    <mergeCell ref="O1488:P1488"/>
    <mergeCell ref="O1489:P1489"/>
    <mergeCell ref="O1490:P1490"/>
    <mergeCell ref="O1491:P1491"/>
    <mergeCell ref="O1492:P1492"/>
    <mergeCell ref="O1483:P1483"/>
    <mergeCell ref="O1484:P1484"/>
    <mergeCell ref="O1485:P1485"/>
    <mergeCell ref="O1486:P1486"/>
    <mergeCell ref="O1487:P1487"/>
    <mergeCell ref="O1478:P1478"/>
    <mergeCell ref="O1479:P1479"/>
    <mergeCell ref="O1480:P1480"/>
    <mergeCell ref="O1481:P1481"/>
    <mergeCell ref="O1482:P1482"/>
    <mergeCell ref="O1473:P1473"/>
    <mergeCell ref="O1474:P1474"/>
    <mergeCell ref="O1475:P1475"/>
    <mergeCell ref="O1476:P1476"/>
    <mergeCell ref="O1477:P1477"/>
    <mergeCell ref="O1468:P1468"/>
    <mergeCell ref="O1469:P1469"/>
    <mergeCell ref="O1470:P1470"/>
    <mergeCell ref="O1471:P1471"/>
    <mergeCell ref="O1472:P1472"/>
    <mergeCell ref="O1463:P1463"/>
    <mergeCell ref="O1464:P1464"/>
    <mergeCell ref="O1465:P1465"/>
    <mergeCell ref="O1466:P1466"/>
    <mergeCell ref="O1467:P1467"/>
    <mergeCell ref="O1458:P1458"/>
    <mergeCell ref="O1459:P1459"/>
    <mergeCell ref="O1460:P1460"/>
    <mergeCell ref="O1461:P1461"/>
    <mergeCell ref="O1462:P1462"/>
    <mergeCell ref="O1453:P1453"/>
    <mergeCell ref="O1454:P1454"/>
    <mergeCell ref="O1455:P1455"/>
    <mergeCell ref="O1456:P1456"/>
    <mergeCell ref="O1457:P1457"/>
    <mergeCell ref="O1448:P1448"/>
    <mergeCell ref="O1449:P1449"/>
    <mergeCell ref="O1450:P1450"/>
    <mergeCell ref="O1451:P1451"/>
    <mergeCell ref="O1452:P1452"/>
    <mergeCell ref="O1443:P1443"/>
    <mergeCell ref="O1444:P1444"/>
    <mergeCell ref="O1445:P1445"/>
    <mergeCell ref="O1446:P1446"/>
    <mergeCell ref="O1447:P1447"/>
    <mergeCell ref="O1438:P1438"/>
    <mergeCell ref="O1439:P1439"/>
    <mergeCell ref="O1440:P1440"/>
    <mergeCell ref="O1441:P1441"/>
    <mergeCell ref="O1442:P1442"/>
    <mergeCell ref="O1433:P1433"/>
    <mergeCell ref="O1434:P1434"/>
    <mergeCell ref="O1435:P1435"/>
    <mergeCell ref="O1436:P1436"/>
    <mergeCell ref="O1437:P1437"/>
    <mergeCell ref="O1428:P1428"/>
    <mergeCell ref="O1429:P1429"/>
    <mergeCell ref="O1430:P1430"/>
    <mergeCell ref="O1431:P1431"/>
    <mergeCell ref="O1432:P1432"/>
    <mergeCell ref="O1423:P1423"/>
    <mergeCell ref="O1424:P1424"/>
    <mergeCell ref="O1425:P1425"/>
    <mergeCell ref="O1426:P1426"/>
    <mergeCell ref="O1427:P1427"/>
    <mergeCell ref="O1418:P1418"/>
    <mergeCell ref="O1419:P1419"/>
    <mergeCell ref="O1420:P1420"/>
    <mergeCell ref="O1421:P1421"/>
    <mergeCell ref="O1422:P1422"/>
    <mergeCell ref="O1413:P1413"/>
    <mergeCell ref="O1414:P1414"/>
    <mergeCell ref="O1415:P1415"/>
    <mergeCell ref="O1416:P1416"/>
    <mergeCell ref="O1417:P1417"/>
    <mergeCell ref="O1408:P1408"/>
    <mergeCell ref="O1409:P1409"/>
    <mergeCell ref="O1410:P1410"/>
    <mergeCell ref="O1411:P1411"/>
    <mergeCell ref="O1412:P1412"/>
    <mergeCell ref="O1403:P1403"/>
    <mergeCell ref="O1404:P1404"/>
    <mergeCell ref="O1405:P1405"/>
    <mergeCell ref="O1406:P1406"/>
    <mergeCell ref="O1407:P1407"/>
    <mergeCell ref="O1398:P1398"/>
    <mergeCell ref="O1399:P1399"/>
    <mergeCell ref="O1400:P1400"/>
    <mergeCell ref="O1401:P1401"/>
    <mergeCell ref="O1402:P1402"/>
    <mergeCell ref="O1393:P1393"/>
    <mergeCell ref="O1394:P1394"/>
    <mergeCell ref="O1395:P1395"/>
    <mergeCell ref="O1396:P1396"/>
    <mergeCell ref="O1397:P1397"/>
    <mergeCell ref="O1388:P1388"/>
    <mergeCell ref="O1389:P1389"/>
    <mergeCell ref="O1390:P1390"/>
    <mergeCell ref="O1391:P1391"/>
    <mergeCell ref="O1392:P1392"/>
    <mergeCell ref="O1383:P1383"/>
    <mergeCell ref="O1384:P1384"/>
    <mergeCell ref="O1385:P1385"/>
    <mergeCell ref="O1386:P1386"/>
    <mergeCell ref="O1387:P1387"/>
    <mergeCell ref="O1378:P1378"/>
    <mergeCell ref="O1379:P1379"/>
    <mergeCell ref="O1380:P1380"/>
    <mergeCell ref="O1381:P1381"/>
    <mergeCell ref="O1382:P1382"/>
    <mergeCell ref="O1373:P1373"/>
    <mergeCell ref="O1374:P1374"/>
    <mergeCell ref="O1375:P1375"/>
    <mergeCell ref="O1376:P1376"/>
    <mergeCell ref="O1377:P1377"/>
    <mergeCell ref="O1368:P1368"/>
    <mergeCell ref="O1369:P1369"/>
    <mergeCell ref="O1370:P1370"/>
    <mergeCell ref="O1371:P1371"/>
    <mergeCell ref="O1372:P1372"/>
    <mergeCell ref="O1363:P1363"/>
    <mergeCell ref="O1364:P1364"/>
    <mergeCell ref="O1365:P1365"/>
    <mergeCell ref="O1366:P1366"/>
    <mergeCell ref="O1367:P1367"/>
    <mergeCell ref="O1358:P1358"/>
    <mergeCell ref="O1359:P1359"/>
    <mergeCell ref="O1360:P1360"/>
    <mergeCell ref="O1361:P1361"/>
    <mergeCell ref="O1362:P1362"/>
    <mergeCell ref="O1353:P1353"/>
    <mergeCell ref="O1354:P1354"/>
    <mergeCell ref="O1355:P1355"/>
    <mergeCell ref="O1356:P1356"/>
    <mergeCell ref="O1357:P1357"/>
    <mergeCell ref="O1348:P1348"/>
    <mergeCell ref="O1349:P1349"/>
    <mergeCell ref="O1350:P1350"/>
    <mergeCell ref="O1351:P1351"/>
    <mergeCell ref="O1352:P1352"/>
    <mergeCell ref="O1343:P1343"/>
    <mergeCell ref="O1344:P1344"/>
    <mergeCell ref="O1345:P1345"/>
    <mergeCell ref="O1346:P1346"/>
    <mergeCell ref="O1347:P1347"/>
    <mergeCell ref="O1338:P1338"/>
    <mergeCell ref="O1339:P1339"/>
    <mergeCell ref="O1340:P1340"/>
    <mergeCell ref="O1341:P1341"/>
    <mergeCell ref="O1342:P1342"/>
    <mergeCell ref="O1333:P1333"/>
    <mergeCell ref="O1334:P1334"/>
    <mergeCell ref="O1335:P1335"/>
    <mergeCell ref="O1336:P1336"/>
    <mergeCell ref="O1337:P1337"/>
    <mergeCell ref="O1328:P1328"/>
    <mergeCell ref="O1329:P1329"/>
    <mergeCell ref="O1330:P1330"/>
    <mergeCell ref="O1331:P1331"/>
    <mergeCell ref="O1332:P1332"/>
    <mergeCell ref="O1323:P1323"/>
    <mergeCell ref="O1324:P1324"/>
    <mergeCell ref="O1325:P1325"/>
    <mergeCell ref="O1326:P1326"/>
    <mergeCell ref="O1327:P1327"/>
    <mergeCell ref="O1318:P1318"/>
    <mergeCell ref="O1319:P1319"/>
    <mergeCell ref="O1320:P1320"/>
    <mergeCell ref="O1321:P1321"/>
    <mergeCell ref="O1322:P1322"/>
    <mergeCell ref="O1313:P1313"/>
    <mergeCell ref="O1314:P1314"/>
    <mergeCell ref="O1315:P1315"/>
    <mergeCell ref="O1316:P1316"/>
    <mergeCell ref="O1317:P1317"/>
    <mergeCell ref="O1308:P1308"/>
    <mergeCell ref="O1309:P1309"/>
    <mergeCell ref="O1310:P1310"/>
    <mergeCell ref="O1311:P1311"/>
    <mergeCell ref="O1312:P1312"/>
    <mergeCell ref="O1303:P1303"/>
    <mergeCell ref="O1304:P1304"/>
    <mergeCell ref="O1305:P1305"/>
    <mergeCell ref="O1306:P1306"/>
    <mergeCell ref="O1307:P1307"/>
    <mergeCell ref="O1298:P1298"/>
    <mergeCell ref="O1299:P1299"/>
    <mergeCell ref="O1300:P1300"/>
    <mergeCell ref="O1301:P1301"/>
    <mergeCell ref="O1302:P1302"/>
    <mergeCell ref="O1293:P1293"/>
    <mergeCell ref="O1294:P1294"/>
    <mergeCell ref="O1295:P1295"/>
    <mergeCell ref="O1296:P1296"/>
    <mergeCell ref="O1297:P1297"/>
    <mergeCell ref="O1288:P1288"/>
    <mergeCell ref="O1289:P1289"/>
    <mergeCell ref="O1290:P1290"/>
    <mergeCell ref="O1291:P1291"/>
    <mergeCell ref="O1292:P1292"/>
    <mergeCell ref="O1283:P1283"/>
    <mergeCell ref="O1284:P1284"/>
    <mergeCell ref="O1285:P1285"/>
    <mergeCell ref="O1286:P1286"/>
    <mergeCell ref="O1287:P1287"/>
    <mergeCell ref="O1278:P1278"/>
    <mergeCell ref="O1279:P1279"/>
    <mergeCell ref="O1280:P1280"/>
    <mergeCell ref="O1281:P1281"/>
    <mergeCell ref="O1282:P1282"/>
    <mergeCell ref="O1273:P1273"/>
    <mergeCell ref="O1274:P1274"/>
    <mergeCell ref="O1275:P1275"/>
    <mergeCell ref="O1276:P1276"/>
    <mergeCell ref="O1277:P1277"/>
    <mergeCell ref="O1268:P1268"/>
    <mergeCell ref="O1269:P1269"/>
    <mergeCell ref="O1270:P1270"/>
    <mergeCell ref="O1271:P1271"/>
    <mergeCell ref="O1272:P1272"/>
    <mergeCell ref="O1263:P1263"/>
    <mergeCell ref="O1264:P1264"/>
    <mergeCell ref="O1265:P1265"/>
    <mergeCell ref="O1266:P1266"/>
    <mergeCell ref="O1267:P1267"/>
    <mergeCell ref="O1258:P1258"/>
    <mergeCell ref="O1259:P1259"/>
    <mergeCell ref="O1260:P1260"/>
    <mergeCell ref="O1261:P1261"/>
    <mergeCell ref="O1262:P1262"/>
    <mergeCell ref="O1253:P1253"/>
    <mergeCell ref="O1254:P1254"/>
    <mergeCell ref="O1255:P1255"/>
    <mergeCell ref="O1256:P1256"/>
    <mergeCell ref="O1257:P1257"/>
    <mergeCell ref="O1248:P1248"/>
    <mergeCell ref="O1249:P1249"/>
    <mergeCell ref="O1250:P1250"/>
    <mergeCell ref="O1251:P1251"/>
    <mergeCell ref="O1252:P1252"/>
    <mergeCell ref="O1243:P1243"/>
    <mergeCell ref="O1244:P1244"/>
    <mergeCell ref="O1245:P1245"/>
    <mergeCell ref="O1246:P1246"/>
    <mergeCell ref="O1247:P1247"/>
    <mergeCell ref="O1238:P1238"/>
    <mergeCell ref="O1239:P1239"/>
    <mergeCell ref="O1240:P1240"/>
    <mergeCell ref="O1241:P1241"/>
    <mergeCell ref="O1242:P1242"/>
    <mergeCell ref="O1233:P1233"/>
    <mergeCell ref="O1234:P1234"/>
    <mergeCell ref="O1235:P1235"/>
    <mergeCell ref="O1236:P1236"/>
    <mergeCell ref="O1237:P1237"/>
    <mergeCell ref="O1228:P1228"/>
    <mergeCell ref="O1229:P1229"/>
    <mergeCell ref="O1230:P1230"/>
    <mergeCell ref="O1231:P1231"/>
    <mergeCell ref="O1232:P1232"/>
    <mergeCell ref="O1223:P1223"/>
    <mergeCell ref="O1224:P1224"/>
    <mergeCell ref="O1225:P1225"/>
    <mergeCell ref="O1226:P1226"/>
    <mergeCell ref="O1227:P1227"/>
    <mergeCell ref="O1218:P1218"/>
    <mergeCell ref="O1219:P1219"/>
    <mergeCell ref="O1220:P1220"/>
    <mergeCell ref="O1221:P1221"/>
    <mergeCell ref="O1222:P1222"/>
    <mergeCell ref="O1213:P1213"/>
    <mergeCell ref="O1214:P1214"/>
    <mergeCell ref="O1215:P1215"/>
    <mergeCell ref="O1216:P1216"/>
    <mergeCell ref="O1217:P1217"/>
    <mergeCell ref="O1208:P1208"/>
    <mergeCell ref="O1209:P1209"/>
    <mergeCell ref="O1210:P1210"/>
    <mergeCell ref="O1211:P1211"/>
    <mergeCell ref="O1212:P1212"/>
    <mergeCell ref="O1203:P1203"/>
    <mergeCell ref="O1204:P1204"/>
    <mergeCell ref="O1205:P1205"/>
    <mergeCell ref="O1206:P1206"/>
    <mergeCell ref="O1207:P1207"/>
    <mergeCell ref="O1198:P1198"/>
    <mergeCell ref="O1199:P1199"/>
    <mergeCell ref="O1200:P1200"/>
    <mergeCell ref="O1201:P1201"/>
    <mergeCell ref="O1202:P1202"/>
    <mergeCell ref="O1193:P1193"/>
    <mergeCell ref="O1194:P1194"/>
    <mergeCell ref="O1195:P1195"/>
    <mergeCell ref="O1196:P1196"/>
    <mergeCell ref="O1197:P1197"/>
    <mergeCell ref="O1188:P1188"/>
    <mergeCell ref="O1189:P1189"/>
    <mergeCell ref="O1190:P1190"/>
    <mergeCell ref="O1191:P1191"/>
    <mergeCell ref="O1192:P1192"/>
    <mergeCell ref="O1183:P1183"/>
    <mergeCell ref="O1184:P1184"/>
    <mergeCell ref="O1185:P1185"/>
    <mergeCell ref="O1186:P1186"/>
    <mergeCell ref="O1187:P1187"/>
    <mergeCell ref="O1178:P1178"/>
    <mergeCell ref="O1179:P1179"/>
    <mergeCell ref="O1180:P1180"/>
    <mergeCell ref="O1181:P1181"/>
    <mergeCell ref="O1182:P1182"/>
    <mergeCell ref="O1173:P1173"/>
    <mergeCell ref="O1174:P1174"/>
    <mergeCell ref="O1175:P1175"/>
    <mergeCell ref="O1176:P1176"/>
    <mergeCell ref="O1177:P1177"/>
    <mergeCell ref="O1168:P1168"/>
    <mergeCell ref="O1169:P1169"/>
    <mergeCell ref="O1170:P1170"/>
    <mergeCell ref="O1171:P1171"/>
    <mergeCell ref="O1172:P1172"/>
    <mergeCell ref="O1163:P1163"/>
    <mergeCell ref="O1164:P1164"/>
    <mergeCell ref="O1165:P1165"/>
    <mergeCell ref="O1166:P1166"/>
    <mergeCell ref="O1167:P1167"/>
    <mergeCell ref="O1158:P1158"/>
    <mergeCell ref="O1159:P1159"/>
    <mergeCell ref="O1160:P1160"/>
    <mergeCell ref="O1161:P1161"/>
    <mergeCell ref="O1162:P1162"/>
    <mergeCell ref="O1153:P1153"/>
    <mergeCell ref="O1154:P1154"/>
    <mergeCell ref="O1155:P1155"/>
    <mergeCell ref="O1156:P1156"/>
    <mergeCell ref="O1157:P1157"/>
    <mergeCell ref="O1148:P1148"/>
    <mergeCell ref="O1149:P1149"/>
    <mergeCell ref="O1150:P1150"/>
    <mergeCell ref="O1151:P1151"/>
    <mergeCell ref="O1152:P1152"/>
    <mergeCell ref="O1143:P1143"/>
    <mergeCell ref="O1144:P1144"/>
    <mergeCell ref="O1145:P1145"/>
    <mergeCell ref="O1146:P1146"/>
    <mergeCell ref="O1147:P1147"/>
    <mergeCell ref="O1138:P1138"/>
    <mergeCell ref="O1139:P1139"/>
    <mergeCell ref="O1140:P1140"/>
    <mergeCell ref="O1141:P1141"/>
    <mergeCell ref="O1142:P1142"/>
    <mergeCell ref="O1133:P1133"/>
    <mergeCell ref="O1134:P1134"/>
    <mergeCell ref="O1135:P1135"/>
    <mergeCell ref="O1136:P1136"/>
    <mergeCell ref="O1137:P1137"/>
    <mergeCell ref="O1128:P1128"/>
    <mergeCell ref="O1129:P1129"/>
    <mergeCell ref="O1130:P1130"/>
    <mergeCell ref="O1131:P1131"/>
    <mergeCell ref="O1132:P1132"/>
    <mergeCell ref="O1123:P1123"/>
    <mergeCell ref="O1124:P1124"/>
    <mergeCell ref="O1125:P1125"/>
    <mergeCell ref="O1126:P1126"/>
    <mergeCell ref="O1127:P1127"/>
    <mergeCell ref="O1118:P1118"/>
    <mergeCell ref="O1119:P1119"/>
    <mergeCell ref="O1120:P1120"/>
    <mergeCell ref="O1121:P1121"/>
    <mergeCell ref="O1122:P1122"/>
    <mergeCell ref="O1113:P1113"/>
    <mergeCell ref="O1114:P1114"/>
    <mergeCell ref="O1115:P1115"/>
    <mergeCell ref="O1116:P1116"/>
    <mergeCell ref="O1117:P1117"/>
    <mergeCell ref="O1108:P1108"/>
    <mergeCell ref="O1109:P1109"/>
    <mergeCell ref="O1110:P1110"/>
    <mergeCell ref="O1111:P1111"/>
    <mergeCell ref="O1112:P1112"/>
    <mergeCell ref="O1103:P1103"/>
    <mergeCell ref="O1104:P1104"/>
    <mergeCell ref="O1105:P1105"/>
    <mergeCell ref="O1106:P1106"/>
    <mergeCell ref="O1107:P1107"/>
    <mergeCell ref="O1098:P1098"/>
    <mergeCell ref="O1099:P1099"/>
    <mergeCell ref="O1100:P1100"/>
    <mergeCell ref="O1101:P1101"/>
    <mergeCell ref="O1102:P1102"/>
    <mergeCell ref="O1093:P1093"/>
    <mergeCell ref="O1094:P1094"/>
    <mergeCell ref="O1095:P1095"/>
    <mergeCell ref="O1096:P1096"/>
    <mergeCell ref="O1097:P1097"/>
    <mergeCell ref="O1088:P1088"/>
    <mergeCell ref="O1089:P1089"/>
    <mergeCell ref="O1090:P1090"/>
    <mergeCell ref="O1091:P1091"/>
    <mergeCell ref="O1092:P1092"/>
    <mergeCell ref="O1083:P1083"/>
    <mergeCell ref="O1084:P1084"/>
    <mergeCell ref="O1085:P1085"/>
    <mergeCell ref="O1086:P1086"/>
    <mergeCell ref="O1087:P1087"/>
    <mergeCell ref="O1078:P1078"/>
    <mergeCell ref="O1079:P1079"/>
    <mergeCell ref="O1080:P1080"/>
    <mergeCell ref="O1081:P1081"/>
    <mergeCell ref="O1082:P1082"/>
    <mergeCell ref="O1073:P1073"/>
    <mergeCell ref="O1074:P1074"/>
    <mergeCell ref="O1075:P1075"/>
    <mergeCell ref="O1076:P1076"/>
    <mergeCell ref="O1077:P1077"/>
    <mergeCell ref="O1068:P1068"/>
    <mergeCell ref="O1069:P1069"/>
    <mergeCell ref="O1070:P1070"/>
    <mergeCell ref="O1071:P1071"/>
    <mergeCell ref="O1072:P1072"/>
    <mergeCell ref="O1063:P1063"/>
    <mergeCell ref="O1064:P1064"/>
    <mergeCell ref="O1065:P1065"/>
    <mergeCell ref="O1066:P1066"/>
    <mergeCell ref="O1067:P1067"/>
    <mergeCell ref="O1058:P1058"/>
    <mergeCell ref="O1059:P1059"/>
    <mergeCell ref="O1060:P1060"/>
    <mergeCell ref="O1061:P1061"/>
    <mergeCell ref="O1062:P1062"/>
    <mergeCell ref="O1053:P1053"/>
    <mergeCell ref="O1054:P1054"/>
    <mergeCell ref="O1055:P1055"/>
    <mergeCell ref="O1056:P1056"/>
    <mergeCell ref="O1057:P1057"/>
    <mergeCell ref="O1048:P1048"/>
    <mergeCell ref="O1049:P1049"/>
    <mergeCell ref="O1050:P1050"/>
    <mergeCell ref="O1051:P1051"/>
    <mergeCell ref="O1052:P1052"/>
    <mergeCell ref="O1043:P1043"/>
    <mergeCell ref="O1044:P1044"/>
    <mergeCell ref="O1045:P1045"/>
    <mergeCell ref="O1046:P1046"/>
    <mergeCell ref="O1047:P1047"/>
    <mergeCell ref="O1038:P1038"/>
    <mergeCell ref="O1039:P1039"/>
    <mergeCell ref="O1040:P1040"/>
    <mergeCell ref="O1041:P1041"/>
    <mergeCell ref="O1042:P1042"/>
    <mergeCell ref="O1033:P1033"/>
    <mergeCell ref="O1034:P1034"/>
    <mergeCell ref="O1035:P1035"/>
    <mergeCell ref="O1036:P1036"/>
    <mergeCell ref="O1037:P1037"/>
    <mergeCell ref="O1028:P1028"/>
    <mergeCell ref="O1029:P1029"/>
    <mergeCell ref="O1030:P1030"/>
    <mergeCell ref="O1031:P1031"/>
    <mergeCell ref="O1032:P1032"/>
    <mergeCell ref="O1023:P1023"/>
    <mergeCell ref="O1024:P1024"/>
    <mergeCell ref="O1025:P1025"/>
    <mergeCell ref="O1026:P1026"/>
    <mergeCell ref="O1027:P1027"/>
    <mergeCell ref="O1018:P1018"/>
    <mergeCell ref="O1019:P1019"/>
    <mergeCell ref="O1020:P1020"/>
    <mergeCell ref="O1021:P1021"/>
    <mergeCell ref="O1022:P1022"/>
    <mergeCell ref="O1013:P1013"/>
    <mergeCell ref="O1014:P1014"/>
    <mergeCell ref="O1015:P1015"/>
    <mergeCell ref="O1016:P1016"/>
    <mergeCell ref="O1017:P1017"/>
    <mergeCell ref="O1008:P1008"/>
    <mergeCell ref="O1009:P1009"/>
    <mergeCell ref="O1010:P1010"/>
    <mergeCell ref="O1011:P1011"/>
    <mergeCell ref="O1012:P1012"/>
    <mergeCell ref="O1003:P1003"/>
    <mergeCell ref="O1004:P1004"/>
    <mergeCell ref="O1005:P1005"/>
    <mergeCell ref="O1006:P1006"/>
    <mergeCell ref="O1007:P1007"/>
    <mergeCell ref="O998:P998"/>
    <mergeCell ref="O999:P999"/>
    <mergeCell ref="O1000:P1000"/>
    <mergeCell ref="O1001:P1001"/>
    <mergeCell ref="O1002:P1002"/>
    <mergeCell ref="O993:P993"/>
    <mergeCell ref="O994:P994"/>
    <mergeCell ref="O995:P995"/>
    <mergeCell ref="O996:P996"/>
    <mergeCell ref="O997:P997"/>
    <mergeCell ref="O988:P988"/>
    <mergeCell ref="O989:P989"/>
    <mergeCell ref="O990:P990"/>
    <mergeCell ref="O991:P991"/>
    <mergeCell ref="O992:P992"/>
    <mergeCell ref="O983:P983"/>
    <mergeCell ref="O984:P984"/>
    <mergeCell ref="O985:P985"/>
    <mergeCell ref="O986:P986"/>
    <mergeCell ref="O987:P987"/>
    <mergeCell ref="O978:P978"/>
    <mergeCell ref="O979:P979"/>
    <mergeCell ref="O980:P980"/>
    <mergeCell ref="O981:P981"/>
    <mergeCell ref="O982:P982"/>
    <mergeCell ref="O973:P973"/>
    <mergeCell ref="O974:P974"/>
    <mergeCell ref="O975:P975"/>
    <mergeCell ref="O976:P976"/>
    <mergeCell ref="O977:P977"/>
    <mergeCell ref="O968:P968"/>
    <mergeCell ref="O969:P969"/>
    <mergeCell ref="O970:P970"/>
    <mergeCell ref="O971:P971"/>
    <mergeCell ref="O972:P972"/>
    <mergeCell ref="O963:P963"/>
    <mergeCell ref="O964:P964"/>
    <mergeCell ref="O965:P965"/>
    <mergeCell ref="O966:P966"/>
    <mergeCell ref="O967:P967"/>
    <mergeCell ref="O958:P958"/>
    <mergeCell ref="O959:P959"/>
    <mergeCell ref="O960:P960"/>
    <mergeCell ref="O961:P961"/>
    <mergeCell ref="O962:P962"/>
    <mergeCell ref="O953:P953"/>
    <mergeCell ref="O954:P954"/>
    <mergeCell ref="O955:P955"/>
    <mergeCell ref="O956:P956"/>
    <mergeCell ref="O957:P957"/>
    <mergeCell ref="O948:P948"/>
    <mergeCell ref="O949:P949"/>
    <mergeCell ref="O950:P950"/>
    <mergeCell ref="O951:P951"/>
    <mergeCell ref="O952:P952"/>
    <mergeCell ref="O943:P943"/>
    <mergeCell ref="O944:P944"/>
    <mergeCell ref="O945:P945"/>
    <mergeCell ref="O946:P946"/>
    <mergeCell ref="O947:P947"/>
    <mergeCell ref="O938:P938"/>
    <mergeCell ref="O939:P939"/>
    <mergeCell ref="O940:P940"/>
    <mergeCell ref="O941:P941"/>
    <mergeCell ref="O942:P942"/>
    <mergeCell ref="O933:P933"/>
    <mergeCell ref="O934:P934"/>
    <mergeCell ref="O935:P935"/>
    <mergeCell ref="O936:P936"/>
    <mergeCell ref="O937:P937"/>
    <mergeCell ref="O928:P928"/>
    <mergeCell ref="O929:P929"/>
    <mergeCell ref="O930:P930"/>
    <mergeCell ref="O931:P931"/>
    <mergeCell ref="O932:P932"/>
    <mergeCell ref="O923:P923"/>
    <mergeCell ref="O924:P924"/>
    <mergeCell ref="O925:P925"/>
    <mergeCell ref="O926:P926"/>
    <mergeCell ref="O927:P927"/>
    <mergeCell ref="O918:P918"/>
    <mergeCell ref="O919:P919"/>
    <mergeCell ref="O920:P920"/>
    <mergeCell ref="O921:P921"/>
    <mergeCell ref="O922:P922"/>
    <mergeCell ref="O913:P913"/>
    <mergeCell ref="O914:P914"/>
    <mergeCell ref="O915:P915"/>
    <mergeCell ref="O916:P916"/>
    <mergeCell ref="O917:P917"/>
    <mergeCell ref="O908:P908"/>
    <mergeCell ref="O909:P909"/>
    <mergeCell ref="O910:P910"/>
    <mergeCell ref="O911:P911"/>
    <mergeCell ref="O912:P912"/>
    <mergeCell ref="O903:P903"/>
    <mergeCell ref="O904:P904"/>
    <mergeCell ref="O905:P905"/>
    <mergeCell ref="O906:P906"/>
    <mergeCell ref="O907:P907"/>
    <mergeCell ref="O898:P898"/>
    <mergeCell ref="O899:P899"/>
    <mergeCell ref="O900:P900"/>
    <mergeCell ref="O901:P901"/>
    <mergeCell ref="O902:P902"/>
    <mergeCell ref="O893:P893"/>
    <mergeCell ref="O894:P894"/>
    <mergeCell ref="O895:P895"/>
    <mergeCell ref="O896:P896"/>
    <mergeCell ref="O897:P897"/>
    <mergeCell ref="O888:P888"/>
    <mergeCell ref="O889:P889"/>
    <mergeCell ref="O890:P890"/>
    <mergeCell ref="O891:P891"/>
    <mergeCell ref="O892:P892"/>
    <mergeCell ref="O883:P883"/>
    <mergeCell ref="O884:P884"/>
    <mergeCell ref="O885:P885"/>
    <mergeCell ref="O886:P886"/>
    <mergeCell ref="O887:P887"/>
    <mergeCell ref="O878:P878"/>
    <mergeCell ref="O879:P879"/>
    <mergeCell ref="O880:P880"/>
    <mergeCell ref="O881:P881"/>
    <mergeCell ref="O882:P882"/>
    <mergeCell ref="O873:P873"/>
    <mergeCell ref="O874:P874"/>
    <mergeCell ref="O875:P875"/>
    <mergeCell ref="O876:P876"/>
    <mergeCell ref="O877:P877"/>
    <mergeCell ref="O868:P868"/>
    <mergeCell ref="O869:P869"/>
    <mergeCell ref="O870:P870"/>
    <mergeCell ref="O871:P871"/>
    <mergeCell ref="O872:P872"/>
    <mergeCell ref="O863:P863"/>
    <mergeCell ref="O864:P864"/>
    <mergeCell ref="O865:P865"/>
    <mergeCell ref="O866:P866"/>
    <mergeCell ref="O867:P867"/>
    <mergeCell ref="O858:P858"/>
    <mergeCell ref="O859:P859"/>
    <mergeCell ref="O860:P860"/>
    <mergeCell ref="O861:P861"/>
    <mergeCell ref="O862:P862"/>
    <mergeCell ref="O853:P853"/>
    <mergeCell ref="O854:P854"/>
    <mergeCell ref="O855:P855"/>
    <mergeCell ref="O856:P856"/>
    <mergeCell ref="O857:P857"/>
    <mergeCell ref="O848:P848"/>
    <mergeCell ref="O849:P849"/>
    <mergeCell ref="O850:P850"/>
    <mergeCell ref="O851:P851"/>
    <mergeCell ref="O852:P852"/>
    <mergeCell ref="O843:P843"/>
    <mergeCell ref="O844:P844"/>
    <mergeCell ref="O845:P845"/>
    <mergeCell ref="O846:P846"/>
    <mergeCell ref="O847:P847"/>
    <mergeCell ref="O838:P838"/>
    <mergeCell ref="O839:P839"/>
    <mergeCell ref="O840:P840"/>
    <mergeCell ref="O841:P841"/>
    <mergeCell ref="O842:P842"/>
    <mergeCell ref="O833:P833"/>
    <mergeCell ref="O834:P834"/>
    <mergeCell ref="O835:P835"/>
    <mergeCell ref="O836:P836"/>
    <mergeCell ref="O837:P837"/>
    <mergeCell ref="O828:P828"/>
    <mergeCell ref="O829:P829"/>
    <mergeCell ref="O830:P830"/>
    <mergeCell ref="O831:P831"/>
    <mergeCell ref="O832:P832"/>
    <mergeCell ref="O823:P823"/>
    <mergeCell ref="O824:P824"/>
    <mergeCell ref="O825:P825"/>
    <mergeCell ref="O826:P826"/>
    <mergeCell ref="O827:P827"/>
    <mergeCell ref="O818:P818"/>
    <mergeCell ref="O819:P819"/>
    <mergeCell ref="O820:P820"/>
    <mergeCell ref="O821:P821"/>
    <mergeCell ref="O822:P822"/>
    <mergeCell ref="O813:P813"/>
    <mergeCell ref="O814:P814"/>
    <mergeCell ref="O815:P815"/>
    <mergeCell ref="O816:P816"/>
    <mergeCell ref="O817:P817"/>
    <mergeCell ref="O808:P808"/>
    <mergeCell ref="O809:P809"/>
    <mergeCell ref="O810:P810"/>
    <mergeCell ref="O811:P811"/>
    <mergeCell ref="O812:P812"/>
    <mergeCell ref="O803:P803"/>
    <mergeCell ref="O804:P804"/>
    <mergeCell ref="O805:P805"/>
    <mergeCell ref="O806:P806"/>
    <mergeCell ref="O807:P807"/>
    <mergeCell ref="O798:P798"/>
    <mergeCell ref="O799:P799"/>
    <mergeCell ref="O800:P800"/>
    <mergeCell ref="O801:P801"/>
    <mergeCell ref="O802:P802"/>
    <mergeCell ref="O793:P793"/>
    <mergeCell ref="O794:P794"/>
    <mergeCell ref="O795:P795"/>
    <mergeCell ref="O796:P796"/>
    <mergeCell ref="O797:P797"/>
    <mergeCell ref="O788:P788"/>
    <mergeCell ref="O789:P789"/>
    <mergeCell ref="O790:P790"/>
    <mergeCell ref="O791:P791"/>
    <mergeCell ref="O792:P792"/>
    <mergeCell ref="O783:P783"/>
    <mergeCell ref="O784:P784"/>
    <mergeCell ref="O785:P785"/>
    <mergeCell ref="O786:P786"/>
    <mergeCell ref="O787:P787"/>
    <mergeCell ref="O778:P778"/>
    <mergeCell ref="O779:P779"/>
    <mergeCell ref="O780:P780"/>
    <mergeCell ref="O781:P781"/>
    <mergeCell ref="O782:P782"/>
    <mergeCell ref="O773:P773"/>
    <mergeCell ref="O774:P774"/>
    <mergeCell ref="O775:P775"/>
    <mergeCell ref="O776:P776"/>
    <mergeCell ref="O777:P777"/>
    <mergeCell ref="O768:P768"/>
    <mergeCell ref="O769:P769"/>
    <mergeCell ref="O770:P770"/>
    <mergeCell ref="O771:P771"/>
    <mergeCell ref="O772:P772"/>
    <mergeCell ref="O763:P763"/>
    <mergeCell ref="O764:P764"/>
    <mergeCell ref="O765:P765"/>
    <mergeCell ref="O766:P766"/>
    <mergeCell ref="O767:P767"/>
    <mergeCell ref="O758:P758"/>
    <mergeCell ref="O759:P759"/>
    <mergeCell ref="O760:P760"/>
    <mergeCell ref="O761:P761"/>
    <mergeCell ref="O762:P762"/>
    <mergeCell ref="O753:P753"/>
    <mergeCell ref="O754:P754"/>
    <mergeCell ref="O755:P755"/>
    <mergeCell ref="O756:P756"/>
    <mergeCell ref="O757:P757"/>
    <mergeCell ref="O748:P748"/>
    <mergeCell ref="O749:P749"/>
    <mergeCell ref="O750:P750"/>
    <mergeCell ref="O751:P751"/>
    <mergeCell ref="O752:P752"/>
    <mergeCell ref="O743:P743"/>
    <mergeCell ref="O744:P744"/>
    <mergeCell ref="O745:P745"/>
    <mergeCell ref="O746:P746"/>
    <mergeCell ref="O747:P747"/>
    <mergeCell ref="O738:P738"/>
    <mergeCell ref="O739:P739"/>
    <mergeCell ref="O740:P740"/>
    <mergeCell ref="O741:P741"/>
    <mergeCell ref="O742:P742"/>
    <mergeCell ref="O733:P733"/>
    <mergeCell ref="O734:P734"/>
    <mergeCell ref="O735:P735"/>
    <mergeCell ref="O736:P736"/>
    <mergeCell ref="O737:P737"/>
    <mergeCell ref="O728:P728"/>
    <mergeCell ref="O729:P729"/>
    <mergeCell ref="O730:P730"/>
    <mergeCell ref="O731:P731"/>
    <mergeCell ref="O732:P732"/>
    <mergeCell ref="O723:P723"/>
    <mergeCell ref="O724:P724"/>
    <mergeCell ref="O725:P725"/>
    <mergeCell ref="O726:P726"/>
    <mergeCell ref="O727:P727"/>
    <mergeCell ref="O718:P718"/>
    <mergeCell ref="O719:P719"/>
    <mergeCell ref="O720:P720"/>
    <mergeCell ref="O721:P721"/>
    <mergeCell ref="O722:P722"/>
    <mergeCell ref="O713:P713"/>
    <mergeCell ref="O714:P714"/>
    <mergeCell ref="O715:P715"/>
    <mergeCell ref="O716:P716"/>
    <mergeCell ref="O717:P717"/>
    <mergeCell ref="O708:P708"/>
    <mergeCell ref="O709:P709"/>
    <mergeCell ref="O710:P710"/>
    <mergeCell ref="O711:P711"/>
    <mergeCell ref="O712:P712"/>
    <mergeCell ref="O703:P703"/>
    <mergeCell ref="O704:P704"/>
    <mergeCell ref="O705:P705"/>
    <mergeCell ref="O706:P706"/>
    <mergeCell ref="O707:P707"/>
    <mergeCell ref="O698:P698"/>
    <mergeCell ref="O699:P699"/>
    <mergeCell ref="O700:P700"/>
    <mergeCell ref="O701:P701"/>
    <mergeCell ref="O702:P702"/>
    <mergeCell ref="O693:P693"/>
    <mergeCell ref="O694:P694"/>
    <mergeCell ref="O695:P695"/>
    <mergeCell ref="O696:P696"/>
    <mergeCell ref="O697:P697"/>
    <mergeCell ref="O688:P688"/>
    <mergeCell ref="O689:P689"/>
    <mergeCell ref="O690:P690"/>
    <mergeCell ref="O691:P691"/>
    <mergeCell ref="O692:P692"/>
    <mergeCell ref="O683:P683"/>
    <mergeCell ref="O684:P684"/>
    <mergeCell ref="O685:P685"/>
    <mergeCell ref="O686:P686"/>
    <mergeCell ref="O687:P687"/>
    <mergeCell ref="O678:P678"/>
    <mergeCell ref="O679:P679"/>
    <mergeCell ref="O680:P680"/>
    <mergeCell ref="O681:P681"/>
    <mergeCell ref="O682:P682"/>
    <mergeCell ref="O673:P673"/>
    <mergeCell ref="O674:P674"/>
    <mergeCell ref="O675:P675"/>
    <mergeCell ref="O676:P676"/>
    <mergeCell ref="O677:P677"/>
    <mergeCell ref="O668:P668"/>
    <mergeCell ref="O669:P669"/>
    <mergeCell ref="O670:P670"/>
    <mergeCell ref="O671:P671"/>
    <mergeCell ref="O672:P672"/>
    <mergeCell ref="O663:P663"/>
    <mergeCell ref="O664:P664"/>
    <mergeCell ref="O665:P665"/>
    <mergeCell ref="O666:P666"/>
    <mergeCell ref="O667:P667"/>
    <mergeCell ref="O658:P658"/>
    <mergeCell ref="O659:P659"/>
    <mergeCell ref="O660:P660"/>
    <mergeCell ref="O661:P661"/>
    <mergeCell ref="O662:P662"/>
    <mergeCell ref="O653:P653"/>
    <mergeCell ref="O654:P654"/>
    <mergeCell ref="O655:P655"/>
    <mergeCell ref="O656:P656"/>
    <mergeCell ref="O657:P657"/>
    <mergeCell ref="O648:P648"/>
    <mergeCell ref="O649:P649"/>
    <mergeCell ref="O650:P650"/>
    <mergeCell ref="O651:P651"/>
    <mergeCell ref="O652:P652"/>
    <mergeCell ref="O643:P643"/>
    <mergeCell ref="O644:P644"/>
    <mergeCell ref="O645:P645"/>
    <mergeCell ref="O646:P646"/>
    <mergeCell ref="O647:P647"/>
    <mergeCell ref="O638:P638"/>
    <mergeCell ref="O639:P639"/>
    <mergeCell ref="O640:P640"/>
    <mergeCell ref="O641:P641"/>
    <mergeCell ref="O642:P642"/>
    <mergeCell ref="O633:P633"/>
    <mergeCell ref="O634:P634"/>
    <mergeCell ref="O635:P635"/>
    <mergeCell ref="O636:P636"/>
    <mergeCell ref="O637:P637"/>
    <mergeCell ref="O628:P628"/>
    <mergeCell ref="O629:P629"/>
    <mergeCell ref="O630:P630"/>
    <mergeCell ref="O631:P631"/>
    <mergeCell ref="O632:P632"/>
    <mergeCell ref="O623:P623"/>
    <mergeCell ref="O624:P624"/>
    <mergeCell ref="O625:P625"/>
    <mergeCell ref="O626:P626"/>
    <mergeCell ref="O627:P627"/>
    <mergeCell ref="O618:P618"/>
    <mergeCell ref="O619:P619"/>
    <mergeCell ref="O620:P620"/>
    <mergeCell ref="O621:P621"/>
    <mergeCell ref="O622:P622"/>
    <mergeCell ref="O613:P613"/>
    <mergeCell ref="O614:P614"/>
    <mergeCell ref="O615:P615"/>
    <mergeCell ref="O616:P616"/>
    <mergeCell ref="O617:P617"/>
    <mergeCell ref="O608:P608"/>
    <mergeCell ref="O609:P609"/>
    <mergeCell ref="O610:P610"/>
    <mergeCell ref="O611:P611"/>
    <mergeCell ref="O612:P612"/>
    <mergeCell ref="O603:P603"/>
    <mergeCell ref="O604:P604"/>
    <mergeCell ref="O605:P605"/>
    <mergeCell ref="O606:P606"/>
    <mergeCell ref="O607:P607"/>
    <mergeCell ref="O598:P598"/>
    <mergeCell ref="O599:P599"/>
    <mergeCell ref="O600:P600"/>
    <mergeCell ref="O601:P601"/>
    <mergeCell ref="O602:P602"/>
    <mergeCell ref="O593:P593"/>
    <mergeCell ref="O594:P594"/>
    <mergeCell ref="O595:P595"/>
    <mergeCell ref="O596:P596"/>
    <mergeCell ref="O597:P597"/>
    <mergeCell ref="O588:P588"/>
    <mergeCell ref="O589:P589"/>
    <mergeCell ref="O590:P590"/>
    <mergeCell ref="O591:P591"/>
    <mergeCell ref="O592:P592"/>
    <mergeCell ref="O583:P583"/>
    <mergeCell ref="O584:P584"/>
    <mergeCell ref="O585:P585"/>
    <mergeCell ref="O586:P586"/>
    <mergeCell ref="O587:P587"/>
    <mergeCell ref="O578:P578"/>
    <mergeCell ref="O579:P579"/>
    <mergeCell ref="O580:P580"/>
    <mergeCell ref="O581:P581"/>
    <mergeCell ref="O582:P582"/>
    <mergeCell ref="O573:P573"/>
    <mergeCell ref="O574:P574"/>
    <mergeCell ref="O575:P575"/>
    <mergeCell ref="O576:P576"/>
    <mergeCell ref="O577:P577"/>
    <mergeCell ref="O568:P568"/>
    <mergeCell ref="O569:P569"/>
    <mergeCell ref="O570:P570"/>
    <mergeCell ref="O571:P571"/>
    <mergeCell ref="O572:P572"/>
    <mergeCell ref="O563:P563"/>
    <mergeCell ref="O564:P564"/>
    <mergeCell ref="O565:P565"/>
    <mergeCell ref="O566:P566"/>
    <mergeCell ref="O567:P567"/>
    <mergeCell ref="O558:P558"/>
    <mergeCell ref="O559:P559"/>
    <mergeCell ref="O560:P560"/>
    <mergeCell ref="O561:P561"/>
    <mergeCell ref="O562:P562"/>
    <mergeCell ref="O553:P553"/>
    <mergeCell ref="O554:P554"/>
    <mergeCell ref="O555:P555"/>
    <mergeCell ref="O556:P556"/>
    <mergeCell ref="O557:P557"/>
    <mergeCell ref="O548:P548"/>
    <mergeCell ref="O549:P549"/>
    <mergeCell ref="O550:P550"/>
    <mergeCell ref="O551:P551"/>
    <mergeCell ref="O552:P552"/>
    <mergeCell ref="O543:P543"/>
    <mergeCell ref="O544:P544"/>
    <mergeCell ref="O545:P545"/>
    <mergeCell ref="O546:P546"/>
    <mergeCell ref="O547:P547"/>
    <mergeCell ref="O538:P538"/>
    <mergeCell ref="O539:P539"/>
    <mergeCell ref="O540:P540"/>
    <mergeCell ref="O541:P541"/>
    <mergeCell ref="O542:P542"/>
    <mergeCell ref="O533:P533"/>
    <mergeCell ref="O534:P534"/>
    <mergeCell ref="O535:P535"/>
    <mergeCell ref="O536:P536"/>
    <mergeCell ref="O537:P537"/>
    <mergeCell ref="O528:P528"/>
    <mergeCell ref="O529:P529"/>
    <mergeCell ref="O530:P530"/>
    <mergeCell ref="O531:P531"/>
    <mergeCell ref="O532:P532"/>
    <mergeCell ref="O523:P523"/>
    <mergeCell ref="O524:P524"/>
    <mergeCell ref="O525:P525"/>
    <mergeCell ref="O526:P526"/>
    <mergeCell ref="O527:P527"/>
    <mergeCell ref="O518:P518"/>
    <mergeCell ref="O519:P519"/>
    <mergeCell ref="O520:P520"/>
    <mergeCell ref="O521:P521"/>
    <mergeCell ref="O522:P522"/>
    <mergeCell ref="O513:P513"/>
    <mergeCell ref="O514:P514"/>
    <mergeCell ref="O515:P515"/>
    <mergeCell ref="O516:P516"/>
    <mergeCell ref="O517:P517"/>
    <mergeCell ref="O508:P508"/>
    <mergeCell ref="O509:P509"/>
    <mergeCell ref="O510:P510"/>
    <mergeCell ref="O511:P511"/>
    <mergeCell ref="O512:P512"/>
    <mergeCell ref="O503:P503"/>
    <mergeCell ref="O504:P504"/>
    <mergeCell ref="O505:P505"/>
    <mergeCell ref="O506:P506"/>
    <mergeCell ref="O507:P507"/>
    <mergeCell ref="O498:P498"/>
    <mergeCell ref="O499:P499"/>
    <mergeCell ref="O500:P500"/>
    <mergeCell ref="O501:P501"/>
    <mergeCell ref="O502:P502"/>
    <mergeCell ref="O493:P493"/>
    <mergeCell ref="O494:P494"/>
    <mergeCell ref="O495:P495"/>
    <mergeCell ref="O496:P496"/>
    <mergeCell ref="O497:P497"/>
    <mergeCell ref="O488:P488"/>
    <mergeCell ref="O489:P489"/>
    <mergeCell ref="O490:P490"/>
    <mergeCell ref="O491:P491"/>
    <mergeCell ref="O492:P492"/>
    <mergeCell ref="O483:P483"/>
    <mergeCell ref="O484:P484"/>
    <mergeCell ref="O485:P485"/>
    <mergeCell ref="O486:P486"/>
    <mergeCell ref="O487:P487"/>
    <mergeCell ref="O478:P478"/>
    <mergeCell ref="O479:P479"/>
    <mergeCell ref="O480:P480"/>
    <mergeCell ref="O481:P481"/>
    <mergeCell ref="O482:P482"/>
    <mergeCell ref="O473:P473"/>
    <mergeCell ref="O474:P474"/>
    <mergeCell ref="O475:P475"/>
    <mergeCell ref="O476:P476"/>
    <mergeCell ref="O477:P477"/>
    <mergeCell ref="O468:P468"/>
    <mergeCell ref="O469:P469"/>
    <mergeCell ref="O470:P470"/>
    <mergeCell ref="O471:P471"/>
    <mergeCell ref="O472:P472"/>
    <mergeCell ref="O463:P463"/>
    <mergeCell ref="O464:P464"/>
    <mergeCell ref="O465:P465"/>
    <mergeCell ref="O466:P466"/>
    <mergeCell ref="O467:P467"/>
    <mergeCell ref="O458:P458"/>
    <mergeCell ref="O459:P459"/>
    <mergeCell ref="O460:P460"/>
    <mergeCell ref="O461:P461"/>
    <mergeCell ref="O462:P462"/>
    <mergeCell ref="O453:P453"/>
    <mergeCell ref="O454:P454"/>
    <mergeCell ref="O455:P455"/>
    <mergeCell ref="O456:P456"/>
    <mergeCell ref="O457:P457"/>
    <mergeCell ref="O448:P448"/>
    <mergeCell ref="O449:P449"/>
    <mergeCell ref="O450:P450"/>
    <mergeCell ref="O451:P451"/>
    <mergeCell ref="O452:P452"/>
    <mergeCell ref="O443:P443"/>
    <mergeCell ref="O444:P444"/>
    <mergeCell ref="O445:P445"/>
    <mergeCell ref="O446:P446"/>
    <mergeCell ref="O447:P447"/>
    <mergeCell ref="O438:P438"/>
    <mergeCell ref="O439:P439"/>
    <mergeCell ref="O440:P440"/>
    <mergeCell ref="O441:P441"/>
    <mergeCell ref="O442:P442"/>
    <mergeCell ref="O433:P433"/>
    <mergeCell ref="O434:P434"/>
    <mergeCell ref="O435:P435"/>
    <mergeCell ref="O436:P436"/>
    <mergeCell ref="O437:P437"/>
    <mergeCell ref="O428:P428"/>
    <mergeCell ref="O429:P429"/>
    <mergeCell ref="O430:P430"/>
    <mergeCell ref="O431:P431"/>
    <mergeCell ref="O432:P432"/>
    <mergeCell ref="O423:P423"/>
    <mergeCell ref="O424:P424"/>
    <mergeCell ref="O425:P425"/>
    <mergeCell ref="O426:P426"/>
    <mergeCell ref="O427:P427"/>
    <mergeCell ref="O418:P418"/>
    <mergeCell ref="O419:P419"/>
    <mergeCell ref="O420:P420"/>
    <mergeCell ref="O421:P421"/>
    <mergeCell ref="O422:P422"/>
    <mergeCell ref="O413:P413"/>
    <mergeCell ref="O414:P414"/>
    <mergeCell ref="O415:P415"/>
    <mergeCell ref="O416:P416"/>
    <mergeCell ref="O417:P417"/>
    <mergeCell ref="O408:P408"/>
    <mergeCell ref="O409:P409"/>
    <mergeCell ref="O410:P410"/>
    <mergeCell ref="O411:P411"/>
    <mergeCell ref="O412:P412"/>
    <mergeCell ref="O403:P403"/>
    <mergeCell ref="O404:P404"/>
    <mergeCell ref="O405:P405"/>
    <mergeCell ref="O406:P406"/>
    <mergeCell ref="O407:P407"/>
    <mergeCell ref="O398:P398"/>
    <mergeCell ref="O399:P399"/>
    <mergeCell ref="O400:P400"/>
    <mergeCell ref="O401:P401"/>
    <mergeCell ref="O402:P402"/>
    <mergeCell ref="O393:P393"/>
    <mergeCell ref="O394:P394"/>
    <mergeCell ref="O395:P395"/>
    <mergeCell ref="O396:P396"/>
    <mergeCell ref="O397:P397"/>
    <mergeCell ref="O388:P388"/>
    <mergeCell ref="O389:P389"/>
    <mergeCell ref="O390:P390"/>
    <mergeCell ref="O391:P391"/>
    <mergeCell ref="O392:P392"/>
    <mergeCell ref="O383:P383"/>
    <mergeCell ref="O384:P384"/>
    <mergeCell ref="O385:P385"/>
    <mergeCell ref="O386:P386"/>
    <mergeCell ref="O387:P387"/>
    <mergeCell ref="O378:P378"/>
    <mergeCell ref="O379:P379"/>
    <mergeCell ref="O380:P380"/>
    <mergeCell ref="O381:P381"/>
    <mergeCell ref="O382:P382"/>
    <mergeCell ref="O373:P373"/>
    <mergeCell ref="O374:P374"/>
    <mergeCell ref="O375:P375"/>
    <mergeCell ref="O376:P376"/>
    <mergeCell ref="O377:P377"/>
    <mergeCell ref="O368:P368"/>
    <mergeCell ref="O369:P369"/>
    <mergeCell ref="O370:P370"/>
    <mergeCell ref="O371:P371"/>
    <mergeCell ref="O372:P372"/>
    <mergeCell ref="O363:P363"/>
    <mergeCell ref="O364:P364"/>
    <mergeCell ref="O365:P365"/>
    <mergeCell ref="O366:P366"/>
    <mergeCell ref="O367:P367"/>
    <mergeCell ref="O358:P358"/>
    <mergeCell ref="O359:P359"/>
    <mergeCell ref="O360:P360"/>
    <mergeCell ref="O361:P361"/>
    <mergeCell ref="O362:P362"/>
    <mergeCell ref="O353:P353"/>
    <mergeCell ref="O354:P354"/>
    <mergeCell ref="O355:P355"/>
    <mergeCell ref="O356:P356"/>
    <mergeCell ref="O357:P357"/>
    <mergeCell ref="O348:P348"/>
    <mergeCell ref="O349:P349"/>
    <mergeCell ref="O350:P350"/>
    <mergeCell ref="O351:P351"/>
    <mergeCell ref="O352:P352"/>
    <mergeCell ref="O343:P343"/>
    <mergeCell ref="O344:P344"/>
    <mergeCell ref="O345:P345"/>
    <mergeCell ref="O346:P346"/>
    <mergeCell ref="O347:P347"/>
    <mergeCell ref="O338:P338"/>
    <mergeCell ref="O339:P339"/>
    <mergeCell ref="O340:P340"/>
    <mergeCell ref="O341:P341"/>
    <mergeCell ref="O342:P342"/>
    <mergeCell ref="O333:P333"/>
    <mergeCell ref="O334:P334"/>
    <mergeCell ref="O335:P335"/>
    <mergeCell ref="O336:P336"/>
    <mergeCell ref="O337:P337"/>
    <mergeCell ref="O328:P328"/>
    <mergeCell ref="O329:P329"/>
    <mergeCell ref="O330:P330"/>
    <mergeCell ref="O331:P331"/>
    <mergeCell ref="O332:P332"/>
    <mergeCell ref="O323:P323"/>
    <mergeCell ref="O324:P324"/>
    <mergeCell ref="O325:P325"/>
    <mergeCell ref="O326:P326"/>
    <mergeCell ref="O327:P327"/>
    <mergeCell ref="O318:P318"/>
    <mergeCell ref="O319:P319"/>
    <mergeCell ref="O320:P320"/>
    <mergeCell ref="O321:P321"/>
    <mergeCell ref="O322:P322"/>
    <mergeCell ref="O313:P313"/>
    <mergeCell ref="O314:P314"/>
    <mergeCell ref="O315:P315"/>
    <mergeCell ref="O316:P316"/>
    <mergeCell ref="O317:P317"/>
    <mergeCell ref="O308:P308"/>
    <mergeCell ref="O309:P309"/>
    <mergeCell ref="O310:P310"/>
    <mergeCell ref="O311:P311"/>
    <mergeCell ref="O312:P312"/>
    <mergeCell ref="O303:P303"/>
    <mergeCell ref="O304:P304"/>
    <mergeCell ref="O305:P305"/>
    <mergeCell ref="O306:P306"/>
    <mergeCell ref="O307:P307"/>
    <mergeCell ref="O298:P298"/>
    <mergeCell ref="O299:P299"/>
    <mergeCell ref="O300:P300"/>
    <mergeCell ref="O301:P301"/>
    <mergeCell ref="O302:P302"/>
    <mergeCell ref="O293:P293"/>
    <mergeCell ref="O294:P294"/>
    <mergeCell ref="O295:P295"/>
    <mergeCell ref="O296:P296"/>
    <mergeCell ref="O297:P297"/>
    <mergeCell ref="O288:P288"/>
    <mergeCell ref="O289:P289"/>
    <mergeCell ref="O290:P290"/>
    <mergeCell ref="O291:P291"/>
    <mergeCell ref="O292:P292"/>
    <mergeCell ref="O283:P283"/>
    <mergeCell ref="O284:P284"/>
    <mergeCell ref="O285:P285"/>
    <mergeCell ref="O286:P286"/>
    <mergeCell ref="O287:P287"/>
    <mergeCell ref="O278:P278"/>
    <mergeCell ref="O279:P279"/>
    <mergeCell ref="O280:P280"/>
    <mergeCell ref="O281:P281"/>
    <mergeCell ref="O282:P282"/>
    <mergeCell ref="O273:P273"/>
    <mergeCell ref="O274:P274"/>
    <mergeCell ref="O275:P275"/>
    <mergeCell ref="O276:P276"/>
    <mergeCell ref="O277:P277"/>
    <mergeCell ref="O268:P268"/>
    <mergeCell ref="O269:P269"/>
    <mergeCell ref="O270:P270"/>
    <mergeCell ref="O271:P271"/>
    <mergeCell ref="O272:P272"/>
    <mergeCell ref="O263:P263"/>
    <mergeCell ref="O264:P264"/>
    <mergeCell ref="O265:P265"/>
    <mergeCell ref="O266:P266"/>
    <mergeCell ref="O267:P267"/>
    <mergeCell ref="O258:P258"/>
    <mergeCell ref="O259:P259"/>
    <mergeCell ref="O260:P260"/>
    <mergeCell ref="O261:P261"/>
    <mergeCell ref="O262:P262"/>
    <mergeCell ref="O253:P253"/>
    <mergeCell ref="O254:P254"/>
    <mergeCell ref="O255:P255"/>
    <mergeCell ref="O256:P256"/>
    <mergeCell ref="O257:P257"/>
    <mergeCell ref="O248:P248"/>
    <mergeCell ref="O249:P249"/>
    <mergeCell ref="O250:P250"/>
    <mergeCell ref="O251:P251"/>
    <mergeCell ref="O252:P252"/>
    <mergeCell ref="O243:P243"/>
    <mergeCell ref="O244:P244"/>
    <mergeCell ref="O245:P245"/>
    <mergeCell ref="O246:P246"/>
    <mergeCell ref="O247:P247"/>
    <mergeCell ref="O238:P238"/>
    <mergeCell ref="O239:P239"/>
    <mergeCell ref="O240:P240"/>
    <mergeCell ref="O241:P241"/>
    <mergeCell ref="O242:P242"/>
    <mergeCell ref="O233:P233"/>
    <mergeCell ref="O234:P234"/>
    <mergeCell ref="O235:P235"/>
    <mergeCell ref="O236:P236"/>
    <mergeCell ref="O237:P237"/>
    <mergeCell ref="O228:P228"/>
    <mergeCell ref="O229:P229"/>
    <mergeCell ref="O230:P230"/>
    <mergeCell ref="O231:P231"/>
    <mergeCell ref="O232:P232"/>
    <mergeCell ref="O223:P223"/>
    <mergeCell ref="O224:P224"/>
    <mergeCell ref="O225:P225"/>
    <mergeCell ref="O226:P226"/>
    <mergeCell ref="O227:P227"/>
    <mergeCell ref="O218:P218"/>
    <mergeCell ref="O219:P219"/>
    <mergeCell ref="O220:P220"/>
    <mergeCell ref="O221:P221"/>
    <mergeCell ref="O222:P222"/>
    <mergeCell ref="O213:P213"/>
    <mergeCell ref="O214:P214"/>
    <mergeCell ref="O215:P215"/>
    <mergeCell ref="O216:P216"/>
    <mergeCell ref="O217:P217"/>
    <mergeCell ref="O208:P208"/>
    <mergeCell ref="O209:P209"/>
    <mergeCell ref="O210:P210"/>
    <mergeCell ref="O211:P211"/>
    <mergeCell ref="O212:P212"/>
    <mergeCell ref="O203:P203"/>
    <mergeCell ref="O204:P204"/>
    <mergeCell ref="O205:P205"/>
    <mergeCell ref="O206:P206"/>
    <mergeCell ref="O207:P207"/>
    <mergeCell ref="O198:P198"/>
    <mergeCell ref="O199:P199"/>
    <mergeCell ref="O200:P200"/>
    <mergeCell ref="O201:P201"/>
    <mergeCell ref="O202:P202"/>
    <mergeCell ref="O193:P193"/>
    <mergeCell ref="O194:P194"/>
    <mergeCell ref="O195:P195"/>
    <mergeCell ref="O196:P196"/>
    <mergeCell ref="O197:P197"/>
    <mergeCell ref="O188:P188"/>
    <mergeCell ref="O189:P189"/>
    <mergeCell ref="O190:P190"/>
    <mergeCell ref="O191:P191"/>
    <mergeCell ref="O192:P192"/>
    <mergeCell ref="O183:P183"/>
    <mergeCell ref="O184:P184"/>
    <mergeCell ref="O185:P185"/>
    <mergeCell ref="O186:P186"/>
    <mergeCell ref="O187:P187"/>
    <mergeCell ref="O178:P178"/>
    <mergeCell ref="O179:P179"/>
    <mergeCell ref="O180:P180"/>
    <mergeCell ref="O181:P181"/>
    <mergeCell ref="O182:P182"/>
    <mergeCell ref="O173:P173"/>
    <mergeCell ref="O174:P174"/>
    <mergeCell ref="O175:P175"/>
    <mergeCell ref="O176:P176"/>
    <mergeCell ref="O177:P177"/>
    <mergeCell ref="O168:P168"/>
    <mergeCell ref="O169:P169"/>
    <mergeCell ref="O170:P170"/>
    <mergeCell ref="O171:P171"/>
    <mergeCell ref="O172:P172"/>
    <mergeCell ref="O163:P163"/>
    <mergeCell ref="O164:P164"/>
    <mergeCell ref="O165:P165"/>
    <mergeCell ref="O166:P166"/>
    <mergeCell ref="O167:P167"/>
    <mergeCell ref="O158:P158"/>
    <mergeCell ref="O159:P159"/>
    <mergeCell ref="O160:P160"/>
    <mergeCell ref="O161:P161"/>
    <mergeCell ref="O162:P162"/>
    <mergeCell ref="O153:P153"/>
    <mergeCell ref="O154:P154"/>
    <mergeCell ref="O155:P155"/>
    <mergeCell ref="O156:P156"/>
    <mergeCell ref="O157:P157"/>
    <mergeCell ref="O148:P148"/>
    <mergeCell ref="O149:P149"/>
    <mergeCell ref="O150:P150"/>
    <mergeCell ref="O151:P151"/>
    <mergeCell ref="O152:P152"/>
    <mergeCell ref="O143:P143"/>
    <mergeCell ref="O144:P144"/>
    <mergeCell ref="O145:P145"/>
    <mergeCell ref="O146:P146"/>
    <mergeCell ref="O147:P147"/>
    <mergeCell ref="O138:P138"/>
    <mergeCell ref="O139:P139"/>
    <mergeCell ref="O140:P140"/>
    <mergeCell ref="O141:P141"/>
    <mergeCell ref="O142:P142"/>
    <mergeCell ref="O133:P133"/>
    <mergeCell ref="O134:P134"/>
    <mergeCell ref="O135:P135"/>
    <mergeCell ref="O136:P136"/>
    <mergeCell ref="O137:P137"/>
    <mergeCell ref="O128:P128"/>
    <mergeCell ref="O129:P129"/>
    <mergeCell ref="O130:P130"/>
    <mergeCell ref="O131:P131"/>
    <mergeCell ref="O132:P132"/>
    <mergeCell ref="O123:P123"/>
    <mergeCell ref="O124:P124"/>
    <mergeCell ref="O125:P125"/>
    <mergeCell ref="O126:P126"/>
    <mergeCell ref="O127:P127"/>
    <mergeCell ref="O118:P118"/>
    <mergeCell ref="O119:P119"/>
    <mergeCell ref="O120:P120"/>
    <mergeCell ref="O121:P121"/>
    <mergeCell ref="O122:P122"/>
    <mergeCell ref="O113:P113"/>
    <mergeCell ref="O114:P114"/>
    <mergeCell ref="O115:P115"/>
    <mergeCell ref="O116:P116"/>
    <mergeCell ref="O117:P117"/>
    <mergeCell ref="O108:P108"/>
    <mergeCell ref="O109:P109"/>
    <mergeCell ref="O110:P110"/>
    <mergeCell ref="O111:P111"/>
    <mergeCell ref="O112:P112"/>
    <mergeCell ref="O103:P103"/>
    <mergeCell ref="O104:P104"/>
    <mergeCell ref="O105:P105"/>
    <mergeCell ref="O106:P106"/>
    <mergeCell ref="O107:P107"/>
    <mergeCell ref="O98:P98"/>
    <mergeCell ref="O99:P99"/>
    <mergeCell ref="O100:P100"/>
    <mergeCell ref="O101:P101"/>
    <mergeCell ref="O102:P102"/>
    <mergeCell ref="O93:P93"/>
    <mergeCell ref="O94:P94"/>
    <mergeCell ref="O95:P95"/>
    <mergeCell ref="O96:P96"/>
    <mergeCell ref="O97:P97"/>
    <mergeCell ref="O88:P88"/>
    <mergeCell ref="O89:P89"/>
    <mergeCell ref="O90:P90"/>
    <mergeCell ref="O91:P91"/>
    <mergeCell ref="O92:P92"/>
    <mergeCell ref="O83:P83"/>
    <mergeCell ref="O84:P84"/>
    <mergeCell ref="O85:P85"/>
    <mergeCell ref="O86:P86"/>
    <mergeCell ref="O87:P87"/>
    <mergeCell ref="O78:P78"/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O68:P68"/>
    <mergeCell ref="O69:P69"/>
    <mergeCell ref="O70:P70"/>
    <mergeCell ref="O71:P71"/>
    <mergeCell ref="O72:P72"/>
    <mergeCell ref="O63:P63"/>
    <mergeCell ref="O64:P64"/>
    <mergeCell ref="O65:P65"/>
    <mergeCell ref="O66:P66"/>
    <mergeCell ref="O67:P67"/>
    <mergeCell ref="O58:P58"/>
    <mergeCell ref="O59:P59"/>
    <mergeCell ref="O60:P60"/>
    <mergeCell ref="O61:P61"/>
    <mergeCell ref="O62:P62"/>
    <mergeCell ref="O55:P55"/>
    <mergeCell ref="O56:P56"/>
    <mergeCell ref="O57:P57"/>
    <mergeCell ref="O48:P48"/>
    <mergeCell ref="O49:P49"/>
    <mergeCell ref="O50:P50"/>
    <mergeCell ref="O51:P51"/>
    <mergeCell ref="O52:P52"/>
    <mergeCell ref="O43:P43"/>
    <mergeCell ref="O44:P44"/>
    <mergeCell ref="O45:P45"/>
    <mergeCell ref="O46:P46"/>
    <mergeCell ref="O47:P47"/>
    <mergeCell ref="O38:P38"/>
    <mergeCell ref="O39:P39"/>
    <mergeCell ref="O40:P40"/>
    <mergeCell ref="O41:P41"/>
    <mergeCell ref="O42:P42"/>
    <mergeCell ref="O35:P35"/>
    <mergeCell ref="O36:P36"/>
    <mergeCell ref="O37:P37"/>
    <mergeCell ref="O28:P28"/>
    <mergeCell ref="O29:P29"/>
    <mergeCell ref="O30:P30"/>
    <mergeCell ref="O31:P31"/>
    <mergeCell ref="O32:P32"/>
    <mergeCell ref="F2134:G2134"/>
    <mergeCell ref="F2135:G2135"/>
    <mergeCell ref="F2136:G2136"/>
    <mergeCell ref="F2137:G2137"/>
    <mergeCell ref="F2129:G2129"/>
    <mergeCell ref="F2130:G2130"/>
    <mergeCell ref="F2131:G2131"/>
    <mergeCell ref="F2132:G2132"/>
    <mergeCell ref="F2133:G2133"/>
    <mergeCell ref="F2124:G2124"/>
    <mergeCell ref="F2125:G2125"/>
    <mergeCell ref="F2126:G2126"/>
    <mergeCell ref="F2127:G2127"/>
    <mergeCell ref="F2128:G2128"/>
    <mergeCell ref="F2119:G2119"/>
    <mergeCell ref="F2120:G2120"/>
    <mergeCell ref="F2121:G2121"/>
    <mergeCell ref="F2122:G2122"/>
    <mergeCell ref="F2123:G2123"/>
    <mergeCell ref="F2114:G2114"/>
    <mergeCell ref="F2115:G2115"/>
    <mergeCell ref="F2116:G2116"/>
    <mergeCell ref="O53:P53"/>
    <mergeCell ref="O54:P54"/>
    <mergeCell ref="F2117:G2117"/>
    <mergeCell ref="F2118:G2118"/>
    <mergeCell ref="F2109:G2109"/>
    <mergeCell ref="F2110:G2110"/>
    <mergeCell ref="F2111:G2111"/>
    <mergeCell ref="F2112:G2112"/>
    <mergeCell ref="F2113:G2113"/>
    <mergeCell ref="F2104:G2104"/>
    <mergeCell ref="F2105:G2105"/>
    <mergeCell ref="F2106:G2106"/>
    <mergeCell ref="F2107:G2107"/>
    <mergeCell ref="F2108:G2108"/>
    <mergeCell ref="F2099:G2099"/>
    <mergeCell ref="F2100:G2100"/>
    <mergeCell ref="F2101:G2101"/>
    <mergeCell ref="F2102:G2102"/>
    <mergeCell ref="F2103:G2103"/>
    <mergeCell ref="F2094:G2094"/>
    <mergeCell ref="F2095:G2095"/>
    <mergeCell ref="F2096:G2096"/>
    <mergeCell ref="F2097:G2097"/>
    <mergeCell ref="F2098:G2098"/>
    <mergeCell ref="F2089:G2089"/>
    <mergeCell ref="F2090:G2090"/>
    <mergeCell ref="F2091:G2091"/>
    <mergeCell ref="F2092:G2092"/>
    <mergeCell ref="F2093:G2093"/>
    <mergeCell ref="F2084:G2084"/>
    <mergeCell ref="F2085:G2085"/>
    <mergeCell ref="F2086:G2086"/>
    <mergeCell ref="F2087:G2087"/>
    <mergeCell ref="F2088:G2088"/>
    <mergeCell ref="F2079:G2079"/>
    <mergeCell ref="F2080:G2080"/>
    <mergeCell ref="F2081:G2081"/>
    <mergeCell ref="F2082:G2082"/>
    <mergeCell ref="F2083:G2083"/>
    <mergeCell ref="F2074:G2074"/>
    <mergeCell ref="F2075:G2075"/>
    <mergeCell ref="F2076:G2076"/>
    <mergeCell ref="F2077:G2077"/>
    <mergeCell ref="F2078:G2078"/>
    <mergeCell ref="F2069:G2069"/>
    <mergeCell ref="F2070:G2070"/>
    <mergeCell ref="F2071:G2071"/>
    <mergeCell ref="F2072:G2072"/>
    <mergeCell ref="F2073:G2073"/>
    <mergeCell ref="F2064:G2064"/>
    <mergeCell ref="F2065:G2065"/>
    <mergeCell ref="F2066:G2066"/>
    <mergeCell ref="F2067:G2067"/>
    <mergeCell ref="F2068:G2068"/>
    <mergeCell ref="F2059:G2059"/>
    <mergeCell ref="F2060:G2060"/>
    <mergeCell ref="F2061:G2061"/>
    <mergeCell ref="F2062:G2062"/>
    <mergeCell ref="F2063:G2063"/>
    <mergeCell ref="F2054:G2054"/>
    <mergeCell ref="F2055:G2055"/>
    <mergeCell ref="F2056:G2056"/>
    <mergeCell ref="F2057:G2057"/>
    <mergeCell ref="F2058:G2058"/>
    <mergeCell ref="F2049:G2049"/>
    <mergeCell ref="F2050:G2050"/>
    <mergeCell ref="F2051:G2051"/>
    <mergeCell ref="F2052:G2052"/>
    <mergeCell ref="F2053:G2053"/>
    <mergeCell ref="F2044:G2044"/>
    <mergeCell ref="F2045:G2045"/>
    <mergeCell ref="F2046:G2046"/>
    <mergeCell ref="F2047:G2047"/>
    <mergeCell ref="F2048:G2048"/>
    <mergeCell ref="F2039:G2039"/>
    <mergeCell ref="F2040:G2040"/>
    <mergeCell ref="F2041:G2041"/>
    <mergeCell ref="F2042:G2042"/>
    <mergeCell ref="F2043:G2043"/>
    <mergeCell ref="F2034:G2034"/>
    <mergeCell ref="F2035:G2035"/>
    <mergeCell ref="F2036:G2036"/>
    <mergeCell ref="F2037:G2037"/>
    <mergeCell ref="F2038:G2038"/>
    <mergeCell ref="F2029:G2029"/>
    <mergeCell ref="F2030:G2030"/>
    <mergeCell ref="F2031:G2031"/>
    <mergeCell ref="F2032:G2032"/>
    <mergeCell ref="F2033:G2033"/>
    <mergeCell ref="F2024:G2024"/>
    <mergeCell ref="F2025:G2025"/>
    <mergeCell ref="F2026:G2026"/>
    <mergeCell ref="F2027:G2027"/>
    <mergeCell ref="F2028:G2028"/>
    <mergeCell ref="F2019:G2019"/>
    <mergeCell ref="F2020:G2020"/>
    <mergeCell ref="F2021:G2021"/>
    <mergeCell ref="F2022:G2022"/>
    <mergeCell ref="F2023:G2023"/>
    <mergeCell ref="F2014:G2014"/>
    <mergeCell ref="F2015:G2015"/>
    <mergeCell ref="F2016:G2016"/>
    <mergeCell ref="F2017:G2017"/>
    <mergeCell ref="F2018:G2018"/>
    <mergeCell ref="F2009:G2009"/>
    <mergeCell ref="F2010:G2010"/>
    <mergeCell ref="F2011:G2011"/>
    <mergeCell ref="F2012:G2012"/>
    <mergeCell ref="F2013:G2013"/>
    <mergeCell ref="F2004:G2004"/>
    <mergeCell ref="F2005:G2005"/>
    <mergeCell ref="F2006:G2006"/>
    <mergeCell ref="F2007:G2007"/>
    <mergeCell ref="F2008:G2008"/>
    <mergeCell ref="F1999:G1999"/>
    <mergeCell ref="F2000:G2000"/>
    <mergeCell ref="F2001:G2001"/>
    <mergeCell ref="F2002:G2002"/>
    <mergeCell ref="F2003:G2003"/>
    <mergeCell ref="F1994:G1994"/>
    <mergeCell ref="F1995:G1995"/>
    <mergeCell ref="F1996:G1996"/>
    <mergeCell ref="F1997:G1997"/>
    <mergeCell ref="F1998:G1998"/>
    <mergeCell ref="F1989:G1989"/>
    <mergeCell ref="F1990:G1990"/>
    <mergeCell ref="F1991:G1991"/>
    <mergeCell ref="F1992:G1992"/>
    <mergeCell ref="F1993:G1993"/>
    <mergeCell ref="F1984:G1984"/>
    <mergeCell ref="F1985:G1985"/>
    <mergeCell ref="F1986:G1986"/>
    <mergeCell ref="F1987:G1987"/>
    <mergeCell ref="F1988:G1988"/>
    <mergeCell ref="F1979:G1979"/>
    <mergeCell ref="F1980:G1980"/>
    <mergeCell ref="F1981:G1981"/>
    <mergeCell ref="F1982:G1982"/>
    <mergeCell ref="F1983:G1983"/>
    <mergeCell ref="F1974:G1974"/>
    <mergeCell ref="F1975:G1975"/>
    <mergeCell ref="F1976:G1976"/>
    <mergeCell ref="F1977:G1977"/>
    <mergeCell ref="F1978:G1978"/>
    <mergeCell ref="F1969:G1969"/>
    <mergeCell ref="F1970:G1970"/>
    <mergeCell ref="F1971:G1971"/>
    <mergeCell ref="F1972:G1972"/>
    <mergeCell ref="F1973:G1973"/>
    <mergeCell ref="F1964:G1964"/>
    <mergeCell ref="F1965:G1965"/>
    <mergeCell ref="F1966:G1966"/>
    <mergeCell ref="F1967:G1967"/>
    <mergeCell ref="F1968:G1968"/>
    <mergeCell ref="F1959:G1959"/>
    <mergeCell ref="F1960:G1960"/>
    <mergeCell ref="F1961:G1961"/>
    <mergeCell ref="F1962:G1962"/>
    <mergeCell ref="F1963:G1963"/>
    <mergeCell ref="F1954:G1954"/>
    <mergeCell ref="F1955:G1955"/>
    <mergeCell ref="F1956:G1956"/>
    <mergeCell ref="F1957:G1957"/>
    <mergeCell ref="F1958:G1958"/>
    <mergeCell ref="F1949:G1949"/>
    <mergeCell ref="F1950:G1950"/>
    <mergeCell ref="F1951:G1951"/>
    <mergeCell ref="F1952:G1952"/>
    <mergeCell ref="F1953:G1953"/>
    <mergeCell ref="F1944:G1944"/>
    <mergeCell ref="F1945:G1945"/>
    <mergeCell ref="F1946:G1946"/>
    <mergeCell ref="F1947:G1947"/>
    <mergeCell ref="F1948:G1948"/>
    <mergeCell ref="F1939:G1939"/>
    <mergeCell ref="F1940:G1940"/>
    <mergeCell ref="F1941:G1941"/>
    <mergeCell ref="F1942:G1942"/>
    <mergeCell ref="F1943:G1943"/>
    <mergeCell ref="F1934:G1934"/>
    <mergeCell ref="F1935:G1935"/>
    <mergeCell ref="F1936:G1936"/>
    <mergeCell ref="F1937:G1937"/>
    <mergeCell ref="F1938:G1938"/>
    <mergeCell ref="F1929:G1929"/>
    <mergeCell ref="F1930:G1930"/>
    <mergeCell ref="F1931:G1931"/>
    <mergeCell ref="F1932:G1932"/>
    <mergeCell ref="F1933:G1933"/>
    <mergeCell ref="F1924:G1924"/>
    <mergeCell ref="F1925:G1925"/>
    <mergeCell ref="F1926:G1926"/>
    <mergeCell ref="F1927:G1927"/>
    <mergeCell ref="F1928:G1928"/>
    <mergeCell ref="F1919:G1919"/>
    <mergeCell ref="F1920:G1920"/>
    <mergeCell ref="F1921:G1921"/>
    <mergeCell ref="F1922:G1922"/>
    <mergeCell ref="F1923:G1923"/>
    <mergeCell ref="F1914:G1914"/>
    <mergeCell ref="F1915:G1915"/>
    <mergeCell ref="F1916:G1916"/>
    <mergeCell ref="F1917:G1917"/>
    <mergeCell ref="F1918:G1918"/>
    <mergeCell ref="F1909:G1909"/>
    <mergeCell ref="F1910:G1910"/>
    <mergeCell ref="F1911:G1911"/>
    <mergeCell ref="F1912:G1912"/>
    <mergeCell ref="F1913:G1913"/>
    <mergeCell ref="F1904:G1904"/>
    <mergeCell ref="F1905:G1905"/>
    <mergeCell ref="F1906:G1906"/>
    <mergeCell ref="F1907:G1907"/>
    <mergeCell ref="F1908:G1908"/>
    <mergeCell ref="F1899:G1899"/>
    <mergeCell ref="F1900:G1900"/>
    <mergeCell ref="F1901:G1901"/>
    <mergeCell ref="F1902:G1902"/>
    <mergeCell ref="F1903:G1903"/>
    <mergeCell ref="F1894:G1894"/>
    <mergeCell ref="F1895:G1895"/>
    <mergeCell ref="F1896:G1896"/>
    <mergeCell ref="F1897:G1897"/>
    <mergeCell ref="F1898:G1898"/>
    <mergeCell ref="F1889:G1889"/>
    <mergeCell ref="F1890:G1890"/>
    <mergeCell ref="F1891:G1891"/>
    <mergeCell ref="F1892:G1892"/>
    <mergeCell ref="F1893:G1893"/>
    <mergeCell ref="F1884:G1884"/>
    <mergeCell ref="F1885:G1885"/>
    <mergeCell ref="F1886:G1886"/>
    <mergeCell ref="F1887:G1887"/>
    <mergeCell ref="F1888:G1888"/>
    <mergeCell ref="F1879:G1879"/>
    <mergeCell ref="F1880:G1880"/>
    <mergeCell ref="F1881:G1881"/>
    <mergeCell ref="F1882:G1882"/>
    <mergeCell ref="F1883:G1883"/>
    <mergeCell ref="F1874:G1874"/>
    <mergeCell ref="F1875:G1875"/>
    <mergeCell ref="F1876:G1876"/>
    <mergeCell ref="F1877:G1877"/>
    <mergeCell ref="F1878:G1878"/>
    <mergeCell ref="F1869:G1869"/>
    <mergeCell ref="F1870:G1870"/>
    <mergeCell ref="F1871:G1871"/>
    <mergeCell ref="F1872:G1872"/>
    <mergeCell ref="F1873:G1873"/>
    <mergeCell ref="F1864:G1864"/>
    <mergeCell ref="F1865:G1865"/>
    <mergeCell ref="F1866:G1866"/>
    <mergeCell ref="F1867:G1867"/>
    <mergeCell ref="F1868:G1868"/>
    <mergeCell ref="F1859:G1859"/>
    <mergeCell ref="F1860:G1860"/>
    <mergeCell ref="F1861:G1861"/>
    <mergeCell ref="F1862:G1862"/>
    <mergeCell ref="F1863:G1863"/>
    <mergeCell ref="F1854:G1854"/>
    <mergeCell ref="F1855:G1855"/>
    <mergeCell ref="F1856:G1856"/>
    <mergeCell ref="F1857:G1857"/>
    <mergeCell ref="F1858:G1858"/>
    <mergeCell ref="F1849:G1849"/>
    <mergeCell ref="F1850:G1850"/>
    <mergeCell ref="F1851:G1851"/>
    <mergeCell ref="F1852:G1852"/>
    <mergeCell ref="F1853:G1853"/>
    <mergeCell ref="F1844:G1844"/>
    <mergeCell ref="F1845:G1845"/>
    <mergeCell ref="F1846:G1846"/>
    <mergeCell ref="F1847:G1847"/>
    <mergeCell ref="F1848:G1848"/>
    <mergeCell ref="F1839:G1839"/>
    <mergeCell ref="F1840:G1840"/>
    <mergeCell ref="F1841:G1841"/>
    <mergeCell ref="F1842:G1842"/>
    <mergeCell ref="F1843:G1843"/>
    <mergeCell ref="F1834:G1834"/>
    <mergeCell ref="F1835:G1835"/>
    <mergeCell ref="F1836:G1836"/>
    <mergeCell ref="F1837:G1837"/>
    <mergeCell ref="F1838:G1838"/>
    <mergeCell ref="F1829:G1829"/>
    <mergeCell ref="F1830:G1830"/>
    <mergeCell ref="F1831:G1831"/>
    <mergeCell ref="F1832:G1832"/>
    <mergeCell ref="F1833:G1833"/>
    <mergeCell ref="F1824:G1824"/>
    <mergeCell ref="F1825:G1825"/>
    <mergeCell ref="F1826:G1826"/>
    <mergeCell ref="F1827:G1827"/>
    <mergeCell ref="F1828:G1828"/>
    <mergeCell ref="F1819:G1819"/>
    <mergeCell ref="F1820:G1820"/>
    <mergeCell ref="F1821:G1821"/>
    <mergeCell ref="F1822:G1822"/>
    <mergeCell ref="F1823:G1823"/>
    <mergeCell ref="F1814:G1814"/>
    <mergeCell ref="F1815:G1815"/>
    <mergeCell ref="F1816:G1816"/>
    <mergeCell ref="F1817:G1817"/>
    <mergeCell ref="F1818:G1818"/>
    <mergeCell ref="F1809:G1809"/>
    <mergeCell ref="F1810:G1810"/>
    <mergeCell ref="F1811:G1811"/>
    <mergeCell ref="F1812:G1812"/>
    <mergeCell ref="F1813:G1813"/>
    <mergeCell ref="F1804:G1804"/>
    <mergeCell ref="F1805:G1805"/>
    <mergeCell ref="F1806:G1806"/>
    <mergeCell ref="F1807:G1807"/>
    <mergeCell ref="F1808:G1808"/>
    <mergeCell ref="F1799:G1799"/>
    <mergeCell ref="F1800:G1800"/>
    <mergeCell ref="F1801:G1801"/>
    <mergeCell ref="F1802:G1802"/>
    <mergeCell ref="F1803:G1803"/>
    <mergeCell ref="F1794:G1794"/>
    <mergeCell ref="F1795:G1795"/>
    <mergeCell ref="F1796:G1796"/>
    <mergeCell ref="F1797:G1797"/>
    <mergeCell ref="F1798:G1798"/>
    <mergeCell ref="F1789:G1789"/>
    <mergeCell ref="F1790:G1790"/>
    <mergeCell ref="F1791:G1791"/>
    <mergeCell ref="F1792:G1792"/>
    <mergeCell ref="F1793:G1793"/>
    <mergeCell ref="F1784:G1784"/>
    <mergeCell ref="F1785:G1785"/>
    <mergeCell ref="F1786:G1786"/>
    <mergeCell ref="F1787:G1787"/>
    <mergeCell ref="F1788:G1788"/>
    <mergeCell ref="F1779:G1779"/>
    <mergeCell ref="F1780:G1780"/>
    <mergeCell ref="F1781:G1781"/>
    <mergeCell ref="F1782:G1782"/>
    <mergeCell ref="F1783:G1783"/>
    <mergeCell ref="F1774:G1774"/>
    <mergeCell ref="F1775:G1775"/>
    <mergeCell ref="F1776:G1776"/>
    <mergeCell ref="F1777:G1777"/>
    <mergeCell ref="F1778:G1778"/>
    <mergeCell ref="F1769:G1769"/>
    <mergeCell ref="F1770:G1770"/>
    <mergeCell ref="F1771:G1771"/>
    <mergeCell ref="F1772:G1772"/>
    <mergeCell ref="F1773:G1773"/>
    <mergeCell ref="F1764:G1764"/>
    <mergeCell ref="F1765:G1765"/>
    <mergeCell ref="F1766:G1766"/>
    <mergeCell ref="F1767:G1767"/>
    <mergeCell ref="F1768:G1768"/>
    <mergeCell ref="F1759:G1759"/>
    <mergeCell ref="F1760:G1760"/>
    <mergeCell ref="F1761:G1761"/>
    <mergeCell ref="F1762:G1762"/>
    <mergeCell ref="F1763:G1763"/>
    <mergeCell ref="F1754:G1754"/>
    <mergeCell ref="F1755:G1755"/>
    <mergeCell ref="F1756:G1756"/>
    <mergeCell ref="F1757:G1757"/>
    <mergeCell ref="F1758:G1758"/>
    <mergeCell ref="F1749:G1749"/>
    <mergeCell ref="F1750:G1750"/>
    <mergeCell ref="F1751:G1751"/>
    <mergeCell ref="F1752:G1752"/>
    <mergeCell ref="F1753:G1753"/>
    <mergeCell ref="F1744:G1744"/>
    <mergeCell ref="F1745:G1745"/>
    <mergeCell ref="F1746:G1746"/>
    <mergeCell ref="F1747:G1747"/>
    <mergeCell ref="F1748:G1748"/>
    <mergeCell ref="F1739:G1739"/>
    <mergeCell ref="F1740:G1740"/>
    <mergeCell ref="F1741:G1741"/>
    <mergeCell ref="F1742:G1742"/>
    <mergeCell ref="F1743:G1743"/>
    <mergeCell ref="F1734:G1734"/>
    <mergeCell ref="F1735:G1735"/>
    <mergeCell ref="F1736:G1736"/>
    <mergeCell ref="F1737:G1737"/>
    <mergeCell ref="F1738:G1738"/>
    <mergeCell ref="F1729:G1729"/>
    <mergeCell ref="F1730:G1730"/>
    <mergeCell ref="F1731:G1731"/>
    <mergeCell ref="F1732:G1732"/>
    <mergeCell ref="F1733:G1733"/>
    <mergeCell ref="F1724:G1724"/>
    <mergeCell ref="F1725:G1725"/>
    <mergeCell ref="F1726:G1726"/>
    <mergeCell ref="F1727:G1727"/>
    <mergeCell ref="F1728:G1728"/>
    <mergeCell ref="F1719:G1719"/>
    <mergeCell ref="F1720:G1720"/>
    <mergeCell ref="F1721:G1721"/>
    <mergeCell ref="F1722:G1722"/>
    <mergeCell ref="F1723:G1723"/>
    <mergeCell ref="F1714:G1714"/>
    <mergeCell ref="F1715:G1715"/>
    <mergeCell ref="F1716:G1716"/>
    <mergeCell ref="F1717:G1717"/>
    <mergeCell ref="F1718:G1718"/>
    <mergeCell ref="F1709:G1709"/>
    <mergeCell ref="F1710:G1710"/>
    <mergeCell ref="F1711:G1711"/>
    <mergeCell ref="F1712:G1712"/>
    <mergeCell ref="F1713:G1713"/>
    <mergeCell ref="F1704:G1704"/>
    <mergeCell ref="F1705:G1705"/>
    <mergeCell ref="F1706:G1706"/>
    <mergeCell ref="F1707:G1707"/>
    <mergeCell ref="F1708:G1708"/>
    <mergeCell ref="F1699:G1699"/>
    <mergeCell ref="F1700:G1700"/>
    <mergeCell ref="F1701:G1701"/>
    <mergeCell ref="F1702:G1702"/>
    <mergeCell ref="F1703:G1703"/>
    <mergeCell ref="F1694:G1694"/>
    <mergeCell ref="F1695:G1695"/>
    <mergeCell ref="F1696:G1696"/>
    <mergeCell ref="F1697:G1697"/>
    <mergeCell ref="F1698:G1698"/>
    <mergeCell ref="F1689:G1689"/>
    <mergeCell ref="F1690:G1690"/>
    <mergeCell ref="F1691:G1691"/>
    <mergeCell ref="F1692:G1692"/>
    <mergeCell ref="F1693:G1693"/>
    <mergeCell ref="F1684:G1684"/>
    <mergeCell ref="F1685:G1685"/>
    <mergeCell ref="F1686:G1686"/>
    <mergeCell ref="F1687:G1687"/>
    <mergeCell ref="F1688:G1688"/>
    <mergeCell ref="F1679:G1679"/>
    <mergeCell ref="F1680:G1680"/>
    <mergeCell ref="F1681:G1681"/>
    <mergeCell ref="F1682:G1682"/>
    <mergeCell ref="F1683:G1683"/>
    <mergeCell ref="F1674:G1674"/>
    <mergeCell ref="F1675:G1675"/>
    <mergeCell ref="F1676:G1676"/>
    <mergeCell ref="F1677:G1677"/>
    <mergeCell ref="F1678:G1678"/>
    <mergeCell ref="F1669:G1669"/>
    <mergeCell ref="F1670:G1670"/>
    <mergeCell ref="F1671:G1671"/>
    <mergeCell ref="F1672:G1672"/>
    <mergeCell ref="F1673:G1673"/>
    <mergeCell ref="F1664:G1664"/>
    <mergeCell ref="F1665:G1665"/>
    <mergeCell ref="F1666:G1666"/>
    <mergeCell ref="F1667:G1667"/>
    <mergeCell ref="F1668:G1668"/>
    <mergeCell ref="F1659:G1659"/>
    <mergeCell ref="F1660:G1660"/>
    <mergeCell ref="F1661:G1661"/>
    <mergeCell ref="F1662:G1662"/>
    <mergeCell ref="F1663:G1663"/>
    <mergeCell ref="F1654:G1654"/>
    <mergeCell ref="F1655:G1655"/>
    <mergeCell ref="F1656:G1656"/>
    <mergeCell ref="F1657:G1657"/>
    <mergeCell ref="F1658:G1658"/>
    <mergeCell ref="F1649:G1649"/>
    <mergeCell ref="F1650:G1650"/>
    <mergeCell ref="F1651:G1651"/>
    <mergeCell ref="F1652:G1652"/>
    <mergeCell ref="F1653:G1653"/>
    <mergeCell ref="F1644:G1644"/>
    <mergeCell ref="F1645:G1645"/>
    <mergeCell ref="F1646:G1646"/>
    <mergeCell ref="F1647:G1647"/>
    <mergeCell ref="F1648:G1648"/>
    <mergeCell ref="F1639:G1639"/>
    <mergeCell ref="F1640:G1640"/>
    <mergeCell ref="F1641:G1641"/>
    <mergeCell ref="F1642:G1642"/>
    <mergeCell ref="F1643:G1643"/>
    <mergeCell ref="F1634:G1634"/>
    <mergeCell ref="F1635:G1635"/>
    <mergeCell ref="F1636:G1636"/>
    <mergeCell ref="F1637:G1637"/>
    <mergeCell ref="F1638:G1638"/>
    <mergeCell ref="F1629:G1629"/>
    <mergeCell ref="F1630:G1630"/>
    <mergeCell ref="F1631:G1631"/>
    <mergeCell ref="F1632:G1632"/>
    <mergeCell ref="F1633:G1633"/>
    <mergeCell ref="F1624:G1624"/>
    <mergeCell ref="F1625:G1625"/>
    <mergeCell ref="F1626:G1626"/>
    <mergeCell ref="F1627:G1627"/>
    <mergeCell ref="F1628:G1628"/>
    <mergeCell ref="F1619:G1619"/>
    <mergeCell ref="F1620:G1620"/>
    <mergeCell ref="F1621:G1621"/>
    <mergeCell ref="F1622:G1622"/>
    <mergeCell ref="F1623:G1623"/>
    <mergeCell ref="F1614:G1614"/>
    <mergeCell ref="F1615:G1615"/>
    <mergeCell ref="F1616:G1616"/>
    <mergeCell ref="F1617:G1617"/>
    <mergeCell ref="F1618:G1618"/>
    <mergeCell ref="F1609:G1609"/>
    <mergeCell ref="F1610:G1610"/>
    <mergeCell ref="F1611:G1611"/>
    <mergeCell ref="F1612:G1612"/>
    <mergeCell ref="F1613:G1613"/>
    <mergeCell ref="F1604:G1604"/>
    <mergeCell ref="F1605:G1605"/>
    <mergeCell ref="F1606:G1606"/>
    <mergeCell ref="F1607:G1607"/>
    <mergeCell ref="F1608:G1608"/>
    <mergeCell ref="F1599:G1599"/>
    <mergeCell ref="F1600:G1600"/>
    <mergeCell ref="F1601:G1601"/>
    <mergeCell ref="F1602:G1602"/>
    <mergeCell ref="F1603:G1603"/>
    <mergeCell ref="F1594:G1594"/>
    <mergeCell ref="F1595:G1595"/>
    <mergeCell ref="F1596:G1596"/>
    <mergeCell ref="F1597:G1597"/>
    <mergeCell ref="F1598:G1598"/>
    <mergeCell ref="F1589:G1589"/>
    <mergeCell ref="F1590:G1590"/>
    <mergeCell ref="F1591:G1591"/>
    <mergeCell ref="F1592:G1592"/>
    <mergeCell ref="F1593:G1593"/>
    <mergeCell ref="F1584:G1584"/>
    <mergeCell ref="F1585:G1585"/>
    <mergeCell ref="F1586:G1586"/>
    <mergeCell ref="F1587:G1587"/>
    <mergeCell ref="F1588:G1588"/>
    <mergeCell ref="F1579:G1579"/>
    <mergeCell ref="F1580:G1580"/>
    <mergeCell ref="F1581:G1581"/>
    <mergeCell ref="F1582:G1582"/>
    <mergeCell ref="F1583:G1583"/>
    <mergeCell ref="F1574:G1574"/>
    <mergeCell ref="F1575:G1575"/>
    <mergeCell ref="F1576:G1576"/>
    <mergeCell ref="F1577:G1577"/>
    <mergeCell ref="F1578:G1578"/>
    <mergeCell ref="F1569:G1569"/>
    <mergeCell ref="F1570:G1570"/>
    <mergeCell ref="F1571:G1571"/>
    <mergeCell ref="F1572:G1572"/>
    <mergeCell ref="F1573:G1573"/>
    <mergeCell ref="F1564:G1564"/>
    <mergeCell ref="F1565:G1565"/>
    <mergeCell ref="F1566:G1566"/>
    <mergeCell ref="F1567:G1567"/>
    <mergeCell ref="F1568:G1568"/>
    <mergeCell ref="F1559:G1559"/>
    <mergeCell ref="F1560:G1560"/>
    <mergeCell ref="F1561:G1561"/>
    <mergeCell ref="F1562:G1562"/>
    <mergeCell ref="F1563:G1563"/>
    <mergeCell ref="F1554:G1554"/>
    <mergeCell ref="F1555:G1555"/>
    <mergeCell ref="F1556:G1556"/>
    <mergeCell ref="F1557:G1557"/>
    <mergeCell ref="F1558:G1558"/>
    <mergeCell ref="F1549:G1549"/>
    <mergeCell ref="F1550:G1550"/>
    <mergeCell ref="F1551:G1551"/>
    <mergeCell ref="F1552:G1552"/>
    <mergeCell ref="F1553:G1553"/>
    <mergeCell ref="F1544:G1544"/>
    <mergeCell ref="F1545:G1545"/>
    <mergeCell ref="F1546:G1546"/>
    <mergeCell ref="F1547:G1547"/>
    <mergeCell ref="F1548:G1548"/>
    <mergeCell ref="F1539:G1539"/>
    <mergeCell ref="F1540:G1540"/>
    <mergeCell ref="F1541:G1541"/>
    <mergeCell ref="F1542:G1542"/>
    <mergeCell ref="F1543:G1543"/>
    <mergeCell ref="F1534:G1534"/>
    <mergeCell ref="F1535:G1535"/>
    <mergeCell ref="F1536:G1536"/>
    <mergeCell ref="F1537:G1537"/>
    <mergeCell ref="F1538:G1538"/>
    <mergeCell ref="F1529:G1529"/>
    <mergeCell ref="F1530:G1530"/>
    <mergeCell ref="F1531:G1531"/>
    <mergeCell ref="F1532:G1532"/>
    <mergeCell ref="F1533:G1533"/>
    <mergeCell ref="F1524:G1524"/>
    <mergeCell ref="F1525:G1525"/>
    <mergeCell ref="F1526:G1526"/>
    <mergeCell ref="F1527:G1527"/>
    <mergeCell ref="F1528:G1528"/>
    <mergeCell ref="F1519:G1519"/>
    <mergeCell ref="F1520:G1520"/>
    <mergeCell ref="F1521:G1521"/>
    <mergeCell ref="F1522:G1522"/>
    <mergeCell ref="F1523:G1523"/>
    <mergeCell ref="F1514:G1514"/>
    <mergeCell ref="F1515:G1515"/>
    <mergeCell ref="F1516:G1516"/>
    <mergeCell ref="F1517:G1517"/>
    <mergeCell ref="F1518:G1518"/>
    <mergeCell ref="F1509:G1509"/>
    <mergeCell ref="F1510:G1510"/>
    <mergeCell ref="F1511:G1511"/>
    <mergeCell ref="F1512:G1512"/>
    <mergeCell ref="F1513:G1513"/>
    <mergeCell ref="F1504:G1504"/>
    <mergeCell ref="F1505:G1505"/>
    <mergeCell ref="F1506:G1506"/>
    <mergeCell ref="F1507:G1507"/>
    <mergeCell ref="F1508:G1508"/>
    <mergeCell ref="F1499:G1499"/>
    <mergeCell ref="F1500:G1500"/>
    <mergeCell ref="F1501:G1501"/>
    <mergeCell ref="F1502:G1502"/>
    <mergeCell ref="F1503:G1503"/>
    <mergeCell ref="F1494:G1494"/>
    <mergeCell ref="F1495:G1495"/>
    <mergeCell ref="F1496:G1496"/>
    <mergeCell ref="F1497:G1497"/>
    <mergeCell ref="F1498:G1498"/>
    <mergeCell ref="F1489:G1489"/>
    <mergeCell ref="F1490:G1490"/>
    <mergeCell ref="F1491:G1491"/>
    <mergeCell ref="F1492:G1492"/>
    <mergeCell ref="F1493:G1493"/>
    <mergeCell ref="F1484:G1484"/>
    <mergeCell ref="F1485:G1485"/>
    <mergeCell ref="F1486:G1486"/>
    <mergeCell ref="F1487:G1487"/>
    <mergeCell ref="F1488:G1488"/>
    <mergeCell ref="F1479:G1479"/>
    <mergeCell ref="F1480:G1480"/>
    <mergeCell ref="F1481:G1481"/>
    <mergeCell ref="F1482:G1482"/>
    <mergeCell ref="F1483:G1483"/>
    <mergeCell ref="F1474:G1474"/>
    <mergeCell ref="F1475:G1475"/>
    <mergeCell ref="F1476:G1476"/>
    <mergeCell ref="F1477:G1477"/>
    <mergeCell ref="F1478:G1478"/>
    <mergeCell ref="F1469:G1469"/>
    <mergeCell ref="F1470:G1470"/>
    <mergeCell ref="F1471:G1471"/>
    <mergeCell ref="F1472:G1472"/>
    <mergeCell ref="F1473:G1473"/>
    <mergeCell ref="F1464:G1464"/>
    <mergeCell ref="F1465:G1465"/>
    <mergeCell ref="F1466:G1466"/>
    <mergeCell ref="F1467:G1467"/>
    <mergeCell ref="F1468:G1468"/>
    <mergeCell ref="F1459:G1459"/>
    <mergeCell ref="F1460:G1460"/>
    <mergeCell ref="F1461:G1461"/>
    <mergeCell ref="F1462:G1462"/>
    <mergeCell ref="F1463:G1463"/>
    <mergeCell ref="F1454:G1454"/>
    <mergeCell ref="F1455:G1455"/>
    <mergeCell ref="F1456:G1456"/>
    <mergeCell ref="F1457:G1457"/>
    <mergeCell ref="F1458:G1458"/>
    <mergeCell ref="F1449:G1449"/>
    <mergeCell ref="F1450:G1450"/>
    <mergeCell ref="F1451:G1451"/>
    <mergeCell ref="F1452:G1452"/>
    <mergeCell ref="F1453:G1453"/>
    <mergeCell ref="F1444:G1444"/>
    <mergeCell ref="F1445:G1445"/>
    <mergeCell ref="F1446:G1446"/>
    <mergeCell ref="F1447:G1447"/>
    <mergeCell ref="F1448:G1448"/>
    <mergeCell ref="F1439:G1439"/>
    <mergeCell ref="F1440:G1440"/>
    <mergeCell ref="F1441:G1441"/>
    <mergeCell ref="F1442:G1442"/>
    <mergeCell ref="F1443:G1443"/>
    <mergeCell ref="F1434:G1434"/>
    <mergeCell ref="F1435:G1435"/>
    <mergeCell ref="F1436:G1436"/>
    <mergeCell ref="F1437:G1437"/>
    <mergeCell ref="F1438:G1438"/>
    <mergeCell ref="F1429:G1429"/>
    <mergeCell ref="F1430:G1430"/>
    <mergeCell ref="F1431:G1431"/>
    <mergeCell ref="F1432:G1432"/>
    <mergeCell ref="F1433:G1433"/>
    <mergeCell ref="F1424:G1424"/>
    <mergeCell ref="F1425:G1425"/>
    <mergeCell ref="F1426:G1426"/>
    <mergeCell ref="F1427:G1427"/>
    <mergeCell ref="F1428:G1428"/>
    <mergeCell ref="F1419:G1419"/>
    <mergeCell ref="F1420:G1420"/>
    <mergeCell ref="F1421:G1421"/>
    <mergeCell ref="F1422:G1422"/>
    <mergeCell ref="F1423:G1423"/>
    <mergeCell ref="F1414:G1414"/>
    <mergeCell ref="F1415:G1415"/>
    <mergeCell ref="F1416:G1416"/>
    <mergeCell ref="F1417:G1417"/>
    <mergeCell ref="F1418:G1418"/>
    <mergeCell ref="F1409:G1409"/>
    <mergeCell ref="F1410:G1410"/>
    <mergeCell ref="F1411:G1411"/>
    <mergeCell ref="F1412:G1412"/>
    <mergeCell ref="F1413:G1413"/>
    <mergeCell ref="F1404:G1404"/>
    <mergeCell ref="F1405:G1405"/>
    <mergeCell ref="F1406:G1406"/>
    <mergeCell ref="F1407:G1407"/>
    <mergeCell ref="F1408:G1408"/>
    <mergeCell ref="F1399:G1399"/>
    <mergeCell ref="F1400:G1400"/>
    <mergeCell ref="F1401:G1401"/>
    <mergeCell ref="F1402:G1402"/>
    <mergeCell ref="F1403:G1403"/>
    <mergeCell ref="F1394:G1394"/>
    <mergeCell ref="F1395:G1395"/>
    <mergeCell ref="F1396:G1396"/>
    <mergeCell ref="F1397:G1397"/>
    <mergeCell ref="F1398:G1398"/>
    <mergeCell ref="F1389:G1389"/>
    <mergeCell ref="F1390:G1390"/>
    <mergeCell ref="F1391:G1391"/>
    <mergeCell ref="F1392:G1392"/>
    <mergeCell ref="F1393:G1393"/>
    <mergeCell ref="F1384:G1384"/>
    <mergeCell ref="F1385:G1385"/>
    <mergeCell ref="F1386:G1386"/>
    <mergeCell ref="F1387:G1387"/>
    <mergeCell ref="F1388:G1388"/>
    <mergeCell ref="F1379:G1379"/>
    <mergeCell ref="F1380:G1380"/>
    <mergeCell ref="F1381:G1381"/>
    <mergeCell ref="F1382:G1382"/>
    <mergeCell ref="F1383:G1383"/>
    <mergeCell ref="F1374:G1374"/>
    <mergeCell ref="F1375:G1375"/>
    <mergeCell ref="F1376:G1376"/>
    <mergeCell ref="F1377:G1377"/>
    <mergeCell ref="F1378:G1378"/>
    <mergeCell ref="F1369:G1369"/>
    <mergeCell ref="F1370:G1370"/>
    <mergeCell ref="F1371:G1371"/>
    <mergeCell ref="F1372:G1372"/>
    <mergeCell ref="F1373:G1373"/>
    <mergeCell ref="F1364:G1364"/>
    <mergeCell ref="F1365:G1365"/>
    <mergeCell ref="F1366:G1366"/>
    <mergeCell ref="F1367:G1367"/>
    <mergeCell ref="F1368:G1368"/>
    <mergeCell ref="F1359:G1359"/>
    <mergeCell ref="F1360:G1360"/>
    <mergeCell ref="F1361:G1361"/>
    <mergeCell ref="F1362:G1362"/>
    <mergeCell ref="F1363:G1363"/>
    <mergeCell ref="F1354:G1354"/>
    <mergeCell ref="F1355:G1355"/>
    <mergeCell ref="F1356:G1356"/>
    <mergeCell ref="F1357:G1357"/>
    <mergeCell ref="F1358:G1358"/>
    <mergeCell ref="F1349:G1349"/>
    <mergeCell ref="F1350:G1350"/>
    <mergeCell ref="F1351:G1351"/>
    <mergeCell ref="F1352:G1352"/>
    <mergeCell ref="F1353:G1353"/>
    <mergeCell ref="F1344:G1344"/>
    <mergeCell ref="F1345:G1345"/>
    <mergeCell ref="F1346:G1346"/>
    <mergeCell ref="F1347:G1347"/>
    <mergeCell ref="F1348:G1348"/>
    <mergeCell ref="F1339:G1339"/>
    <mergeCell ref="F1340:G1340"/>
    <mergeCell ref="F1341:G1341"/>
    <mergeCell ref="F1342:G1342"/>
    <mergeCell ref="F1343:G1343"/>
    <mergeCell ref="F1334:G1334"/>
    <mergeCell ref="F1335:G1335"/>
    <mergeCell ref="F1336:G1336"/>
    <mergeCell ref="F1337:G1337"/>
    <mergeCell ref="F1338:G1338"/>
    <mergeCell ref="F1329:G1329"/>
    <mergeCell ref="F1330:G1330"/>
    <mergeCell ref="F1331:G1331"/>
    <mergeCell ref="F1332:G1332"/>
    <mergeCell ref="F1333:G1333"/>
    <mergeCell ref="F1324:G1324"/>
    <mergeCell ref="F1325:G1325"/>
    <mergeCell ref="F1326:G1326"/>
    <mergeCell ref="F1327:G1327"/>
    <mergeCell ref="F1328:G1328"/>
    <mergeCell ref="F1319:G1319"/>
    <mergeCell ref="F1320:G1320"/>
    <mergeCell ref="F1321:G1321"/>
    <mergeCell ref="F1322:G1322"/>
    <mergeCell ref="F1323:G1323"/>
    <mergeCell ref="F1314:G1314"/>
    <mergeCell ref="F1315:G1315"/>
    <mergeCell ref="F1316:G1316"/>
    <mergeCell ref="F1317:G1317"/>
    <mergeCell ref="F1318:G1318"/>
    <mergeCell ref="F1309:G1309"/>
    <mergeCell ref="F1310:G1310"/>
    <mergeCell ref="F1311:G1311"/>
    <mergeCell ref="F1312:G1312"/>
    <mergeCell ref="F1313:G1313"/>
    <mergeCell ref="F1304:G1304"/>
    <mergeCell ref="F1305:G1305"/>
    <mergeCell ref="F1306:G1306"/>
    <mergeCell ref="F1307:G1307"/>
    <mergeCell ref="F1308:G1308"/>
    <mergeCell ref="F1299:G1299"/>
    <mergeCell ref="F1300:G1300"/>
    <mergeCell ref="F1301:G1301"/>
    <mergeCell ref="F1302:G1302"/>
    <mergeCell ref="F1303:G1303"/>
    <mergeCell ref="F1294:G1294"/>
    <mergeCell ref="F1295:G1295"/>
    <mergeCell ref="F1296:G1296"/>
    <mergeCell ref="F1297:G1297"/>
    <mergeCell ref="F1298:G1298"/>
    <mergeCell ref="F1289:G1289"/>
    <mergeCell ref="F1290:G1290"/>
    <mergeCell ref="F1291:G1291"/>
    <mergeCell ref="F1292:G1292"/>
    <mergeCell ref="F1293:G1293"/>
    <mergeCell ref="F1284:G1284"/>
    <mergeCell ref="F1285:G1285"/>
    <mergeCell ref="F1286:G1286"/>
    <mergeCell ref="F1287:G1287"/>
    <mergeCell ref="F1288:G1288"/>
    <mergeCell ref="F1279:G1279"/>
    <mergeCell ref="F1280:G1280"/>
    <mergeCell ref="F1281:G1281"/>
    <mergeCell ref="F1282:G1282"/>
    <mergeCell ref="F1283:G1283"/>
    <mergeCell ref="F1274:G1274"/>
    <mergeCell ref="F1275:G1275"/>
    <mergeCell ref="F1276:G1276"/>
    <mergeCell ref="F1277:G1277"/>
    <mergeCell ref="F1278:G1278"/>
    <mergeCell ref="F1269:G1269"/>
    <mergeCell ref="F1270:G1270"/>
    <mergeCell ref="F1271:G1271"/>
    <mergeCell ref="F1272:G1272"/>
    <mergeCell ref="F1273:G1273"/>
    <mergeCell ref="F1264:G1264"/>
    <mergeCell ref="F1265:G1265"/>
    <mergeCell ref="F1266:G1266"/>
    <mergeCell ref="F1267:G1267"/>
    <mergeCell ref="F1268:G1268"/>
    <mergeCell ref="F1259:G1259"/>
    <mergeCell ref="F1260:G1260"/>
    <mergeCell ref="F1261:G1261"/>
    <mergeCell ref="F1262:G1262"/>
    <mergeCell ref="F1263:G1263"/>
    <mergeCell ref="F1254:G1254"/>
    <mergeCell ref="F1255:G1255"/>
    <mergeCell ref="F1256:G1256"/>
    <mergeCell ref="F1257:G1257"/>
    <mergeCell ref="F1258:G1258"/>
    <mergeCell ref="F1249:G1249"/>
    <mergeCell ref="F1250:G1250"/>
    <mergeCell ref="F1251:G1251"/>
    <mergeCell ref="F1252:G1252"/>
    <mergeCell ref="F1253:G1253"/>
    <mergeCell ref="F1244:G1244"/>
    <mergeCell ref="F1245:G1245"/>
    <mergeCell ref="F1246:G1246"/>
    <mergeCell ref="F1247:G1247"/>
    <mergeCell ref="F1248:G1248"/>
    <mergeCell ref="F1239:G1239"/>
    <mergeCell ref="F1240:G1240"/>
    <mergeCell ref="F1241:G1241"/>
    <mergeCell ref="F1242:G1242"/>
    <mergeCell ref="F1243:G1243"/>
    <mergeCell ref="F1234:G1234"/>
    <mergeCell ref="F1235:G1235"/>
    <mergeCell ref="F1236:G1236"/>
    <mergeCell ref="F1237:G1237"/>
    <mergeCell ref="F1238:G1238"/>
    <mergeCell ref="F1229:G1229"/>
    <mergeCell ref="F1230:G1230"/>
    <mergeCell ref="F1231:G1231"/>
    <mergeCell ref="F1232:G1232"/>
    <mergeCell ref="F1233:G1233"/>
    <mergeCell ref="F1224:G1224"/>
    <mergeCell ref="F1225:G1225"/>
    <mergeCell ref="F1226:G1226"/>
    <mergeCell ref="F1227:G1227"/>
    <mergeCell ref="F1228:G1228"/>
    <mergeCell ref="F1219:G1219"/>
    <mergeCell ref="F1220:G1220"/>
    <mergeCell ref="F1221:G1221"/>
    <mergeCell ref="F1222:G1222"/>
    <mergeCell ref="F1223:G1223"/>
    <mergeCell ref="F1214:G1214"/>
    <mergeCell ref="F1215:G1215"/>
    <mergeCell ref="F1216:G1216"/>
    <mergeCell ref="F1217:G1217"/>
    <mergeCell ref="F1218:G1218"/>
    <mergeCell ref="F1209:G1209"/>
    <mergeCell ref="F1210:G1210"/>
    <mergeCell ref="F1211:G1211"/>
    <mergeCell ref="F1212:G1212"/>
    <mergeCell ref="F1213:G1213"/>
    <mergeCell ref="F1204:G1204"/>
    <mergeCell ref="F1205:G1205"/>
    <mergeCell ref="F1206:G1206"/>
    <mergeCell ref="F1207:G1207"/>
    <mergeCell ref="F1208:G1208"/>
    <mergeCell ref="F1199:G1199"/>
    <mergeCell ref="F1200:G1200"/>
    <mergeCell ref="F1201:G1201"/>
    <mergeCell ref="F1202:G1202"/>
    <mergeCell ref="F1203:G1203"/>
    <mergeCell ref="F1194:G1194"/>
    <mergeCell ref="F1195:G1195"/>
    <mergeCell ref="F1196:G1196"/>
    <mergeCell ref="F1197:G1197"/>
    <mergeCell ref="F1198:G1198"/>
    <mergeCell ref="F1189:G1189"/>
    <mergeCell ref="F1190:G1190"/>
    <mergeCell ref="F1191:G1191"/>
    <mergeCell ref="F1192:G1192"/>
    <mergeCell ref="F1193:G1193"/>
    <mergeCell ref="F1184:G1184"/>
    <mergeCell ref="F1185:G1185"/>
    <mergeCell ref="F1186:G1186"/>
    <mergeCell ref="F1187:G1187"/>
    <mergeCell ref="F1188:G1188"/>
    <mergeCell ref="F1179:G1179"/>
    <mergeCell ref="F1180:G1180"/>
    <mergeCell ref="F1181:G1181"/>
    <mergeCell ref="F1182:G1182"/>
    <mergeCell ref="F1183:G1183"/>
    <mergeCell ref="F1174:G1174"/>
    <mergeCell ref="F1175:G1175"/>
    <mergeCell ref="F1176:G1176"/>
    <mergeCell ref="F1177:G1177"/>
    <mergeCell ref="F1178:G1178"/>
    <mergeCell ref="F1169:G1169"/>
    <mergeCell ref="F1170:G1170"/>
    <mergeCell ref="F1171:G1171"/>
    <mergeCell ref="F1172:G1172"/>
    <mergeCell ref="F1173:G1173"/>
    <mergeCell ref="F1164:G1164"/>
    <mergeCell ref="F1165:G1165"/>
    <mergeCell ref="F1166:G1166"/>
    <mergeCell ref="F1167:G1167"/>
    <mergeCell ref="F1168:G1168"/>
    <mergeCell ref="F1159:G1159"/>
    <mergeCell ref="F1160:G1160"/>
    <mergeCell ref="F1161:G1161"/>
    <mergeCell ref="F1162:G1162"/>
    <mergeCell ref="F1163:G1163"/>
    <mergeCell ref="F1154:G1154"/>
    <mergeCell ref="F1155:G1155"/>
    <mergeCell ref="F1156:G1156"/>
    <mergeCell ref="F1157:G1157"/>
    <mergeCell ref="F1158:G1158"/>
    <mergeCell ref="F1149:G1149"/>
    <mergeCell ref="F1150:G1150"/>
    <mergeCell ref="F1151:G1151"/>
    <mergeCell ref="F1152:G1152"/>
    <mergeCell ref="F1153:G1153"/>
    <mergeCell ref="F1144:G1144"/>
    <mergeCell ref="F1145:G1145"/>
    <mergeCell ref="F1146:G1146"/>
    <mergeCell ref="F1147:G1147"/>
    <mergeCell ref="F1148:G1148"/>
    <mergeCell ref="F1139:G1139"/>
    <mergeCell ref="F1140:G1140"/>
    <mergeCell ref="F1141:G1141"/>
    <mergeCell ref="F1142:G1142"/>
    <mergeCell ref="F1143:G1143"/>
    <mergeCell ref="F1134:G1134"/>
    <mergeCell ref="F1135:G1135"/>
    <mergeCell ref="F1136:G1136"/>
    <mergeCell ref="F1137:G1137"/>
    <mergeCell ref="F1138:G1138"/>
    <mergeCell ref="F1129:G1129"/>
    <mergeCell ref="F1130:G1130"/>
    <mergeCell ref="F1131:G1131"/>
    <mergeCell ref="F1132:G1132"/>
    <mergeCell ref="F1133:G1133"/>
    <mergeCell ref="F1124:G1124"/>
    <mergeCell ref="F1125:G1125"/>
    <mergeCell ref="F1126:G1126"/>
    <mergeCell ref="F1127:G1127"/>
    <mergeCell ref="F1128:G1128"/>
    <mergeCell ref="F1119:G1119"/>
    <mergeCell ref="F1120:G1120"/>
    <mergeCell ref="F1121:G1121"/>
    <mergeCell ref="F1122:G1122"/>
    <mergeCell ref="F1123:G1123"/>
    <mergeCell ref="F1114:G1114"/>
    <mergeCell ref="F1115:G1115"/>
    <mergeCell ref="F1116:G1116"/>
    <mergeCell ref="F1117:G1117"/>
    <mergeCell ref="F1118:G1118"/>
    <mergeCell ref="F1109:G1109"/>
    <mergeCell ref="F1110:G1110"/>
    <mergeCell ref="F1111:G1111"/>
    <mergeCell ref="F1112:G1112"/>
    <mergeCell ref="F1113:G1113"/>
    <mergeCell ref="F1104:G1104"/>
    <mergeCell ref="F1105:G1105"/>
    <mergeCell ref="F1106:G1106"/>
    <mergeCell ref="F1107:G1107"/>
    <mergeCell ref="F1108:G1108"/>
    <mergeCell ref="F1099:G1099"/>
    <mergeCell ref="F1100:G1100"/>
    <mergeCell ref="F1101:G1101"/>
    <mergeCell ref="F1102:G1102"/>
    <mergeCell ref="F1103:G1103"/>
    <mergeCell ref="F1094:G1094"/>
    <mergeCell ref="F1095:G1095"/>
    <mergeCell ref="F1096:G1096"/>
    <mergeCell ref="F1097:G1097"/>
    <mergeCell ref="F1098:G1098"/>
    <mergeCell ref="F1089:G1089"/>
    <mergeCell ref="F1090:G1090"/>
    <mergeCell ref="F1091:G1091"/>
    <mergeCell ref="F1092:G1092"/>
    <mergeCell ref="F1093:G1093"/>
    <mergeCell ref="F1084:G1084"/>
    <mergeCell ref="F1085:G1085"/>
    <mergeCell ref="F1086:G1086"/>
    <mergeCell ref="F1087:G1087"/>
    <mergeCell ref="F1088:G1088"/>
    <mergeCell ref="F1079:G1079"/>
    <mergeCell ref="F1080:G1080"/>
    <mergeCell ref="F1081:G1081"/>
    <mergeCell ref="F1082:G1082"/>
    <mergeCell ref="F1083:G1083"/>
    <mergeCell ref="F1074:G1074"/>
    <mergeCell ref="F1075:G1075"/>
    <mergeCell ref="F1076:G1076"/>
    <mergeCell ref="F1077:G1077"/>
    <mergeCell ref="F1078:G1078"/>
    <mergeCell ref="F1069:G1069"/>
    <mergeCell ref="F1070:G1070"/>
    <mergeCell ref="F1071:G1071"/>
    <mergeCell ref="F1072:G1072"/>
    <mergeCell ref="F1073:G1073"/>
    <mergeCell ref="F1064:G1064"/>
    <mergeCell ref="F1065:G1065"/>
    <mergeCell ref="F1066:G1066"/>
    <mergeCell ref="F1067:G1067"/>
    <mergeCell ref="F1068:G1068"/>
    <mergeCell ref="F1059:G1059"/>
    <mergeCell ref="F1060:G1060"/>
    <mergeCell ref="F1061:G1061"/>
    <mergeCell ref="F1062:G1062"/>
    <mergeCell ref="F1063:G1063"/>
    <mergeCell ref="F1054:G1054"/>
    <mergeCell ref="F1055:G1055"/>
    <mergeCell ref="F1056:G1056"/>
    <mergeCell ref="F1057:G1057"/>
    <mergeCell ref="F1058:G1058"/>
    <mergeCell ref="F1049:G1049"/>
    <mergeCell ref="F1050:G1050"/>
    <mergeCell ref="F1051:G1051"/>
    <mergeCell ref="F1052:G1052"/>
    <mergeCell ref="F1053:G1053"/>
    <mergeCell ref="F1044:G1044"/>
    <mergeCell ref="F1045:G1045"/>
    <mergeCell ref="F1046:G1046"/>
    <mergeCell ref="F1047:G1047"/>
    <mergeCell ref="F1048:G1048"/>
    <mergeCell ref="F1039:G1039"/>
    <mergeCell ref="F1040:G1040"/>
    <mergeCell ref="F1041:G1041"/>
    <mergeCell ref="F1042:G1042"/>
    <mergeCell ref="F1043:G1043"/>
    <mergeCell ref="F1034:G1034"/>
    <mergeCell ref="F1035:G1035"/>
    <mergeCell ref="F1036:G1036"/>
    <mergeCell ref="F1037:G1037"/>
    <mergeCell ref="F1038:G1038"/>
    <mergeCell ref="F1029:G1029"/>
    <mergeCell ref="F1030:G1030"/>
    <mergeCell ref="F1031:G1031"/>
    <mergeCell ref="F1032:G1032"/>
    <mergeCell ref="F1033:G1033"/>
    <mergeCell ref="F1024:G1024"/>
    <mergeCell ref="F1025:G1025"/>
    <mergeCell ref="F1026:G1026"/>
    <mergeCell ref="F1027:G1027"/>
    <mergeCell ref="F1028:G1028"/>
    <mergeCell ref="F1019:G1019"/>
    <mergeCell ref="F1020:G1020"/>
    <mergeCell ref="F1021:G1021"/>
    <mergeCell ref="F1022:G1022"/>
    <mergeCell ref="F1023:G1023"/>
    <mergeCell ref="F1014:G1014"/>
    <mergeCell ref="F1015:G1015"/>
    <mergeCell ref="F1016:G1016"/>
    <mergeCell ref="F1017:G1017"/>
    <mergeCell ref="F1018:G1018"/>
    <mergeCell ref="F1009:G1009"/>
    <mergeCell ref="F1010:G1010"/>
    <mergeCell ref="F1011:G1011"/>
    <mergeCell ref="F1012:G1012"/>
    <mergeCell ref="F1013:G1013"/>
    <mergeCell ref="F1004:G1004"/>
    <mergeCell ref="F1005:G1005"/>
    <mergeCell ref="F1006:G1006"/>
    <mergeCell ref="F1007:G1007"/>
    <mergeCell ref="F1008:G1008"/>
    <mergeCell ref="F999:G999"/>
    <mergeCell ref="F1000:G1000"/>
    <mergeCell ref="F1001:G1001"/>
    <mergeCell ref="F1002:G1002"/>
    <mergeCell ref="F1003:G1003"/>
    <mergeCell ref="F994:G994"/>
    <mergeCell ref="F995:G995"/>
    <mergeCell ref="F996:G996"/>
    <mergeCell ref="F997:G997"/>
    <mergeCell ref="F998:G998"/>
    <mergeCell ref="F989:G989"/>
    <mergeCell ref="F990:G990"/>
    <mergeCell ref="F991:G991"/>
    <mergeCell ref="F992:G992"/>
    <mergeCell ref="F993:G993"/>
    <mergeCell ref="F984:G984"/>
    <mergeCell ref="F985:G985"/>
    <mergeCell ref="F986:G986"/>
    <mergeCell ref="F987:G987"/>
    <mergeCell ref="F988:G988"/>
    <mergeCell ref="F979:G979"/>
    <mergeCell ref="F980:G980"/>
    <mergeCell ref="F981:G981"/>
    <mergeCell ref="F982:G982"/>
    <mergeCell ref="F983:G983"/>
    <mergeCell ref="F974:G974"/>
    <mergeCell ref="F975:G975"/>
    <mergeCell ref="F976:G976"/>
    <mergeCell ref="F977:G977"/>
    <mergeCell ref="F978:G978"/>
    <mergeCell ref="F969:G969"/>
    <mergeCell ref="F970:G970"/>
    <mergeCell ref="F971:G971"/>
    <mergeCell ref="F972:G972"/>
    <mergeCell ref="F973:G973"/>
    <mergeCell ref="F964:G964"/>
    <mergeCell ref="F965:G965"/>
    <mergeCell ref="F966:G966"/>
    <mergeCell ref="F967:G967"/>
    <mergeCell ref="F968:G968"/>
    <mergeCell ref="F959:G959"/>
    <mergeCell ref="F960:G960"/>
    <mergeCell ref="F961:G961"/>
    <mergeCell ref="F962:G962"/>
    <mergeCell ref="F963:G963"/>
    <mergeCell ref="F954:G954"/>
    <mergeCell ref="F955:G955"/>
    <mergeCell ref="F956:G956"/>
    <mergeCell ref="F957:G957"/>
    <mergeCell ref="F958:G958"/>
    <mergeCell ref="F949:G949"/>
    <mergeCell ref="F950:G950"/>
    <mergeCell ref="F951:G951"/>
    <mergeCell ref="F952:G952"/>
    <mergeCell ref="F953:G953"/>
    <mergeCell ref="F944:G944"/>
    <mergeCell ref="F945:G945"/>
    <mergeCell ref="F946:G946"/>
    <mergeCell ref="F947:G947"/>
    <mergeCell ref="F948:G948"/>
    <mergeCell ref="F939:G939"/>
    <mergeCell ref="F940:G940"/>
    <mergeCell ref="F941:G941"/>
    <mergeCell ref="F942:G942"/>
    <mergeCell ref="F943:G943"/>
    <mergeCell ref="F934:G934"/>
    <mergeCell ref="F935:G935"/>
    <mergeCell ref="F936:G936"/>
    <mergeCell ref="F937:G937"/>
    <mergeCell ref="F938:G938"/>
    <mergeCell ref="F929:G929"/>
    <mergeCell ref="F930:G930"/>
    <mergeCell ref="F931:G931"/>
    <mergeCell ref="F932:G932"/>
    <mergeCell ref="F933:G933"/>
    <mergeCell ref="F924:G924"/>
    <mergeCell ref="F925:G925"/>
    <mergeCell ref="F926:G926"/>
    <mergeCell ref="F927:G927"/>
    <mergeCell ref="F928:G928"/>
    <mergeCell ref="F919:G919"/>
    <mergeCell ref="F920:G920"/>
    <mergeCell ref="F921:G921"/>
    <mergeCell ref="F922:G922"/>
    <mergeCell ref="F923:G923"/>
    <mergeCell ref="F914:G914"/>
    <mergeCell ref="F915:G915"/>
    <mergeCell ref="F916:G916"/>
    <mergeCell ref="F917:G917"/>
    <mergeCell ref="F918:G918"/>
    <mergeCell ref="F909:G909"/>
    <mergeCell ref="F910:G910"/>
    <mergeCell ref="F911:G911"/>
    <mergeCell ref="F912:G912"/>
    <mergeCell ref="F913:G913"/>
    <mergeCell ref="F904:G904"/>
    <mergeCell ref="F905:G905"/>
    <mergeCell ref="F906:G906"/>
    <mergeCell ref="F907:G907"/>
    <mergeCell ref="F908:G908"/>
    <mergeCell ref="F899:G899"/>
    <mergeCell ref="F900:G900"/>
    <mergeCell ref="F901:G901"/>
    <mergeCell ref="F902:G902"/>
    <mergeCell ref="F903:G903"/>
    <mergeCell ref="F894:G894"/>
    <mergeCell ref="F895:G895"/>
    <mergeCell ref="F896:G896"/>
    <mergeCell ref="F897:G897"/>
    <mergeCell ref="F898:G898"/>
    <mergeCell ref="F889:G889"/>
    <mergeCell ref="F890:G890"/>
    <mergeCell ref="F891:G891"/>
    <mergeCell ref="F892:G892"/>
    <mergeCell ref="F893:G893"/>
    <mergeCell ref="F884:G884"/>
    <mergeCell ref="F885:G885"/>
    <mergeCell ref="F886:G886"/>
    <mergeCell ref="F887:G887"/>
    <mergeCell ref="F888:G888"/>
    <mergeCell ref="F879:G879"/>
    <mergeCell ref="F880:G880"/>
    <mergeCell ref="F881:G881"/>
    <mergeCell ref="F882:G882"/>
    <mergeCell ref="F883:G883"/>
    <mergeCell ref="F874:G874"/>
    <mergeCell ref="F875:G875"/>
    <mergeCell ref="F876:G876"/>
    <mergeCell ref="F877:G877"/>
    <mergeCell ref="F878:G878"/>
    <mergeCell ref="F869:G869"/>
    <mergeCell ref="F870:G870"/>
    <mergeCell ref="F871:G871"/>
    <mergeCell ref="F872:G872"/>
    <mergeCell ref="F873:G873"/>
    <mergeCell ref="F864:G864"/>
    <mergeCell ref="F865:G865"/>
    <mergeCell ref="F866:G866"/>
    <mergeCell ref="F867:G867"/>
    <mergeCell ref="F868:G868"/>
    <mergeCell ref="F859:G859"/>
    <mergeCell ref="F860:G860"/>
    <mergeCell ref="F861:G861"/>
    <mergeCell ref="F862:G862"/>
    <mergeCell ref="F863:G863"/>
    <mergeCell ref="F854:G854"/>
    <mergeCell ref="F855:G855"/>
    <mergeCell ref="F856:G856"/>
    <mergeCell ref="F857:G857"/>
    <mergeCell ref="F858:G858"/>
    <mergeCell ref="F849:G849"/>
    <mergeCell ref="F850:G850"/>
    <mergeCell ref="F851:G851"/>
    <mergeCell ref="F852:G852"/>
    <mergeCell ref="F853:G853"/>
    <mergeCell ref="F844:G844"/>
    <mergeCell ref="F845:G845"/>
    <mergeCell ref="F846:G846"/>
    <mergeCell ref="F847:G847"/>
    <mergeCell ref="F848:G848"/>
    <mergeCell ref="F839:G839"/>
    <mergeCell ref="F840:G840"/>
    <mergeCell ref="F841:G841"/>
    <mergeCell ref="F842:G842"/>
    <mergeCell ref="F843:G843"/>
    <mergeCell ref="F834:G834"/>
    <mergeCell ref="F835:G835"/>
    <mergeCell ref="F836:G836"/>
    <mergeCell ref="F837:G837"/>
    <mergeCell ref="F838:G838"/>
    <mergeCell ref="F829:G829"/>
    <mergeCell ref="F830:G830"/>
    <mergeCell ref="F831:G831"/>
    <mergeCell ref="F832:G832"/>
    <mergeCell ref="F833:G833"/>
    <mergeCell ref="F824:G824"/>
    <mergeCell ref="F825:G825"/>
    <mergeCell ref="F826:G826"/>
    <mergeCell ref="F827:G827"/>
    <mergeCell ref="F828:G828"/>
    <mergeCell ref="F819:G819"/>
    <mergeCell ref="F820:G820"/>
    <mergeCell ref="F821:G821"/>
    <mergeCell ref="F822:G822"/>
    <mergeCell ref="F823:G823"/>
    <mergeCell ref="F814:G814"/>
    <mergeCell ref="F815:G815"/>
    <mergeCell ref="F816:G816"/>
    <mergeCell ref="F817:G817"/>
    <mergeCell ref="F818:G818"/>
    <mergeCell ref="F809:G809"/>
    <mergeCell ref="F810:G810"/>
    <mergeCell ref="F811:G811"/>
    <mergeCell ref="F812:G812"/>
    <mergeCell ref="F813:G813"/>
    <mergeCell ref="F804:G804"/>
    <mergeCell ref="F805:G805"/>
    <mergeCell ref="F806:G806"/>
    <mergeCell ref="F807:G807"/>
    <mergeCell ref="F808:G808"/>
    <mergeCell ref="F799:G799"/>
    <mergeCell ref="F800:G800"/>
    <mergeCell ref="F801:G801"/>
    <mergeCell ref="F802:G802"/>
    <mergeCell ref="F803:G803"/>
    <mergeCell ref="F794:G794"/>
    <mergeCell ref="F795:G795"/>
    <mergeCell ref="F796:G796"/>
    <mergeCell ref="F797:G797"/>
    <mergeCell ref="F798:G798"/>
    <mergeCell ref="F789:G789"/>
    <mergeCell ref="F790:G790"/>
    <mergeCell ref="F791:G791"/>
    <mergeCell ref="F792:G792"/>
    <mergeCell ref="F793:G793"/>
    <mergeCell ref="F784:G784"/>
    <mergeCell ref="F785:G785"/>
    <mergeCell ref="F786:G786"/>
    <mergeCell ref="F787:G787"/>
    <mergeCell ref="F788:G788"/>
    <mergeCell ref="F779:G779"/>
    <mergeCell ref="F780:G780"/>
    <mergeCell ref="F781:G781"/>
    <mergeCell ref="F782:G782"/>
    <mergeCell ref="F783:G783"/>
    <mergeCell ref="F774:G774"/>
    <mergeCell ref="F775:G775"/>
    <mergeCell ref="F776:G776"/>
    <mergeCell ref="F777:G777"/>
    <mergeCell ref="F778:G778"/>
    <mergeCell ref="F769:G769"/>
    <mergeCell ref="F770:G770"/>
    <mergeCell ref="F771:G771"/>
    <mergeCell ref="F772:G772"/>
    <mergeCell ref="F773:G773"/>
    <mergeCell ref="F764:G764"/>
    <mergeCell ref="F765:G765"/>
    <mergeCell ref="F766:G766"/>
    <mergeCell ref="F767:G767"/>
    <mergeCell ref="F768:G768"/>
    <mergeCell ref="F759:G759"/>
    <mergeCell ref="F760:G760"/>
    <mergeCell ref="F761:G761"/>
    <mergeCell ref="F762:G762"/>
    <mergeCell ref="F763:G763"/>
    <mergeCell ref="F754:G754"/>
    <mergeCell ref="F755:G755"/>
    <mergeCell ref="F756:G756"/>
    <mergeCell ref="F757:G757"/>
    <mergeCell ref="F758:G758"/>
    <mergeCell ref="F749:G749"/>
    <mergeCell ref="F750:G750"/>
    <mergeCell ref="F751:G751"/>
    <mergeCell ref="F752:G752"/>
    <mergeCell ref="F753:G753"/>
    <mergeCell ref="F744:G744"/>
    <mergeCell ref="F745:G745"/>
    <mergeCell ref="F746:G746"/>
    <mergeCell ref="F747:G747"/>
    <mergeCell ref="F748:G748"/>
    <mergeCell ref="F739:G739"/>
    <mergeCell ref="F740:G740"/>
    <mergeCell ref="F741:G741"/>
    <mergeCell ref="F742:G742"/>
    <mergeCell ref="F743:G743"/>
    <mergeCell ref="F734:G734"/>
    <mergeCell ref="F735:G735"/>
    <mergeCell ref="F736:G736"/>
    <mergeCell ref="F737:G737"/>
    <mergeCell ref="F738:G738"/>
    <mergeCell ref="F729:G729"/>
    <mergeCell ref="F730:G730"/>
    <mergeCell ref="F731:G731"/>
    <mergeCell ref="F732:G732"/>
    <mergeCell ref="F733:G733"/>
    <mergeCell ref="F724:G724"/>
    <mergeCell ref="F725:G725"/>
    <mergeCell ref="F726:G726"/>
    <mergeCell ref="F727:G727"/>
    <mergeCell ref="F728:G728"/>
    <mergeCell ref="F719:G719"/>
    <mergeCell ref="F720:G720"/>
    <mergeCell ref="F721:G721"/>
    <mergeCell ref="F722:G722"/>
    <mergeCell ref="F723:G723"/>
    <mergeCell ref="F714:G714"/>
    <mergeCell ref="F715:G715"/>
    <mergeCell ref="F716:G716"/>
    <mergeCell ref="F717:G717"/>
    <mergeCell ref="F718:G718"/>
    <mergeCell ref="F709:G709"/>
    <mergeCell ref="F710:G710"/>
    <mergeCell ref="F711:G711"/>
    <mergeCell ref="F712:G712"/>
    <mergeCell ref="F713:G713"/>
    <mergeCell ref="F704:G704"/>
    <mergeCell ref="F705:G705"/>
    <mergeCell ref="F706:G706"/>
    <mergeCell ref="F707:G707"/>
    <mergeCell ref="F708:G708"/>
    <mergeCell ref="F699:G699"/>
    <mergeCell ref="F700:G700"/>
    <mergeCell ref="F701:G701"/>
    <mergeCell ref="F702:G702"/>
    <mergeCell ref="F703:G703"/>
    <mergeCell ref="F694:G694"/>
    <mergeCell ref="F695:G695"/>
    <mergeCell ref="F696:G696"/>
    <mergeCell ref="F697:G697"/>
    <mergeCell ref="F698:G698"/>
    <mergeCell ref="F689:G689"/>
    <mergeCell ref="F690:G690"/>
    <mergeCell ref="F691:G691"/>
    <mergeCell ref="F692:G692"/>
    <mergeCell ref="F693:G693"/>
    <mergeCell ref="F684:G684"/>
    <mergeCell ref="F685:G685"/>
    <mergeCell ref="F686:G686"/>
    <mergeCell ref="F687:G687"/>
    <mergeCell ref="F688:G688"/>
    <mergeCell ref="F679:G679"/>
    <mergeCell ref="F680:G680"/>
    <mergeCell ref="F681:G681"/>
    <mergeCell ref="F682:G682"/>
    <mergeCell ref="F683:G683"/>
    <mergeCell ref="F674:G674"/>
    <mergeCell ref="F675:G675"/>
    <mergeCell ref="F676:G676"/>
    <mergeCell ref="F677:G677"/>
    <mergeCell ref="F678:G678"/>
    <mergeCell ref="F669:G669"/>
    <mergeCell ref="F670:G670"/>
    <mergeCell ref="F671:G671"/>
    <mergeCell ref="F672:G672"/>
    <mergeCell ref="F673:G673"/>
    <mergeCell ref="F664:G664"/>
    <mergeCell ref="F665:G665"/>
    <mergeCell ref="F666:G666"/>
    <mergeCell ref="F667:G667"/>
    <mergeCell ref="F668:G668"/>
    <mergeCell ref="F659:G659"/>
    <mergeCell ref="F660:G660"/>
    <mergeCell ref="F661:G661"/>
    <mergeCell ref="F662:G662"/>
    <mergeCell ref="F663:G663"/>
    <mergeCell ref="F654:G654"/>
    <mergeCell ref="F655:G655"/>
    <mergeCell ref="F656:G656"/>
    <mergeCell ref="F657:G657"/>
    <mergeCell ref="F658:G658"/>
    <mergeCell ref="F649:G649"/>
    <mergeCell ref="F650:G650"/>
    <mergeCell ref="F651:G651"/>
    <mergeCell ref="F652:G652"/>
    <mergeCell ref="F653:G653"/>
    <mergeCell ref="F644:G644"/>
    <mergeCell ref="F645:G645"/>
    <mergeCell ref="F646:G646"/>
    <mergeCell ref="F647:G647"/>
    <mergeCell ref="F648:G648"/>
    <mergeCell ref="F639:G639"/>
    <mergeCell ref="F640:G640"/>
    <mergeCell ref="F641:G641"/>
    <mergeCell ref="F642:G642"/>
    <mergeCell ref="F643:G643"/>
    <mergeCell ref="F634:G634"/>
    <mergeCell ref="F635:G635"/>
    <mergeCell ref="F636:G636"/>
    <mergeCell ref="F637:G637"/>
    <mergeCell ref="F638:G638"/>
    <mergeCell ref="F629:G629"/>
    <mergeCell ref="F630:G630"/>
    <mergeCell ref="F631:G631"/>
    <mergeCell ref="F632:G632"/>
    <mergeCell ref="F633:G633"/>
    <mergeCell ref="F624:G624"/>
    <mergeCell ref="F625:G625"/>
    <mergeCell ref="F626:G626"/>
    <mergeCell ref="F627:G627"/>
    <mergeCell ref="F628:G628"/>
    <mergeCell ref="F619:G619"/>
    <mergeCell ref="F620:G620"/>
    <mergeCell ref="F621:G621"/>
    <mergeCell ref="F622:G622"/>
    <mergeCell ref="F623:G623"/>
    <mergeCell ref="F614:G614"/>
    <mergeCell ref="F615:G615"/>
    <mergeCell ref="F616:G616"/>
    <mergeCell ref="F617:G617"/>
    <mergeCell ref="F618:G618"/>
    <mergeCell ref="F609:G609"/>
    <mergeCell ref="F610:G610"/>
    <mergeCell ref="F611:G611"/>
    <mergeCell ref="F612:G612"/>
    <mergeCell ref="F613:G613"/>
    <mergeCell ref="F604:G604"/>
    <mergeCell ref="F605:G605"/>
    <mergeCell ref="F606:G606"/>
    <mergeCell ref="F607:G607"/>
    <mergeCell ref="F608:G608"/>
    <mergeCell ref="F599:G599"/>
    <mergeCell ref="F600:G600"/>
    <mergeCell ref="F601:G601"/>
    <mergeCell ref="F602:G602"/>
    <mergeCell ref="F603:G603"/>
    <mergeCell ref="F594:G594"/>
    <mergeCell ref="F595:G595"/>
    <mergeCell ref="F596:G596"/>
    <mergeCell ref="F597:G597"/>
    <mergeCell ref="F598:G598"/>
    <mergeCell ref="F589:G589"/>
    <mergeCell ref="F590:G590"/>
    <mergeCell ref="F591:G591"/>
    <mergeCell ref="F592:G592"/>
    <mergeCell ref="F593:G593"/>
    <mergeCell ref="F584:G584"/>
    <mergeCell ref="F585:G585"/>
    <mergeCell ref="F586:G586"/>
    <mergeCell ref="F587:G587"/>
    <mergeCell ref="F588:G588"/>
    <mergeCell ref="F579:G579"/>
    <mergeCell ref="F580:G580"/>
    <mergeCell ref="F581:G581"/>
    <mergeCell ref="F582:G582"/>
    <mergeCell ref="F583:G583"/>
    <mergeCell ref="F574:G574"/>
    <mergeCell ref="F575:G575"/>
    <mergeCell ref="F576:G576"/>
    <mergeCell ref="F577:G577"/>
    <mergeCell ref="F578:G578"/>
    <mergeCell ref="F569:G569"/>
    <mergeCell ref="F570:G570"/>
    <mergeCell ref="F571:G571"/>
    <mergeCell ref="F572:G572"/>
    <mergeCell ref="F573:G573"/>
    <mergeCell ref="F564:G564"/>
    <mergeCell ref="F565:G565"/>
    <mergeCell ref="F566:G566"/>
    <mergeCell ref="F567:G567"/>
    <mergeCell ref="F568:G568"/>
    <mergeCell ref="F559:G559"/>
    <mergeCell ref="F560:G560"/>
    <mergeCell ref="F561:G561"/>
    <mergeCell ref="F562:G562"/>
    <mergeCell ref="F563:G563"/>
    <mergeCell ref="F554:G554"/>
    <mergeCell ref="F555:G555"/>
    <mergeCell ref="F556:G556"/>
    <mergeCell ref="F557:G557"/>
    <mergeCell ref="F558:G558"/>
    <mergeCell ref="F549:G549"/>
    <mergeCell ref="F550:G550"/>
    <mergeCell ref="F551:G551"/>
    <mergeCell ref="F552:G552"/>
    <mergeCell ref="F553:G553"/>
    <mergeCell ref="F544:G544"/>
    <mergeCell ref="F545:G545"/>
    <mergeCell ref="F546:G546"/>
    <mergeCell ref="F547:G547"/>
    <mergeCell ref="F548:G548"/>
    <mergeCell ref="F539:G539"/>
    <mergeCell ref="F540:G540"/>
    <mergeCell ref="F541:G541"/>
    <mergeCell ref="F542:G542"/>
    <mergeCell ref="F543:G543"/>
    <mergeCell ref="F534:G534"/>
    <mergeCell ref="F535:G535"/>
    <mergeCell ref="F536:G536"/>
    <mergeCell ref="F537:G537"/>
    <mergeCell ref="F538:G538"/>
    <mergeCell ref="F529:G529"/>
    <mergeCell ref="F530:G530"/>
    <mergeCell ref="F531:G531"/>
    <mergeCell ref="F532:G532"/>
    <mergeCell ref="F533:G533"/>
    <mergeCell ref="F524:G524"/>
    <mergeCell ref="F525:G525"/>
    <mergeCell ref="F526:G526"/>
    <mergeCell ref="F527:G527"/>
    <mergeCell ref="F528:G528"/>
    <mergeCell ref="F519:G519"/>
    <mergeCell ref="F520:G520"/>
    <mergeCell ref="F521:G521"/>
    <mergeCell ref="F522:G522"/>
    <mergeCell ref="F523:G523"/>
    <mergeCell ref="F514:G514"/>
    <mergeCell ref="F515:G515"/>
    <mergeCell ref="F516:G516"/>
    <mergeCell ref="F517:G517"/>
    <mergeCell ref="F518:G518"/>
    <mergeCell ref="F509:G509"/>
    <mergeCell ref="F510:G510"/>
    <mergeCell ref="F511:G511"/>
    <mergeCell ref="F512:G512"/>
    <mergeCell ref="F513:G513"/>
    <mergeCell ref="F504:G504"/>
    <mergeCell ref="F505:G505"/>
    <mergeCell ref="F506:G506"/>
    <mergeCell ref="F507:G507"/>
    <mergeCell ref="F508:G508"/>
    <mergeCell ref="F499:G499"/>
    <mergeCell ref="F500:G500"/>
    <mergeCell ref="F501:G501"/>
    <mergeCell ref="F502:G502"/>
    <mergeCell ref="F503:G503"/>
    <mergeCell ref="F494:G494"/>
    <mergeCell ref="F495:G495"/>
    <mergeCell ref="F496:G496"/>
    <mergeCell ref="F497:G497"/>
    <mergeCell ref="F498:G498"/>
    <mergeCell ref="F489:G489"/>
    <mergeCell ref="F490:G490"/>
    <mergeCell ref="F491:G491"/>
    <mergeCell ref="F492:G492"/>
    <mergeCell ref="F493:G493"/>
    <mergeCell ref="F484:G484"/>
    <mergeCell ref="F485:G485"/>
    <mergeCell ref="F486:G486"/>
    <mergeCell ref="F487:G487"/>
    <mergeCell ref="F488:G488"/>
    <mergeCell ref="F479:G479"/>
    <mergeCell ref="F480:G480"/>
    <mergeCell ref="F481:G481"/>
    <mergeCell ref="F482:G482"/>
    <mergeCell ref="F483:G483"/>
    <mergeCell ref="F474:G474"/>
    <mergeCell ref="F475:G475"/>
    <mergeCell ref="F476:G476"/>
    <mergeCell ref="F477:G477"/>
    <mergeCell ref="F478:G478"/>
    <mergeCell ref="F469:G469"/>
    <mergeCell ref="F470:G470"/>
    <mergeCell ref="F471:G471"/>
    <mergeCell ref="F472:G472"/>
    <mergeCell ref="F473:G473"/>
    <mergeCell ref="F464:G464"/>
    <mergeCell ref="F465:G465"/>
    <mergeCell ref="F466:G466"/>
    <mergeCell ref="F467:G467"/>
    <mergeCell ref="F468:G468"/>
    <mergeCell ref="F459:G459"/>
    <mergeCell ref="F460:G460"/>
    <mergeCell ref="F461:G461"/>
    <mergeCell ref="F462:G462"/>
    <mergeCell ref="F463:G463"/>
    <mergeCell ref="F454:G454"/>
    <mergeCell ref="F455:G455"/>
    <mergeCell ref="F456:G456"/>
    <mergeCell ref="F457:G457"/>
    <mergeCell ref="F458:G458"/>
    <mergeCell ref="F449:G449"/>
    <mergeCell ref="F450:G450"/>
    <mergeCell ref="F451:G451"/>
    <mergeCell ref="F452:G452"/>
    <mergeCell ref="F453:G453"/>
    <mergeCell ref="F444:G444"/>
    <mergeCell ref="F445:G445"/>
    <mergeCell ref="F446:G446"/>
    <mergeCell ref="F447:G447"/>
    <mergeCell ref="F448:G448"/>
    <mergeCell ref="F439:G439"/>
    <mergeCell ref="F440:G440"/>
    <mergeCell ref="F441:G441"/>
    <mergeCell ref="F442:G442"/>
    <mergeCell ref="F443:G443"/>
    <mergeCell ref="F434:G434"/>
    <mergeCell ref="F435:G435"/>
    <mergeCell ref="F436:G436"/>
    <mergeCell ref="F437:G437"/>
    <mergeCell ref="F438:G438"/>
    <mergeCell ref="F429:G429"/>
    <mergeCell ref="F430:G430"/>
    <mergeCell ref="F431:G431"/>
    <mergeCell ref="F432:G432"/>
    <mergeCell ref="F433:G433"/>
    <mergeCell ref="F424:G424"/>
    <mergeCell ref="F425:G425"/>
    <mergeCell ref="F426:G426"/>
    <mergeCell ref="F427:G427"/>
    <mergeCell ref="F428:G428"/>
    <mergeCell ref="F419:G419"/>
    <mergeCell ref="F420:G420"/>
    <mergeCell ref="F421:G421"/>
    <mergeCell ref="F422:G422"/>
    <mergeCell ref="F423:G423"/>
    <mergeCell ref="F414:G414"/>
    <mergeCell ref="F415:G415"/>
    <mergeCell ref="F416:G416"/>
    <mergeCell ref="F417:G417"/>
    <mergeCell ref="F418:G418"/>
    <mergeCell ref="F409:G409"/>
    <mergeCell ref="F410:G410"/>
    <mergeCell ref="F411:G411"/>
    <mergeCell ref="F412:G412"/>
    <mergeCell ref="F413:G413"/>
    <mergeCell ref="F404:G404"/>
    <mergeCell ref="F405:G405"/>
    <mergeCell ref="F406:G406"/>
    <mergeCell ref="F407:G407"/>
    <mergeCell ref="F408:G408"/>
    <mergeCell ref="F399:G399"/>
    <mergeCell ref="F400:G400"/>
    <mergeCell ref="F401:G401"/>
    <mergeCell ref="F402:G402"/>
    <mergeCell ref="F403:G403"/>
    <mergeCell ref="F394:G394"/>
    <mergeCell ref="F395:G395"/>
    <mergeCell ref="F396:G396"/>
    <mergeCell ref="F397:G397"/>
    <mergeCell ref="F398:G398"/>
    <mergeCell ref="F389:G389"/>
    <mergeCell ref="F390:G390"/>
    <mergeCell ref="F391:G391"/>
    <mergeCell ref="F392:G392"/>
    <mergeCell ref="F393:G393"/>
    <mergeCell ref="F384:G384"/>
    <mergeCell ref="F385:G385"/>
    <mergeCell ref="F386:G386"/>
    <mergeCell ref="F387:G387"/>
    <mergeCell ref="F388:G388"/>
    <mergeCell ref="F379:G379"/>
    <mergeCell ref="F380:G380"/>
    <mergeCell ref="F381:G381"/>
    <mergeCell ref="F382:G382"/>
    <mergeCell ref="F383:G383"/>
    <mergeCell ref="F374:G374"/>
    <mergeCell ref="F375:G375"/>
    <mergeCell ref="F376:G376"/>
    <mergeCell ref="F377:G377"/>
    <mergeCell ref="F378:G378"/>
    <mergeCell ref="F369:G369"/>
    <mergeCell ref="F370:G370"/>
    <mergeCell ref="F371:G371"/>
    <mergeCell ref="F372:G372"/>
    <mergeCell ref="F373:G373"/>
    <mergeCell ref="F364:G364"/>
    <mergeCell ref="F365:G365"/>
    <mergeCell ref="F366:G366"/>
    <mergeCell ref="F367:G367"/>
    <mergeCell ref="F368:G368"/>
    <mergeCell ref="F359:G359"/>
    <mergeCell ref="F360:G360"/>
    <mergeCell ref="F361:G361"/>
    <mergeCell ref="F362:G362"/>
    <mergeCell ref="F363:G363"/>
    <mergeCell ref="F354:G354"/>
    <mergeCell ref="F355:G355"/>
    <mergeCell ref="F356:G356"/>
    <mergeCell ref="F357:G357"/>
    <mergeCell ref="F358:G358"/>
    <mergeCell ref="F349:G349"/>
    <mergeCell ref="F350:G350"/>
    <mergeCell ref="F351:G351"/>
    <mergeCell ref="F352:G352"/>
    <mergeCell ref="F353:G353"/>
    <mergeCell ref="F344:G344"/>
    <mergeCell ref="F345:G345"/>
    <mergeCell ref="F346:G346"/>
    <mergeCell ref="F347:G347"/>
    <mergeCell ref="F348:G348"/>
    <mergeCell ref="F339:G339"/>
    <mergeCell ref="F340:G340"/>
    <mergeCell ref="F341:G341"/>
    <mergeCell ref="F342:G342"/>
    <mergeCell ref="F343:G343"/>
    <mergeCell ref="F334:G334"/>
    <mergeCell ref="F335:G335"/>
    <mergeCell ref="F336:G336"/>
    <mergeCell ref="F337:G337"/>
    <mergeCell ref="F338:G338"/>
    <mergeCell ref="F329:G329"/>
    <mergeCell ref="F330:G330"/>
    <mergeCell ref="F331:G331"/>
    <mergeCell ref="F332:G332"/>
    <mergeCell ref="F333:G333"/>
    <mergeCell ref="F324:G324"/>
    <mergeCell ref="F325:G325"/>
    <mergeCell ref="F326:G326"/>
    <mergeCell ref="F327:G327"/>
    <mergeCell ref="F328:G328"/>
    <mergeCell ref="F319:G319"/>
    <mergeCell ref="F320:G320"/>
    <mergeCell ref="F321:G321"/>
    <mergeCell ref="F322:G322"/>
    <mergeCell ref="F323:G323"/>
    <mergeCell ref="F314:G314"/>
    <mergeCell ref="F315:G315"/>
    <mergeCell ref="F316:G316"/>
    <mergeCell ref="F317:G317"/>
    <mergeCell ref="F318:G318"/>
    <mergeCell ref="F309:G309"/>
    <mergeCell ref="F310:G310"/>
    <mergeCell ref="F311:G311"/>
    <mergeCell ref="F312:G312"/>
    <mergeCell ref="F313:G313"/>
    <mergeCell ref="F304:G304"/>
    <mergeCell ref="F305:G305"/>
    <mergeCell ref="F306:G306"/>
    <mergeCell ref="F307:G307"/>
    <mergeCell ref="F308:G308"/>
    <mergeCell ref="F299:G299"/>
    <mergeCell ref="F300:G300"/>
    <mergeCell ref="F301:G301"/>
    <mergeCell ref="F302:G302"/>
    <mergeCell ref="F303:G303"/>
    <mergeCell ref="F294:G294"/>
    <mergeCell ref="F295:G295"/>
    <mergeCell ref="F296:G296"/>
    <mergeCell ref="F297:G297"/>
    <mergeCell ref="F298:G298"/>
    <mergeCell ref="F289:G289"/>
    <mergeCell ref="F290:G290"/>
    <mergeCell ref="F291:G291"/>
    <mergeCell ref="F292:G292"/>
    <mergeCell ref="F293:G293"/>
    <mergeCell ref="F284:G284"/>
    <mergeCell ref="F285:G285"/>
    <mergeCell ref="F286:G286"/>
    <mergeCell ref="F287:G287"/>
    <mergeCell ref="F288:G288"/>
    <mergeCell ref="F279:G279"/>
    <mergeCell ref="F280:G280"/>
    <mergeCell ref="F281:G281"/>
    <mergeCell ref="F282:G282"/>
    <mergeCell ref="F283:G283"/>
    <mergeCell ref="F274:G274"/>
    <mergeCell ref="F275:G275"/>
    <mergeCell ref="F276:G276"/>
    <mergeCell ref="F277:G277"/>
    <mergeCell ref="F278:G278"/>
    <mergeCell ref="F269:G269"/>
    <mergeCell ref="F270:G270"/>
    <mergeCell ref="F271:G271"/>
    <mergeCell ref="F272:G272"/>
    <mergeCell ref="F273:G273"/>
    <mergeCell ref="F264:G264"/>
    <mergeCell ref="F265:G265"/>
    <mergeCell ref="F266:G266"/>
    <mergeCell ref="F267:G267"/>
    <mergeCell ref="F268:G268"/>
    <mergeCell ref="F259:G259"/>
    <mergeCell ref="F260:G260"/>
    <mergeCell ref="F261:G261"/>
    <mergeCell ref="F262:G262"/>
    <mergeCell ref="F263:G263"/>
    <mergeCell ref="F254:G254"/>
    <mergeCell ref="F255:G255"/>
    <mergeCell ref="F256:G256"/>
    <mergeCell ref="F257:G257"/>
    <mergeCell ref="F258:G258"/>
    <mergeCell ref="F249:G249"/>
    <mergeCell ref="F250:G250"/>
    <mergeCell ref="F251:G251"/>
    <mergeCell ref="F252:G252"/>
    <mergeCell ref="F253:G253"/>
    <mergeCell ref="F244:G244"/>
    <mergeCell ref="F245:G245"/>
    <mergeCell ref="F246:G246"/>
    <mergeCell ref="F247:G247"/>
    <mergeCell ref="F248:G248"/>
    <mergeCell ref="F239:G239"/>
    <mergeCell ref="F240:G240"/>
    <mergeCell ref="F241:G241"/>
    <mergeCell ref="F242:G242"/>
    <mergeCell ref="F243:G243"/>
    <mergeCell ref="F234:G234"/>
    <mergeCell ref="F235:G235"/>
    <mergeCell ref="F236:G236"/>
    <mergeCell ref="F237:G237"/>
    <mergeCell ref="F238:G238"/>
    <mergeCell ref="F229:G229"/>
    <mergeCell ref="F230:G230"/>
    <mergeCell ref="F231:G231"/>
    <mergeCell ref="F232:G232"/>
    <mergeCell ref="F233:G233"/>
    <mergeCell ref="F224:G224"/>
    <mergeCell ref="F225:G225"/>
    <mergeCell ref="F226:G226"/>
    <mergeCell ref="F227:G227"/>
    <mergeCell ref="F228:G228"/>
    <mergeCell ref="F219:G219"/>
    <mergeCell ref="F220:G220"/>
    <mergeCell ref="F221:G221"/>
    <mergeCell ref="F222:G222"/>
    <mergeCell ref="F223:G223"/>
    <mergeCell ref="F214:G214"/>
    <mergeCell ref="F215:G215"/>
    <mergeCell ref="F216:G216"/>
    <mergeCell ref="F217:G217"/>
    <mergeCell ref="F218:G218"/>
    <mergeCell ref="F209:G209"/>
    <mergeCell ref="F210:G210"/>
    <mergeCell ref="F211:G211"/>
    <mergeCell ref="F212:G212"/>
    <mergeCell ref="F213:G213"/>
    <mergeCell ref="F204:G204"/>
    <mergeCell ref="F205:G205"/>
    <mergeCell ref="F206:G206"/>
    <mergeCell ref="F207:G207"/>
    <mergeCell ref="F208:G208"/>
    <mergeCell ref="F199:G199"/>
    <mergeCell ref="F200:G200"/>
    <mergeCell ref="F201:G201"/>
    <mergeCell ref="F202:G202"/>
    <mergeCell ref="F203:G203"/>
    <mergeCell ref="F194:G194"/>
    <mergeCell ref="F195:G195"/>
    <mergeCell ref="F196:G196"/>
    <mergeCell ref="F197:G197"/>
    <mergeCell ref="F198:G198"/>
    <mergeCell ref="F189:G189"/>
    <mergeCell ref="F190:G190"/>
    <mergeCell ref="F191:G191"/>
    <mergeCell ref="F192:G192"/>
    <mergeCell ref="F193:G193"/>
    <mergeCell ref="F184:G184"/>
    <mergeCell ref="F185:G185"/>
    <mergeCell ref="F186:G186"/>
    <mergeCell ref="F187:G187"/>
    <mergeCell ref="F188:G188"/>
    <mergeCell ref="F179:G179"/>
    <mergeCell ref="F180:G180"/>
    <mergeCell ref="F181:G181"/>
    <mergeCell ref="F182:G182"/>
    <mergeCell ref="F183:G183"/>
    <mergeCell ref="F174:G174"/>
    <mergeCell ref="F175:G175"/>
    <mergeCell ref="F176:G176"/>
    <mergeCell ref="F177:G177"/>
    <mergeCell ref="F178:G178"/>
    <mergeCell ref="F169:G169"/>
    <mergeCell ref="F170:G170"/>
    <mergeCell ref="F171:G171"/>
    <mergeCell ref="F172:G172"/>
    <mergeCell ref="F173:G173"/>
    <mergeCell ref="F164:G164"/>
    <mergeCell ref="F165:G165"/>
    <mergeCell ref="F166:G166"/>
    <mergeCell ref="F167:G167"/>
    <mergeCell ref="F168:G168"/>
    <mergeCell ref="F159:G159"/>
    <mergeCell ref="F160:G160"/>
    <mergeCell ref="F161:G161"/>
    <mergeCell ref="F162:G162"/>
    <mergeCell ref="F163:G163"/>
    <mergeCell ref="F154:G154"/>
    <mergeCell ref="F155:G155"/>
    <mergeCell ref="F156:G156"/>
    <mergeCell ref="F157:G157"/>
    <mergeCell ref="F158:G158"/>
    <mergeCell ref="F149:G149"/>
    <mergeCell ref="F150:G150"/>
    <mergeCell ref="F151:G151"/>
    <mergeCell ref="F152:G152"/>
    <mergeCell ref="F153:G153"/>
    <mergeCell ref="F144:G144"/>
    <mergeCell ref="F145:G145"/>
    <mergeCell ref="F146:G146"/>
    <mergeCell ref="F147:G147"/>
    <mergeCell ref="F148:G148"/>
    <mergeCell ref="F139:G139"/>
    <mergeCell ref="F140:G140"/>
    <mergeCell ref="F141:G141"/>
    <mergeCell ref="F142:G142"/>
    <mergeCell ref="F143:G143"/>
    <mergeCell ref="F134:G134"/>
    <mergeCell ref="F135:G135"/>
    <mergeCell ref="F136:G136"/>
    <mergeCell ref="F137:G137"/>
    <mergeCell ref="F138:G138"/>
    <mergeCell ref="F129:G129"/>
    <mergeCell ref="F130:G130"/>
    <mergeCell ref="F131:G131"/>
    <mergeCell ref="F132:G132"/>
    <mergeCell ref="F133:G133"/>
    <mergeCell ref="F124:G124"/>
    <mergeCell ref="F125:G125"/>
    <mergeCell ref="F126:G126"/>
    <mergeCell ref="F127:G127"/>
    <mergeCell ref="F128:G128"/>
    <mergeCell ref="F119:G119"/>
    <mergeCell ref="F120:G120"/>
    <mergeCell ref="F121:G121"/>
    <mergeCell ref="F122:G122"/>
    <mergeCell ref="F123:G123"/>
    <mergeCell ref="F114:G114"/>
    <mergeCell ref="F115:G115"/>
    <mergeCell ref="F116:G116"/>
    <mergeCell ref="F117:G117"/>
    <mergeCell ref="F118:G118"/>
    <mergeCell ref="F109:G109"/>
    <mergeCell ref="F110:G110"/>
    <mergeCell ref="F111:G111"/>
    <mergeCell ref="F112:G112"/>
    <mergeCell ref="F113:G113"/>
    <mergeCell ref="F104:G104"/>
    <mergeCell ref="F105:G105"/>
    <mergeCell ref="F106:G106"/>
    <mergeCell ref="F107:G107"/>
    <mergeCell ref="F108:G108"/>
    <mergeCell ref="F99:G99"/>
    <mergeCell ref="F100:G100"/>
    <mergeCell ref="F101:G101"/>
    <mergeCell ref="F102:G102"/>
    <mergeCell ref="F103:G103"/>
    <mergeCell ref="F94:G94"/>
    <mergeCell ref="F95:G95"/>
    <mergeCell ref="F96:G96"/>
    <mergeCell ref="F97:G97"/>
    <mergeCell ref="F98:G98"/>
    <mergeCell ref="F89:G89"/>
    <mergeCell ref="F90:G90"/>
    <mergeCell ref="F91:G91"/>
    <mergeCell ref="F92:G92"/>
    <mergeCell ref="F93:G93"/>
    <mergeCell ref="F84:G84"/>
    <mergeCell ref="F85:G85"/>
    <mergeCell ref="F86:G86"/>
    <mergeCell ref="F87:G87"/>
    <mergeCell ref="F88:G88"/>
    <mergeCell ref="F79:G79"/>
    <mergeCell ref="F80:G80"/>
    <mergeCell ref="F81:G81"/>
    <mergeCell ref="F82:G82"/>
    <mergeCell ref="F83:G83"/>
    <mergeCell ref="C1:AG2"/>
    <mergeCell ref="C22:AG24"/>
    <mergeCell ref="F25:J26"/>
    <mergeCell ref="I20:J20"/>
    <mergeCell ref="K21:M21"/>
    <mergeCell ref="L25:P26"/>
    <mergeCell ref="T25:U26"/>
    <mergeCell ref="X7:Z17"/>
    <mergeCell ref="V6:Z6"/>
    <mergeCell ref="V4:Y4"/>
    <mergeCell ref="AD7:AF17"/>
    <mergeCell ref="AB6:AF6"/>
    <mergeCell ref="AB4:AE4"/>
    <mergeCell ref="J4:M4"/>
    <mergeCell ref="R7:T17"/>
    <mergeCell ref="O33:P33"/>
    <mergeCell ref="O34:P34"/>
    <mergeCell ref="P6:T6"/>
    <mergeCell ref="T27:U28"/>
    <mergeCell ref="T29:U30"/>
    <mergeCell ref="C20:H20"/>
    <mergeCell ref="C21:H21"/>
    <mergeCell ref="T31:U32"/>
    <mergeCell ref="Q31:S32"/>
    <mergeCell ref="Q29:S30"/>
    <mergeCell ref="Q27:S28"/>
    <mergeCell ref="Q25:S26"/>
    <mergeCell ref="P4:S4"/>
    <mergeCell ref="C192:E202"/>
    <mergeCell ref="C203:E213"/>
    <mergeCell ref="C214:E224"/>
    <mergeCell ref="L7:N17"/>
    <mergeCell ref="J6:N6"/>
    <mergeCell ref="C170:E180"/>
    <mergeCell ref="F7:H17"/>
    <mergeCell ref="D6:H6"/>
    <mergeCell ref="I21:J21"/>
    <mergeCell ref="F38:G38"/>
    <mergeCell ref="F39:G39"/>
    <mergeCell ref="F40:G40"/>
    <mergeCell ref="F41:G41"/>
    <mergeCell ref="F42:G42"/>
    <mergeCell ref="F43:G43"/>
    <mergeCell ref="F54:G54"/>
    <mergeCell ref="F55:G55"/>
    <mergeCell ref="C19:H19"/>
    <mergeCell ref="I19:J19"/>
    <mergeCell ref="F56:G56"/>
    <mergeCell ref="F57:G57"/>
    <mergeCell ref="F58:G58"/>
    <mergeCell ref="F49:G49"/>
    <mergeCell ref="F50:G50"/>
    <mergeCell ref="F51:G51"/>
    <mergeCell ref="F52:G52"/>
    <mergeCell ref="F53:G53"/>
    <mergeCell ref="F44:G44"/>
    <mergeCell ref="F45:G45"/>
    <mergeCell ref="F46:G46"/>
    <mergeCell ref="F47:G47"/>
    <mergeCell ref="F48:G48"/>
    <mergeCell ref="C181:E191"/>
    <mergeCell ref="D4:G4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74:G74"/>
    <mergeCell ref="F75:G75"/>
    <mergeCell ref="F76:G76"/>
    <mergeCell ref="F77:G77"/>
    <mergeCell ref="F78:G78"/>
    <mergeCell ref="F69:G69"/>
    <mergeCell ref="F70:G70"/>
    <mergeCell ref="F71:G71"/>
    <mergeCell ref="F72:G72"/>
    <mergeCell ref="F73:G73"/>
    <mergeCell ref="F64:G64"/>
    <mergeCell ref="F65:G65"/>
    <mergeCell ref="F66:G66"/>
    <mergeCell ref="F67:G67"/>
    <mergeCell ref="F68:G68"/>
    <mergeCell ref="F59:G59"/>
    <mergeCell ref="F60:G60"/>
    <mergeCell ref="F61:G61"/>
    <mergeCell ref="F62:G62"/>
    <mergeCell ref="F63:G63"/>
  </mergeCells>
  <phoneticPr fontId="52" type="noConversion"/>
  <dataValidations count="2">
    <dataValidation allowBlank="1" showErrorMessage="1" promptTitle="TRAFO" prompt="$G$1:$H$180" sqref="A1" xr:uid="{47CDFD2B-EBD4-F948-BE63-B3AC890572B8}"/>
    <dataValidation allowBlank="1" showErrorMessage="1" promptTitle="TRAFO" prompt="$A$1:$B$2112" sqref="H27 L27" xr:uid="{719E19D5-6D0D-E244-B1E7-C1ACC81F39D6}"/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C44-085C-0B4B-9E8C-27D42654E193}">
  <dimension ref="A1:U164"/>
  <sheetViews>
    <sheetView zoomScale="14" zoomScaleNormal="82" workbookViewId="0">
      <selection activeCell="D155" sqref="D155"/>
    </sheetView>
  </sheetViews>
  <sheetFormatPr baseColWidth="10" defaultRowHeight="16"/>
  <cols>
    <col min="1" max="1" width="10.83203125" customWidth="1"/>
    <col min="2" max="2" width="24.1640625" customWidth="1"/>
    <col min="3" max="3" width="33.5" customWidth="1"/>
    <col min="4" max="4" width="25.5" customWidth="1"/>
    <col min="5" max="5" width="10.83203125" customWidth="1"/>
    <col min="8" max="8" width="4.33203125" customWidth="1"/>
    <col min="9" max="9" width="2.1640625" hidden="1" customWidth="1"/>
    <col min="10" max="10" width="10.83203125" hidden="1" customWidth="1"/>
    <col min="11" max="11" width="35.83203125" customWidth="1"/>
    <col min="12" max="12" width="23" customWidth="1"/>
    <col min="13" max="13" width="42.6640625" customWidth="1"/>
    <col min="14" max="14" width="24" customWidth="1"/>
    <col min="15" max="15" width="30.33203125" customWidth="1"/>
    <col min="16" max="16" width="19.33203125" customWidth="1"/>
    <col min="17" max="17" width="18.5" customWidth="1"/>
    <col min="18" max="18" width="17.33203125" customWidth="1"/>
    <col min="19" max="19" width="22.1640625" customWidth="1"/>
    <col min="22" max="22" width="11" customWidth="1"/>
    <col min="33" max="33" width="24.5" customWidth="1"/>
    <col min="34" max="34" width="18" customWidth="1"/>
    <col min="35" max="35" width="26.5" customWidth="1"/>
    <col min="36" max="36" width="20.1640625" customWidth="1"/>
    <col min="51" max="51" width="10.6640625" customWidth="1"/>
    <col min="52" max="52" width="10.83203125" customWidth="1"/>
    <col min="53" max="53" width="39" customWidth="1"/>
    <col min="54" max="54" width="24.6640625" customWidth="1"/>
    <col min="55" max="55" width="30.6640625" customWidth="1"/>
    <col min="63" max="63" width="26" customWidth="1"/>
    <col min="64" max="64" width="35" customWidth="1"/>
    <col min="71" max="71" width="26.83203125" customWidth="1"/>
    <col min="72" max="72" width="20.1640625" customWidth="1"/>
    <col min="73" max="73" width="20.6640625" customWidth="1"/>
    <col min="74" max="74" width="22.5" customWidth="1"/>
  </cols>
  <sheetData>
    <row r="1" spans="1:20">
      <c r="A1" s="1156" t="s">
        <v>360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60"/>
    </row>
    <row r="2" spans="1:20">
      <c r="A2" s="1158"/>
      <c r="B2" s="1159"/>
      <c r="C2" s="1159"/>
      <c r="D2" s="1159"/>
      <c r="E2" s="1159"/>
      <c r="F2" s="1159"/>
      <c r="G2" s="1159"/>
      <c r="H2" s="1159"/>
      <c r="I2" s="1159"/>
      <c r="J2" s="1159"/>
      <c r="K2" s="1159"/>
      <c r="L2" s="1159"/>
      <c r="M2" s="1159"/>
      <c r="N2" s="1159"/>
      <c r="O2" s="1159"/>
      <c r="P2" s="1159"/>
      <c r="Q2" s="1159"/>
      <c r="R2" s="1159"/>
      <c r="S2" s="1159"/>
      <c r="T2" s="1161"/>
    </row>
    <row r="3" spans="1:20">
      <c r="A3" s="1158"/>
      <c r="B3" s="1159"/>
      <c r="C3" s="1159"/>
      <c r="D3" s="1159"/>
      <c r="E3" s="1159"/>
      <c r="F3" s="1159"/>
      <c r="G3" s="1159"/>
      <c r="H3" s="1159"/>
      <c r="I3" s="1159"/>
      <c r="J3" s="1159"/>
      <c r="K3" s="1159"/>
      <c r="L3" s="1159"/>
      <c r="M3" s="1159"/>
      <c r="N3" s="1159"/>
      <c r="O3" s="1159"/>
      <c r="P3" s="1159"/>
      <c r="Q3" s="1159"/>
      <c r="R3" s="1159"/>
      <c r="S3" s="1159"/>
      <c r="T3" s="1161"/>
    </row>
    <row r="4" spans="1:20">
      <c r="A4" s="1158"/>
      <c r="B4" s="1159"/>
      <c r="C4" s="1159"/>
      <c r="D4" s="1159"/>
      <c r="E4" s="1159"/>
      <c r="F4" s="1159"/>
      <c r="G4" s="1159"/>
      <c r="H4" s="1159"/>
      <c r="I4" s="1159"/>
      <c r="J4" s="1159"/>
      <c r="K4" s="1159"/>
      <c r="L4" s="1159"/>
      <c r="M4" s="1159"/>
      <c r="N4" s="1159"/>
      <c r="O4" s="1159"/>
      <c r="P4" s="1159"/>
      <c r="Q4" s="1159"/>
      <c r="R4" s="1159"/>
      <c r="S4" s="1159"/>
      <c r="T4" s="1161"/>
    </row>
    <row r="5" spans="1:20">
      <c r="A5" s="531"/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  <c r="O5" s="530"/>
      <c r="P5" s="530"/>
      <c r="Q5" s="530"/>
      <c r="R5" s="530"/>
      <c r="S5" s="530"/>
      <c r="T5" s="532"/>
    </row>
    <row r="6" spans="1:20">
      <c r="A6" s="531"/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530"/>
      <c r="Q6" s="530"/>
      <c r="R6" s="530"/>
      <c r="S6" s="530"/>
      <c r="T6" s="532"/>
    </row>
    <row r="7" spans="1:20" ht="17" thickBot="1">
      <c r="A7" s="531"/>
      <c r="B7" s="530"/>
      <c r="C7" s="530"/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  <c r="O7" s="530"/>
      <c r="P7" s="530"/>
      <c r="Q7" s="530"/>
      <c r="R7" s="530"/>
      <c r="S7" s="530"/>
      <c r="T7" s="532"/>
    </row>
    <row r="8" spans="1:20" ht="17" thickBot="1">
      <c r="A8" s="531"/>
      <c r="B8" s="543" t="s">
        <v>215</v>
      </c>
      <c r="C8" s="599" t="s">
        <v>361</v>
      </c>
      <c r="D8" s="599" t="s">
        <v>362</v>
      </c>
      <c r="E8" s="530"/>
      <c r="F8" s="530"/>
      <c r="G8" s="530"/>
      <c r="H8" s="530"/>
      <c r="I8" s="530"/>
      <c r="J8" s="530"/>
      <c r="K8" s="530"/>
      <c r="L8" s="530"/>
      <c r="M8" s="530"/>
      <c r="N8" s="530"/>
      <c r="O8" s="363"/>
      <c r="P8" s="364"/>
      <c r="Q8" s="363"/>
      <c r="R8" s="364"/>
      <c r="S8" s="530"/>
      <c r="T8" s="532"/>
    </row>
    <row r="9" spans="1:20">
      <c r="A9" s="531"/>
      <c r="B9" s="596">
        <v>38748</v>
      </c>
      <c r="C9" s="598">
        <v>4.37</v>
      </c>
      <c r="D9" s="598">
        <v>4.1587996012325661</v>
      </c>
      <c r="E9" s="530"/>
      <c r="F9" s="530"/>
      <c r="G9" s="530"/>
      <c r="H9" s="530"/>
      <c r="I9" s="530"/>
      <c r="J9" s="530"/>
      <c r="K9" s="530"/>
      <c r="L9" s="530"/>
      <c r="M9" s="530"/>
      <c r="N9" s="530"/>
      <c r="O9" s="363"/>
      <c r="P9" s="364"/>
      <c r="Q9" s="363"/>
      <c r="R9" s="364"/>
      <c r="S9" s="530"/>
      <c r="T9" s="532"/>
    </row>
    <row r="10" spans="1:20">
      <c r="A10" s="531"/>
      <c r="B10" s="596">
        <v>38776</v>
      </c>
      <c r="C10" s="598">
        <v>4.51</v>
      </c>
      <c r="D10" s="598">
        <v>4.4478949172570843</v>
      </c>
      <c r="E10" s="530"/>
      <c r="F10" s="530"/>
      <c r="G10" s="530"/>
      <c r="H10" s="530"/>
      <c r="I10" s="530"/>
      <c r="J10" s="530"/>
      <c r="K10" s="530"/>
      <c r="L10" s="530"/>
      <c r="M10" s="530"/>
      <c r="N10" s="530"/>
      <c r="O10" s="363"/>
      <c r="P10" s="364"/>
      <c r="Q10" s="363"/>
      <c r="R10" s="593"/>
      <c r="S10" s="530"/>
      <c r="T10" s="532"/>
    </row>
    <row r="11" spans="1:20" ht="17" thickBot="1">
      <c r="A11" s="531"/>
      <c r="B11" s="596">
        <v>38807</v>
      </c>
      <c r="C11" s="598">
        <v>4.5199999999999996</v>
      </c>
      <c r="D11" s="598">
        <v>4.5704584552994731</v>
      </c>
      <c r="E11" s="530"/>
      <c r="F11" s="530"/>
      <c r="G11" s="530"/>
      <c r="H11" s="530"/>
      <c r="I11" s="530"/>
      <c r="J11" s="530"/>
      <c r="K11" s="530"/>
      <c r="L11" s="530"/>
      <c r="M11" s="530"/>
      <c r="N11" s="363"/>
      <c r="O11" s="364"/>
      <c r="P11" s="363"/>
      <c r="Q11" s="364"/>
      <c r="R11" s="530"/>
      <c r="S11" s="530"/>
      <c r="T11" s="532"/>
    </row>
    <row r="12" spans="1:20">
      <c r="A12" s="531"/>
      <c r="B12" s="596">
        <v>38835</v>
      </c>
      <c r="C12" s="598">
        <v>4.6500000000000004</v>
      </c>
      <c r="D12" s="598">
        <v>4.6845841617458905</v>
      </c>
      <c r="E12" s="530"/>
      <c r="F12" s="530"/>
      <c r="G12" s="530"/>
      <c r="H12" s="530"/>
      <c r="I12" s="530"/>
      <c r="J12" s="530"/>
      <c r="K12" s="344" t="s">
        <v>216</v>
      </c>
      <c r="L12" s="349" t="s">
        <v>361</v>
      </c>
      <c r="M12" s="344" t="s">
        <v>247</v>
      </c>
      <c r="N12" s="346">
        <v>0.98699999999999999</v>
      </c>
      <c r="O12" s="530"/>
      <c r="P12" s="530"/>
      <c r="Q12" s="530"/>
      <c r="R12" s="530"/>
      <c r="S12" s="530"/>
      <c r="T12" s="532"/>
    </row>
    <row r="13" spans="1:20">
      <c r="A13" s="531"/>
      <c r="B13" s="596">
        <v>38868</v>
      </c>
      <c r="C13" s="598">
        <v>4.74</v>
      </c>
      <c r="D13" s="598">
        <v>4.855448988297649</v>
      </c>
      <c r="E13" s="530"/>
      <c r="F13" s="530"/>
      <c r="G13" s="530"/>
      <c r="H13" s="530"/>
      <c r="I13" s="530"/>
      <c r="J13" s="530"/>
      <c r="K13" s="345" t="s">
        <v>217</v>
      </c>
      <c r="L13" s="350" t="s">
        <v>218</v>
      </c>
      <c r="M13" s="345" t="s">
        <v>248</v>
      </c>
      <c r="N13" s="347">
        <v>0.98699999999999999</v>
      </c>
      <c r="O13" s="530"/>
      <c r="P13" s="530"/>
      <c r="Q13" s="530"/>
      <c r="R13" s="530"/>
      <c r="S13" s="530"/>
      <c r="T13" s="532"/>
    </row>
    <row r="14" spans="1:20">
      <c r="A14" s="531"/>
      <c r="B14" s="596">
        <v>38898</v>
      </c>
      <c r="C14" s="598">
        <v>4.87</v>
      </c>
      <c r="D14" s="598">
        <v>4.9614707388711183</v>
      </c>
      <c r="E14" s="530"/>
      <c r="F14" s="530"/>
      <c r="G14" s="530"/>
      <c r="H14" s="530"/>
      <c r="I14" s="530"/>
      <c r="J14" s="530"/>
      <c r="K14" s="345" t="s">
        <v>219</v>
      </c>
      <c r="L14" s="350" t="s">
        <v>220</v>
      </c>
      <c r="M14" s="345" t="s">
        <v>221</v>
      </c>
      <c r="N14" s="365">
        <v>11830</v>
      </c>
      <c r="O14" s="530"/>
      <c r="P14" s="530"/>
      <c r="Q14" s="530"/>
      <c r="R14" s="530"/>
      <c r="S14" s="530"/>
      <c r="T14" s="532"/>
    </row>
    <row r="15" spans="1:20">
      <c r="A15" s="531"/>
      <c r="B15" s="596">
        <v>38929</v>
      </c>
      <c r="C15" s="598">
        <v>4.97</v>
      </c>
      <c r="D15" s="598">
        <v>5.0970810426445787</v>
      </c>
      <c r="E15" s="530"/>
      <c r="F15" s="530"/>
      <c r="G15" s="530"/>
      <c r="H15" s="530"/>
      <c r="I15" s="530"/>
      <c r="J15" s="530"/>
      <c r="K15" s="345" t="s">
        <v>222</v>
      </c>
      <c r="L15" s="350" t="s">
        <v>358</v>
      </c>
      <c r="M15" s="345" t="s">
        <v>223</v>
      </c>
      <c r="N15" s="365">
        <v>2.93E-148</v>
      </c>
      <c r="O15" s="530"/>
      <c r="P15" s="530"/>
      <c r="Q15" s="530"/>
      <c r="R15" s="530"/>
      <c r="S15" s="530"/>
      <c r="T15" s="532"/>
    </row>
    <row r="16" spans="1:20">
      <c r="A16" s="531"/>
      <c r="B16" s="596">
        <v>38960</v>
      </c>
      <c r="C16" s="598">
        <v>4.92</v>
      </c>
      <c r="D16" s="598">
        <v>5.2354661878332021</v>
      </c>
      <c r="E16" s="530"/>
      <c r="F16" s="530"/>
      <c r="G16" s="530"/>
      <c r="H16" s="530"/>
      <c r="I16" s="530"/>
      <c r="J16" s="530"/>
      <c r="K16" s="345" t="s">
        <v>224</v>
      </c>
      <c r="L16" s="351">
        <v>0.8334259259259259</v>
      </c>
      <c r="M16" s="345" t="s">
        <v>225</v>
      </c>
      <c r="N16" s="347">
        <v>14.726000000000001</v>
      </c>
      <c r="O16" s="530"/>
      <c r="P16" s="530"/>
      <c r="Q16" s="530"/>
      <c r="R16" s="530"/>
      <c r="S16" s="530"/>
      <c r="T16" s="532"/>
    </row>
    <row r="17" spans="1:21">
      <c r="A17" s="531"/>
      <c r="B17" s="596">
        <v>38989</v>
      </c>
      <c r="C17" s="598">
        <v>4.7699999999999996</v>
      </c>
      <c r="D17" s="598">
        <v>5.2940674176707816</v>
      </c>
      <c r="E17" s="530"/>
      <c r="F17" s="530"/>
      <c r="G17" s="530"/>
      <c r="H17" s="530"/>
      <c r="I17" s="530"/>
      <c r="J17" s="530"/>
      <c r="K17" s="345" t="s">
        <v>226</v>
      </c>
      <c r="L17" s="350">
        <v>156</v>
      </c>
      <c r="M17" s="345" t="s">
        <v>227</v>
      </c>
      <c r="N17" s="347">
        <v>-27.45</v>
      </c>
      <c r="O17" s="530"/>
      <c r="P17" s="530"/>
      <c r="Q17" s="530"/>
      <c r="R17" s="530"/>
      <c r="S17" s="530"/>
      <c r="T17" s="532"/>
    </row>
    <row r="18" spans="1:21" ht="17" thickBot="1">
      <c r="A18" s="531"/>
      <c r="B18" s="596">
        <v>39021</v>
      </c>
      <c r="C18" s="598">
        <v>4.95</v>
      </c>
      <c r="D18" s="598">
        <v>5.3245995329352311</v>
      </c>
      <c r="E18" s="530"/>
      <c r="F18" s="530"/>
      <c r="G18" s="530"/>
      <c r="H18" s="530"/>
      <c r="I18" s="530"/>
      <c r="J18" s="530"/>
      <c r="K18" s="345" t="s">
        <v>228</v>
      </c>
      <c r="L18" s="350">
        <v>155</v>
      </c>
      <c r="M18" s="354" t="s">
        <v>229</v>
      </c>
      <c r="N18" s="348">
        <v>-24.4</v>
      </c>
      <c r="O18" s="530"/>
      <c r="P18" s="530"/>
      <c r="Q18" s="530"/>
      <c r="R18" s="530"/>
      <c r="S18" s="530"/>
      <c r="T18" s="532"/>
      <c r="U18" s="339"/>
    </row>
    <row r="19" spans="1:21">
      <c r="A19" s="531"/>
      <c r="B19" s="596">
        <v>39051</v>
      </c>
      <c r="C19" s="598">
        <v>4.9000000000000004</v>
      </c>
      <c r="D19" s="598">
        <v>5.3788050786637109</v>
      </c>
      <c r="E19" s="530"/>
      <c r="F19" s="530"/>
      <c r="G19" s="530"/>
      <c r="H19" s="530"/>
      <c r="I19" s="530"/>
      <c r="J19" s="530"/>
      <c r="K19" s="345" t="s">
        <v>230</v>
      </c>
      <c r="L19" s="350">
        <v>1</v>
      </c>
      <c r="M19" s="363"/>
      <c r="N19" s="364"/>
      <c r="O19" s="530"/>
      <c r="P19" s="530"/>
      <c r="Q19" s="530"/>
      <c r="R19" s="530"/>
      <c r="S19" s="530"/>
      <c r="T19" s="532"/>
      <c r="U19" s="340"/>
    </row>
    <row r="20" spans="1:21" ht="17" thickBot="1">
      <c r="A20" s="531"/>
      <c r="B20" s="596">
        <v>39080</v>
      </c>
      <c r="C20" s="598">
        <v>4.8899999999999997</v>
      </c>
      <c r="D20" s="598">
        <v>5.4145394899626034</v>
      </c>
      <c r="E20" s="530"/>
      <c r="F20" s="530"/>
      <c r="G20" s="530"/>
      <c r="H20" s="530"/>
      <c r="I20" s="530"/>
      <c r="J20" s="530"/>
      <c r="K20" s="354" t="s">
        <v>231</v>
      </c>
      <c r="L20" s="352" t="s">
        <v>232</v>
      </c>
      <c r="M20" s="363"/>
      <c r="N20" s="364"/>
      <c r="O20" s="530"/>
      <c r="P20" s="530"/>
      <c r="Q20" s="530"/>
      <c r="R20" s="530"/>
      <c r="S20" s="530"/>
      <c r="T20" s="532"/>
    </row>
    <row r="21" spans="1:21" ht="17" thickBot="1">
      <c r="A21" s="531"/>
      <c r="B21" s="596">
        <v>39113</v>
      </c>
      <c r="C21" s="598">
        <v>4.99</v>
      </c>
      <c r="D21" s="598">
        <v>5.0164228611500699</v>
      </c>
      <c r="E21" s="530"/>
      <c r="F21" s="530"/>
      <c r="G21" s="530"/>
      <c r="H21" s="530"/>
      <c r="I21" s="530"/>
      <c r="J21" s="530"/>
      <c r="K21" s="530"/>
      <c r="L21" s="530"/>
      <c r="M21" s="530"/>
      <c r="N21" s="530"/>
      <c r="O21" s="530"/>
      <c r="P21" s="530"/>
      <c r="Q21" s="530"/>
      <c r="R21" s="363"/>
      <c r="S21" s="363"/>
      <c r="T21" s="370"/>
    </row>
    <row r="22" spans="1:21" ht="17" thickBot="1">
      <c r="A22" s="531"/>
      <c r="B22" s="596">
        <v>39141</v>
      </c>
      <c r="C22" s="598">
        <v>5.01</v>
      </c>
      <c r="D22" s="598">
        <v>5.0932109181141438</v>
      </c>
      <c r="E22" s="530"/>
      <c r="F22" s="530"/>
      <c r="G22" s="530"/>
      <c r="H22" s="530"/>
      <c r="I22" s="530"/>
      <c r="J22" s="530"/>
      <c r="K22" s="355"/>
      <c r="L22" s="356" t="s">
        <v>233</v>
      </c>
      <c r="M22" s="342" t="s">
        <v>234</v>
      </c>
      <c r="N22" s="342" t="s">
        <v>235</v>
      </c>
      <c r="O22" s="342" t="s">
        <v>236</v>
      </c>
      <c r="P22" s="342" t="s">
        <v>237</v>
      </c>
      <c r="Q22" s="343" t="s">
        <v>238</v>
      </c>
      <c r="R22" s="364"/>
      <c r="S22" s="364"/>
      <c r="T22" s="353"/>
    </row>
    <row r="23" spans="1:21" ht="17" thickBot="1">
      <c r="A23" s="531"/>
      <c r="B23" s="596">
        <v>39171</v>
      </c>
      <c r="C23" s="598">
        <v>4.9000000000000004</v>
      </c>
      <c r="D23" s="598">
        <v>5.1270239867659226</v>
      </c>
      <c r="E23" s="530"/>
      <c r="F23" s="530"/>
      <c r="G23" s="530"/>
      <c r="H23" s="530"/>
      <c r="I23" s="530"/>
      <c r="J23" s="530"/>
      <c r="K23" s="366" t="s">
        <v>359</v>
      </c>
      <c r="L23" s="341">
        <v>0.95640000000000003</v>
      </c>
      <c r="M23" s="594">
        <v>8.9999999999999993E-3</v>
      </c>
      <c r="N23" s="594">
        <v>108.76300000000001</v>
      </c>
      <c r="O23" s="594">
        <v>0</v>
      </c>
      <c r="P23" s="594">
        <v>0.93899999999999995</v>
      </c>
      <c r="Q23" s="595">
        <v>0.97399999999999998</v>
      </c>
      <c r="R23" s="530"/>
      <c r="S23" s="530"/>
      <c r="T23" s="532"/>
    </row>
    <row r="24" spans="1:21" ht="17" thickBot="1">
      <c r="A24" s="531"/>
      <c r="B24" s="596">
        <v>39202</v>
      </c>
      <c r="C24" s="598">
        <v>4.79</v>
      </c>
      <c r="D24" s="598">
        <v>5.0047435897435903</v>
      </c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0"/>
      <c r="R24" s="530"/>
      <c r="S24" s="530"/>
      <c r="T24" s="532"/>
    </row>
    <row r="25" spans="1:21">
      <c r="A25" s="531"/>
      <c r="B25" s="596">
        <v>39233</v>
      </c>
      <c r="C25" s="598">
        <v>4.5999999999999996</v>
      </c>
      <c r="D25" s="598">
        <v>4.8921975033988376</v>
      </c>
      <c r="E25" s="530"/>
      <c r="F25" s="530"/>
      <c r="G25" s="530"/>
      <c r="H25" s="530"/>
      <c r="I25" s="530"/>
      <c r="J25" s="530"/>
      <c r="K25" s="344" t="s">
        <v>239</v>
      </c>
      <c r="L25" s="346">
        <v>71.966999999999999</v>
      </c>
      <c r="M25" s="344" t="s">
        <v>240</v>
      </c>
      <c r="N25" s="346">
        <v>1.5629999999999999</v>
      </c>
      <c r="O25" s="530"/>
      <c r="P25" s="530"/>
      <c r="Q25" s="530"/>
      <c r="R25" s="530"/>
      <c r="S25" s="530"/>
      <c r="T25" s="532"/>
    </row>
    <row r="26" spans="1:21">
      <c r="A26" s="531"/>
      <c r="B26" s="596">
        <v>39262</v>
      </c>
      <c r="C26" s="598">
        <v>4.68</v>
      </c>
      <c r="D26" s="598">
        <v>4.6864193548387094</v>
      </c>
      <c r="E26" s="530"/>
      <c r="F26" s="530"/>
      <c r="G26" s="530"/>
      <c r="H26" s="530"/>
      <c r="I26" s="530"/>
      <c r="J26" s="530"/>
      <c r="K26" s="345" t="s">
        <v>241</v>
      </c>
      <c r="L26" s="347">
        <v>0</v>
      </c>
      <c r="M26" s="345" t="s">
        <v>242</v>
      </c>
      <c r="N26" s="347">
        <v>1309.548</v>
      </c>
      <c r="O26" s="530"/>
      <c r="P26" s="530"/>
      <c r="Q26" s="530"/>
      <c r="R26" s="530"/>
      <c r="S26" s="530"/>
      <c r="T26" s="532"/>
    </row>
    <row r="27" spans="1:21">
      <c r="A27" s="531"/>
      <c r="B27" s="596">
        <v>39294</v>
      </c>
      <c r="C27" s="598">
        <v>4.82</v>
      </c>
      <c r="D27" s="598">
        <v>4.772521726649682</v>
      </c>
      <c r="E27" s="530"/>
      <c r="F27" s="530"/>
      <c r="G27" s="530"/>
      <c r="H27" s="530"/>
      <c r="I27" s="530"/>
      <c r="J27" s="530"/>
      <c r="K27" s="345" t="s">
        <v>243</v>
      </c>
      <c r="L27" s="347">
        <v>-1.111</v>
      </c>
      <c r="M27" s="345" t="s">
        <v>244</v>
      </c>
      <c r="N27" s="365">
        <v>4.3200000000000003E-285</v>
      </c>
      <c r="O27" s="530"/>
      <c r="P27" s="530"/>
      <c r="Q27" s="530"/>
      <c r="R27" s="530"/>
      <c r="S27" s="530"/>
      <c r="T27" s="532"/>
    </row>
    <row r="28" spans="1:21" ht="17" thickBot="1">
      <c r="A28" s="531"/>
      <c r="B28" s="596">
        <v>39325</v>
      </c>
      <c r="C28" s="598">
        <v>3.91</v>
      </c>
      <c r="D28" s="598">
        <v>4.9027620967741941</v>
      </c>
      <c r="E28" s="530"/>
      <c r="F28" s="530"/>
      <c r="G28" s="530"/>
      <c r="H28" s="530"/>
      <c r="I28" s="530"/>
      <c r="J28" s="530"/>
      <c r="K28" s="354" t="s">
        <v>245</v>
      </c>
      <c r="L28" s="348">
        <v>17.018999999999998</v>
      </c>
      <c r="M28" s="354" t="s">
        <v>246</v>
      </c>
      <c r="N28" s="348">
        <v>1</v>
      </c>
      <c r="O28" s="530"/>
      <c r="P28" s="530"/>
      <c r="Q28" s="530"/>
      <c r="R28" s="530"/>
      <c r="S28" s="530"/>
      <c r="T28" s="532"/>
    </row>
    <row r="29" spans="1:21">
      <c r="A29" s="531"/>
      <c r="B29" s="596">
        <v>39353</v>
      </c>
      <c r="C29" s="598">
        <v>3.72</v>
      </c>
      <c r="D29" s="598">
        <v>3.9765682054677893</v>
      </c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2"/>
    </row>
    <row r="30" spans="1:21">
      <c r="A30" s="531"/>
      <c r="B30" s="596">
        <v>39386</v>
      </c>
      <c r="C30" s="598">
        <v>3.84</v>
      </c>
      <c r="D30" s="598">
        <v>3.7910483870967746</v>
      </c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2"/>
    </row>
    <row r="31" spans="1:21" ht="18">
      <c r="A31" s="531"/>
      <c r="B31" s="596">
        <v>39416</v>
      </c>
      <c r="C31" s="598">
        <v>3.08</v>
      </c>
      <c r="D31" s="598">
        <v>3.8957623401266663</v>
      </c>
      <c r="E31" s="530"/>
      <c r="F31" s="530"/>
      <c r="G31" s="530"/>
      <c r="H31" s="530"/>
      <c r="I31" s="530"/>
      <c r="J31" s="530"/>
      <c r="K31" s="371" t="s">
        <v>250</v>
      </c>
      <c r="L31" s="530"/>
      <c r="M31" s="530"/>
      <c r="N31" s="530"/>
      <c r="O31" s="530"/>
      <c r="P31" s="530"/>
      <c r="Q31" s="530"/>
      <c r="R31" s="530"/>
      <c r="S31" s="530"/>
      <c r="T31" s="532"/>
    </row>
    <row r="32" spans="1:21" ht="18">
      <c r="A32" s="531"/>
      <c r="B32" s="596">
        <v>39447</v>
      </c>
      <c r="C32" s="598">
        <v>3.29</v>
      </c>
      <c r="D32" s="598">
        <v>3.1292679136170598</v>
      </c>
      <c r="E32" s="530"/>
      <c r="F32" s="530"/>
      <c r="G32" s="530"/>
      <c r="H32" s="530"/>
      <c r="I32" s="530"/>
      <c r="J32" s="530"/>
      <c r="K32" s="371" t="s">
        <v>249</v>
      </c>
      <c r="L32" s="530"/>
      <c r="M32" s="530"/>
      <c r="N32" s="530"/>
      <c r="O32" s="530"/>
      <c r="P32" s="530"/>
      <c r="Q32" s="530"/>
      <c r="R32" s="530"/>
      <c r="S32" s="530"/>
      <c r="T32" s="532"/>
    </row>
    <row r="33" spans="1:20">
      <c r="A33" s="531"/>
      <c r="B33" s="596">
        <v>39478</v>
      </c>
      <c r="C33" s="598">
        <v>1.92</v>
      </c>
      <c r="D33" s="598">
        <v>3.2013606831241308</v>
      </c>
      <c r="E33" s="530"/>
      <c r="F33" s="530"/>
      <c r="G33" s="530"/>
      <c r="H33" s="530"/>
      <c r="I33" s="530"/>
      <c r="J33" s="530"/>
      <c r="K33" s="530"/>
      <c r="L33" s="530"/>
      <c r="M33" s="530"/>
      <c r="N33" s="530"/>
      <c r="O33" s="530"/>
      <c r="P33" s="530"/>
      <c r="Q33" s="530"/>
      <c r="R33" s="530"/>
      <c r="S33" s="530"/>
      <c r="T33" s="532"/>
    </row>
    <row r="34" spans="1:20">
      <c r="A34" s="531"/>
      <c r="B34" s="596">
        <v>39507</v>
      </c>
      <c r="C34" s="598">
        <v>1.81</v>
      </c>
      <c r="D34" s="598">
        <v>1.9458888175102105</v>
      </c>
      <c r="E34" s="530"/>
      <c r="F34" s="530"/>
      <c r="G34" s="530"/>
      <c r="H34" s="530"/>
      <c r="I34" s="530"/>
      <c r="J34" s="530"/>
      <c r="K34" s="530"/>
      <c r="L34" s="530"/>
      <c r="M34" s="530"/>
      <c r="N34" s="530"/>
      <c r="O34" s="530"/>
      <c r="P34" s="530"/>
      <c r="Q34" s="530"/>
      <c r="R34" s="530"/>
      <c r="S34" s="530"/>
      <c r="T34" s="532"/>
    </row>
    <row r="35" spans="1:20">
      <c r="A35" s="531"/>
      <c r="B35" s="596">
        <v>39538</v>
      </c>
      <c r="C35" s="598">
        <v>1.36</v>
      </c>
      <c r="D35" s="598">
        <v>1.8275967230126819</v>
      </c>
      <c r="E35" s="530"/>
      <c r="F35" s="530"/>
      <c r="G35" s="530"/>
      <c r="H35" s="530"/>
      <c r="I35" s="530"/>
      <c r="J35" s="530"/>
      <c r="K35" s="530"/>
      <c r="L35" s="530"/>
      <c r="M35" s="530"/>
      <c r="N35" s="530"/>
      <c r="O35" s="530"/>
      <c r="P35" s="530"/>
      <c r="Q35" s="530"/>
      <c r="R35" s="530"/>
      <c r="S35" s="530"/>
      <c r="T35" s="532"/>
    </row>
    <row r="36" spans="1:20">
      <c r="A36" s="531"/>
      <c r="B36" s="596">
        <v>39568</v>
      </c>
      <c r="C36" s="598">
        <v>1.41</v>
      </c>
      <c r="D36" s="598">
        <v>1.365052239780594</v>
      </c>
      <c r="E36" s="530"/>
      <c r="F36" s="530"/>
      <c r="G36" s="530"/>
      <c r="H36" s="530"/>
      <c r="I36" s="530"/>
      <c r="J36" s="530"/>
      <c r="K36" s="530"/>
      <c r="L36" s="530"/>
      <c r="M36" s="530"/>
      <c r="N36" s="530"/>
      <c r="O36" s="530"/>
      <c r="P36" s="530"/>
      <c r="Q36" s="530"/>
      <c r="R36" s="530"/>
      <c r="S36" s="530"/>
      <c r="T36" s="532"/>
    </row>
    <row r="37" spans="1:20">
      <c r="A37" s="531"/>
      <c r="B37" s="596">
        <v>39598</v>
      </c>
      <c r="C37" s="598">
        <v>1.85</v>
      </c>
      <c r="D37" s="598">
        <v>1.4056885553470915</v>
      </c>
      <c r="E37" s="530"/>
      <c r="F37" s="530"/>
      <c r="G37" s="530"/>
      <c r="H37" s="530"/>
      <c r="I37" s="530"/>
      <c r="J37" s="530"/>
      <c r="K37" s="530"/>
      <c r="L37" s="530"/>
      <c r="M37" s="530"/>
      <c r="N37" s="530"/>
      <c r="O37" s="530"/>
      <c r="P37" s="530"/>
      <c r="Q37" s="530"/>
      <c r="R37" s="530"/>
      <c r="S37" s="530"/>
      <c r="T37" s="532"/>
    </row>
    <row r="38" spans="1:20">
      <c r="A38" s="531"/>
      <c r="B38" s="596">
        <v>39629</v>
      </c>
      <c r="C38" s="598">
        <v>1.87</v>
      </c>
      <c r="D38" s="598">
        <v>0.66031753121144388</v>
      </c>
      <c r="E38" s="530"/>
      <c r="F38" s="530"/>
      <c r="G38" s="530"/>
      <c r="H38" s="530"/>
      <c r="I38" s="530"/>
      <c r="J38" s="530"/>
      <c r="K38" s="530"/>
      <c r="L38" s="530"/>
      <c r="M38" s="530"/>
      <c r="N38" s="530"/>
      <c r="O38" s="530"/>
      <c r="P38" s="530"/>
      <c r="Q38" s="530"/>
      <c r="R38" s="530"/>
      <c r="S38" s="530"/>
      <c r="T38" s="532"/>
    </row>
    <row r="39" spans="1:20">
      <c r="A39" s="531"/>
      <c r="B39" s="596">
        <v>39660</v>
      </c>
      <c r="C39" s="598">
        <v>1.65</v>
      </c>
      <c r="D39" s="598">
        <v>1.8528511831790697</v>
      </c>
      <c r="E39" s="530"/>
      <c r="F39" s="530"/>
      <c r="G39" s="530"/>
      <c r="H39" s="530"/>
      <c r="I39" s="530"/>
      <c r="J39" s="530"/>
      <c r="K39" s="530"/>
      <c r="L39" s="530"/>
      <c r="M39" s="530"/>
      <c r="N39" s="530"/>
      <c r="O39" s="530"/>
      <c r="P39" s="530"/>
      <c r="Q39" s="530"/>
      <c r="R39" s="530"/>
      <c r="S39" s="530"/>
      <c r="T39" s="532"/>
    </row>
    <row r="40" spans="1:20">
      <c r="A40" s="531"/>
      <c r="B40" s="596">
        <v>39689</v>
      </c>
      <c r="C40" s="598">
        <v>1.69</v>
      </c>
      <c r="D40" s="598">
        <v>1.6292772381407044</v>
      </c>
      <c r="E40" s="530"/>
      <c r="F40" s="530"/>
      <c r="G40" s="530"/>
      <c r="H40" s="530"/>
      <c r="I40" s="530"/>
      <c r="J40" s="530"/>
      <c r="K40" s="530"/>
      <c r="L40" s="530"/>
      <c r="M40" s="530"/>
      <c r="N40" s="530"/>
      <c r="O40" s="530"/>
      <c r="P40" s="530"/>
      <c r="Q40" s="530"/>
      <c r="R40" s="530"/>
      <c r="S40" s="530"/>
      <c r="T40" s="532"/>
    </row>
    <row r="41" spans="1:20">
      <c r="A41" s="531"/>
      <c r="B41" s="596">
        <v>39721</v>
      </c>
      <c r="C41" s="598">
        <v>0.9</v>
      </c>
      <c r="D41" s="598">
        <v>1.6623264740427526</v>
      </c>
      <c r="E41" s="530"/>
      <c r="F41" s="530"/>
      <c r="G41" s="530"/>
      <c r="H41" s="530"/>
      <c r="I41" s="530"/>
      <c r="J41" s="530"/>
      <c r="K41" s="530"/>
      <c r="L41" s="530"/>
      <c r="M41" s="530"/>
      <c r="N41" s="530"/>
      <c r="O41" s="530"/>
      <c r="P41" s="530"/>
      <c r="Q41" s="530"/>
      <c r="R41" s="530"/>
      <c r="S41" s="530"/>
      <c r="T41" s="532"/>
    </row>
    <row r="42" spans="1:20">
      <c r="A42" s="531"/>
      <c r="B42" s="596">
        <v>39752</v>
      </c>
      <c r="C42" s="598">
        <v>0.44</v>
      </c>
      <c r="D42" s="598">
        <v>0.94045848781861208</v>
      </c>
      <c r="E42" s="530"/>
      <c r="F42" s="530"/>
      <c r="G42" s="530"/>
      <c r="H42" s="530"/>
      <c r="I42" s="530"/>
      <c r="J42" s="530"/>
      <c r="K42" s="530"/>
      <c r="L42" s="530"/>
      <c r="M42" s="530"/>
      <c r="N42" s="530"/>
      <c r="O42" s="530"/>
      <c r="P42" s="530"/>
      <c r="Q42" s="530"/>
      <c r="R42" s="530"/>
      <c r="S42" s="530"/>
      <c r="T42" s="532"/>
    </row>
    <row r="43" spans="1:20">
      <c r="A43" s="531"/>
      <c r="B43" s="596">
        <v>39780</v>
      </c>
      <c r="C43" s="598">
        <v>0.01</v>
      </c>
      <c r="D43" s="598">
        <v>0.40415393950245149</v>
      </c>
      <c r="E43" s="530"/>
      <c r="F43" s="530"/>
      <c r="G43" s="530"/>
      <c r="H43" s="530"/>
      <c r="I43" s="530"/>
      <c r="J43" s="530"/>
      <c r="K43" s="530"/>
      <c r="L43" s="530"/>
      <c r="M43" s="530"/>
      <c r="N43" s="530"/>
      <c r="O43" s="530"/>
      <c r="P43" s="530"/>
      <c r="Q43" s="530"/>
      <c r="R43" s="530"/>
      <c r="S43" s="530"/>
      <c r="T43" s="532"/>
    </row>
    <row r="44" spans="1:20">
      <c r="A44" s="531"/>
      <c r="B44" s="596">
        <v>39813</v>
      </c>
      <c r="C44" s="598">
        <v>0.11</v>
      </c>
      <c r="D44" s="598">
        <v>-4.1072036047864212E-2</v>
      </c>
      <c r="E44" s="530"/>
      <c r="F44" s="530"/>
      <c r="G44" s="530"/>
      <c r="H44" s="530"/>
      <c r="I44" s="530"/>
      <c r="J44" s="530"/>
      <c r="K44" s="530"/>
      <c r="L44" s="530"/>
      <c r="M44" s="530"/>
      <c r="N44" s="530"/>
      <c r="O44" s="530"/>
      <c r="P44" s="530"/>
      <c r="Q44" s="530"/>
      <c r="R44" s="530"/>
      <c r="S44" s="530"/>
      <c r="T44" s="532"/>
    </row>
    <row r="45" spans="1:20">
      <c r="A45" s="531"/>
      <c r="B45" s="596">
        <v>39843</v>
      </c>
      <c r="C45" s="598">
        <v>0.24</v>
      </c>
      <c r="D45" s="598">
        <v>-0.1389591391452869</v>
      </c>
      <c r="E45" s="530"/>
      <c r="F45" s="530"/>
      <c r="G45" s="530"/>
      <c r="H45" s="530"/>
      <c r="I45" s="530"/>
      <c r="J45" s="530"/>
      <c r="K45" s="530"/>
      <c r="L45" s="530"/>
      <c r="M45" s="530"/>
      <c r="N45" s="530"/>
      <c r="O45" s="530"/>
      <c r="P45" s="530"/>
      <c r="Q45" s="530"/>
      <c r="R45" s="530"/>
      <c r="S45" s="530"/>
      <c r="T45" s="532"/>
    </row>
    <row r="46" spans="1:20" ht="16" customHeight="1">
      <c r="A46" s="531"/>
      <c r="B46" s="596">
        <v>39871</v>
      </c>
      <c r="C46" s="598">
        <v>0.26</v>
      </c>
      <c r="D46" s="598">
        <v>0.16922969222907111</v>
      </c>
      <c r="E46" s="530"/>
      <c r="F46" s="530"/>
      <c r="G46" s="530"/>
      <c r="H46" s="530"/>
      <c r="I46" s="530"/>
      <c r="J46" s="530"/>
      <c r="K46" s="530"/>
      <c r="L46" s="530"/>
      <c r="M46" s="530"/>
      <c r="N46" s="530"/>
      <c r="O46" s="530"/>
      <c r="P46" s="530"/>
      <c r="Q46" s="530"/>
      <c r="R46" s="530"/>
      <c r="S46" s="530"/>
      <c r="T46" s="532"/>
    </row>
    <row r="47" spans="1:20" ht="17" customHeight="1">
      <c r="A47" s="531"/>
      <c r="B47" s="596">
        <v>39903</v>
      </c>
      <c r="C47" s="598">
        <v>0.21</v>
      </c>
      <c r="D47" s="598">
        <v>0.18224966344780053</v>
      </c>
      <c r="E47" s="530"/>
      <c r="F47" s="530"/>
      <c r="G47" s="530"/>
      <c r="H47" s="530"/>
      <c r="I47" s="530"/>
      <c r="J47" s="530"/>
      <c r="K47" s="530"/>
      <c r="L47" s="530"/>
      <c r="M47" s="530"/>
      <c r="N47" s="530"/>
      <c r="O47" s="530"/>
      <c r="P47" s="530"/>
      <c r="Q47" s="530"/>
      <c r="R47" s="530"/>
      <c r="S47" s="530"/>
      <c r="T47" s="532"/>
    </row>
    <row r="48" spans="1:20" ht="16" customHeight="1">
      <c r="A48" s="531"/>
      <c r="B48" s="596">
        <v>39933</v>
      </c>
      <c r="C48" s="598">
        <v>0.14000000000000001</v>
      </c>
      <c r="D48" s="598">
        <v>0.1465030294752932</v>
      </c>
      <c r="E48" s="530"/>
      <c r="F48" s="530"/>
      <c r="G48" s="530"/>
      <c r="H48" s="530"/>
      <c r="I48" s="530"/>
      <c r="J48" s="530"/>
      <c r="K48" s="530"/>
      <c r="L48" s="530"/>
      <c r="M48" s="530"/>
      <c r="N48" s="530"/>
      <c r="O48" s="530"/>
      <c r="P48" s="530"/>
      <c r="Q48" s="530"/>
      <c r="R48" s="530"/>
      <c r="S48" s="530"/>
      <c r="T48" s="532"/>
    </row>
    <row r="49" spans="1:20" ht="17" customHeight="1">
      <c r="A49" s="531"/>
      <c r="B49" s="596">
        <v>39962</v>
      </c>
      <c r="C49" s="598">
        <v>0.14000000000000001</v>
      </c>
      <c r="D49" s="598">
        <v>-5.8233586408185656E-3</v>
      </c>
      <c r="E49" s="530"/>
      <c r="F49" s="530"/>
      <c r="G49" s="530"/>
      <c r="H49" s="530"/>
      <c r="I49" s="530"/>
      <c r="J49" s="530"/>
      <c r="K49" s="530"/>
      <c r="L49" s="530"/>
      <c r="M49" s="530"/>
      <c r="N49" s="530"/>
      <c r="O49" s="530"/>
      <c r="P49" s="530"/>
      <c r="Q49" s="530"/>
      <c r="R49" s="530"/>
      <c r="S49" s="530"/>
      <c r="T49" s="532"/>
    </row>
    <row r="50" spans="1:20" ht="29" customHeight="1">
      <c r="A50" s="531"/>
      <c r="B50" s="596">
        <v>39994</v>
      </c>
      <c r="C50" s="598">
        <v>0.19</v>
      </c>
      <c r="D50" s="598">
        <v>-4.33104557079333E-2</v>
      </c>
      <c r="E50" s="530"/>
      <c r="F50" s="530"/>
      <c r="G50" s="530"/>
      <c r="H50" s="530"/>
      <c r="I50" s="530"/>
      <c r="J50" s="530"/>
      <c r="K50" s="530"/>
      <c r="L50" s="530"/>
      <c r="M50" s="530"/>
      <c r="N50" s="530"/>
      <c r="O50" s="530"/>
      <c r="P50" s="530"/>
      <c r="Q50" s="530"/>
      <c r="R50" s="530"/>
      <c r="S50" s="530"/>
      <c r="T50" s="532"/>
    </row>
    <row r="51" spans="1:20">
      <c r="A51" s="531"/>
      <c r="B51" s="596">
        <v>40025</v>
      </c>
      <c r="C51" s="598">
        <v>0.18</v>
      </c>
      <c r="D51" s="598">
        <v>8.3656852152200215E-2</v>
      </c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  <c r="P51" s="530"/>
      <c r="Q51" s="530"/>
      <c r="R51" s="530"/>
      <c r="S51" s="530"/>
      <c r="T51" s="532"/>
    </row>
    <row r="52" spans="1:20">
      <c r="A52" s="531"/>
      <c r="B52" s="596">
        <v>40056</v>
      </c>
      <c r="C52" s="598">
        <v>0.15</v>
      </c>
      <c r="D52" s="598">
        <v>6.407528912435935E-2</v>
      </c>
      <c r="E52" s="530"/>
      <c r="F52" s="530"/>
      <c r="G52" s="530"/>
      <c r="H52" s="530"/>
      <c r="I52" s="530"/>
      <c r="J52" s="530"/>
      <c r="K52" s="530"/>
      <c r="L52" s="530"/>
      <c r="M52" s="530"/>
      <c r="N52" s="530"/>
      <c r="O52" s="530"/>
      <c r="P52" s="530"/>
      <c r="Q52" s="530"/>
      <c r="R52" s="530"/>
      <c r="S52" s="530"/>
      <c r="T52" s="532"/>
    </row>
    <row r="53" spans="1:20">
      <c r="A53" s="531"/>
      <c r="B53" s="596">
        <v>40086</v>
      </c>
      <c r="C53" s="598">
        <v>0.14000000000000001</v>
      </c>
      <c r="D53" s="598">
        <v>5.107008168924318E-2</v>
      </c>
      <c r="E53" s="530"/>
      <c r="F53" s="530"/>
      <c r="G53" s="530"/>
      <c r="H53" s="530"/>
      <c r="I53" s="530"/>
      <c r="J53" s="530"/>
      <c r="K53" s="530"/>
      <c r="L53" s="530"/>
      <c r="M53" s="530"/>
      <c r="N53" s="530"/>
      <c r="O53" s="530"/>
      <c r="P53" s="530"/>
      <c r="Q53" s="530"/>
      <c r="R53" s="530"/>
      <c r="S53" s="530"/>
      <c r="T53" s="532"/>
    </row>
    <row r="54" spans="1:20">
      <c r="A54" s="531"/>
      <c r="B54" s="596">
        <v>40116</v>
      </c>
      <c r="C54" s="598">
        <v>0.05</v>
      </c>
      <c r="D54" s="598">
        <v>5.895443037411225E-2</v>
      </c>
      <c r="E54" s="530"/>
      <c r="F54" s="530"/>
      <c r="G54" s="530"/>
      <c r="H54" s="530"/>
      <c r="I54" s="530"/>
      <c r="J54" s="530"/>
      <c r="K54" s="530"/>
      <c r="L54" s="530"/>
      <c r="M54" s="530"/>
      <c r="N54" s="530"/>
      <c r="O54" s="530"/>
      <c r="P54" s="530"/>
      <c r="Q54" s="530"/>
      <c r="R54" s="530"/>
      <c r="S54" s="530"/>
      <c r="T54" s="532"/>
    </row>
    <row r="55" spans="1:20">
      <c r="A55" s="531"/>
      <c r="B55" s="596">
        <v>40147</v>
      </c>
      <c r="C55" s="598">
        <v>0.06</v>
      </c>
      <c r="D55" s="598">
        <v>-2.4361546303934941E-2</v>
      </c>
      <c r="E55" s="530"/>
      <c r="F55" s="530"/>
      <c r="G55" s="530"/>
      <c r="H55" s="530"/>
      <c r="I55" s="530"/>
      <c r="J55" s="530"/>
      <c r="K55" s="530"/>
      <c r="L55" s="530"/>
      <c r="M55" s="530"/>
      <c r="N55" s="530"/>
      <c r="O55" s="530"/>
      <c r="P55" s="530"/>
      <c r="Q55" s="530"/>
      <c r="R55" s="530"/>
      <c r="S55" s="530"/>
      <c r="T55" s="532"/>
    </row>
    <row r="56" spans="1:20">
      <c r="A56" s="531"/>
      <c r="B56" s="596">
        <v>40178</v>
      </c>
      <c r="C56" s="598">
        <v>0.06</v>
      </c>
      <c r="D56" s="598">
        <v>-3.9699022668540133E-2</v>
      </c>
      <c r="E56" s="530"/>
      <c r="F56" s="530"/>
      <c r="G56" s="530"/>
      <c r="H56" s="530"/>
      <c r="I56" s="530"/>
      <c r="J56" s="530"/>
      <c r="K56" s="530"/>
      <c r="L56" s="530"/>
      <c r="M56" s="530"/>
      <c r="N56" s="530"/>
      <c r="O56" s="530"/>
      <c r="P56" s="530"/>
      <c r="Q56" s="530"/>
      <c r="R56" s="530"/>
      <c r="S56" s="530"/>
      <c r="T56" s="532"/>
    </row>
    <row r="57" spans="1:20">
      <c r="A57" s="531"/>
      <c r="B57" s="596">
        <v>40207</v>
      </c>
      <c r="C57" s="598">
        <v>0.08</v>
      </c>
      <c r="D57" s="598">
        <v>-1.3549982522027562E-2</v>
      </c>
      <c r="E57" s="530"/>
      <c r="F57" s="530"/>
      <c r="G57" s="530"/>
      <c r="H57" s="530"/>
      <c r="I57" s="530"/>
      <c r="J57" s="530"/>
      <c r="K57" s="530"/>
      <c r="L57" s="530"/>
      <c r="M57" s="530"/>
      <c r="N57" s="530"/>
      <c r="O57" s="530"/>
      <c r="P57" s="530"/>
      <c r="Q57" s="530"/>
      <c r="R57" s="530"/>
      <c r="S57" s="530"/>
      <c r="T57" s="532"/>
    </row>
    <row r="58" spans="1:20">
      <c r="A58" s="531"/>
      <c r="B58" s="596">
        <v>40235</v>
      </c>
      <c r="C58" s="598">
        <v>0.13</v>
      </c>
      <c r="D58" s="598">
        <v>8.6136367513357098E-3</v>
      </c>
      <c r="E58" s="530"/>
      <c r="F58" s="530"/>
      <c r="G58" s="530"/>
      <c r="H58" s="530"/>
      <c r="I58" s="530"/>
      <c r="J58" s="530"/>
      <c r="K58" s="530"/>
      <c r="L58" s="530"/>
      <c r="M58" s="530"/>
      <c r="N58" s="530"/>
      <c r="O58" s="530"/>
      <c r="P58" s="530"/>
      <c r="Q58" s="530"/>
      <c r="R58" s="530"/>
      <c r="S58" s="530"/>
      <c r="T58" s="532"/>
    </row>
    <row r="59" spans="1:20">
      <c r="A59" s="531"/>
      <c r="B59" s="596">
        <v>40268</v>
      </c>
      <c r="C59" s="598">
        <v>0.16</v>
      </c>
      <c r="D59" s="598">
        <v>3.8013559255945933E-2</v>
      </c>
      <c r="E59" s="530"/>
      <c r="F59" s="530"/>
      <c r="G59" s="530"/>
      <c r="H59" s="530"/>
      <c r="I59" s="530"/>
      <c r="J59" s="530"/>
      <c r="K59" s="530"/>
      <c r="L59" s="530"/>
      <c r="M59" s="530"/>
      <c r="N59" s="530"/>
      <c r="O59" s="530"/>
      <c r="P59" s="530"/>
      <c r="Q59" s="530"/>
      <c r="R59" s="530"/>
      <c r="S59" s="530"/>
      <c r="T59" s="532"/>
    </row>
    <row r="60" spans="1:20">
      <c r="A60" s="531"/>
      <c r="B60" s="596">
        <v>40298</v>
      </c>
      <c r="C60" s="598">
        <v>0.16</v>
      </c>
      <c r="D60" s="598">
        <v>8.3347610376097392E-2</v>
      </c>
      <c r="E60" s="530"/>
      <c r="F60" s="530"/>
      <c r="G60" s="530"/>
      <c r="H60" s="530"/>
      <c r="I60" s="530"/>
      <c r="J60" s="530"/>
      <c r="K60" s="530"/>
      <c r="L60" s="530"/>
      <c r="M60" s="530"/>
      <c r="N60" s="530"/>
      <c r="O60" s="530"/>
      <c r="P60" s="530"/>
      <c r="Q60" s="530"/>
      <c r="R60" s="530"/>
      <c r="S60" s="530"/>
      <c r="T60" s="532"/>
    </row>
    <row r="61" spans="1:20">
      <c r="A61" s="531"/>
      <c r="B61" s="596">
        <v>40329</v>
      </c>
      <c r="C61" s="598">
        <v>0.16</v>
      </c>
      <c r="D61" s="598">
        <v>7.8358265390522486E-2</v>
      </c>
      <c r="E61" s="530"/>
      <c r="F61" s="530"/>
      <c r="G61" s="530"/>
      <c r="H61" s="530"/>
      <c r="I61" s="530"/>
      <c r="J61" s="530"/>
      <c r="K61" s="530"/>
      <c r="L61" s="530"/>
      <c r="M61" s="530"/>
      <c r="N61" s="530"/>
      <c r="O61" s="530"/>
      <c r="P61" s="530"/>
      <c r="Q61" s="530"/>
      <c r="R61" s="530"/>
      <c r="S61" s="530"/>
      <c r="T61" s="532"/>
    </row>
    <row r="62" spans="1:20">
      <c r="A62" s="531"/>
      <c r="B62" s="596">
        <v>40359</v>
      </c>
      <c r="C62" s="598">
        <v>0.18</v>
      </c>
      <c r="D62" s="598">
        <v>8.3671046695241016E-2</v>
      </c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  <c r="P62" s="530"/>
      <c r="Q62" s="530"/>
      <c r="R62" s="530"/>
      <c r="S62" s="530"/>
      <c r="T62" s="532"/>
    </row>
    <row r="63" spans="1:20">
      <c r="A63" s="531"/>
      <c r="B63" s="596">
        <v>40389</v>
      </c>
      <c r="C63" s="598">
        <v>0.15</v>
      </c>
      <c r="D63" s="598">
        <v>0.10145892913057021</v>
      </c>
      <c r="E63" s="530"/>
      <c r="F63" s="530"/>
      <c r="G63" s="530"/>
      <c r="H63" s="530"/>
      <c r="I63" s="530"/>
      <c r="J63" s="530"/>
      <c r="K63" s="530"/>
      <c r="L63" s="530"/>
      <c r="M63" s="530"/>
      <c r="N63" s="530"/>
      <c r="O63" s="530"/>
      <c r="P63" s="530"/>
      <c r="Q63" s="530"/>
      <c r="R63" s="530"/>
      <c r="S63" s="530"/>
      <c r="T63" s="532"/>
    </row>
    <row r="64" spans="1:20">
      <c r="A64" s="531"/>
      <c r="B64" s="596">
        <v>40421</v>
      </c>
      <c r="C64" s="598">
        <v>0.14000000000000001</v>
      </c>
      <c r="D64" s="598">
        <v>6.9304426633437319E-2</v>
      </c>
      <c r="E64" s="530"/>
      <c r="F64" s="530"/>
      <c r="G64" s="530"/>
      <c r="H64" s="530"/>
      <c r="I64" s="530"/>
      <c r="J64" s="530"/>
      <c r="K64" s="530"/>
      <c r="L64" s="530"/>
      <c r="M64" s="530"/>
      <c r="N64" s="530"/>
      <c r="O64" s="530"/>
      <c r="P64" s="530"/>
      <c r="Q64" s="530"/>
      <c r="R64" s="530"/>
      <c r="S64" s="530"/>
      <c r="T64" s="532"/>
    </row>
    <row r="65" spans="1:20">
      <c r="A65" s="531"/>
      <c r="B65" s="596">
        <v>40451</v>
      </c>
      <c r="C65" s="598">
        <v>0.16</v>
      </c>
      <c r="D65" s="598">
        <v>6.4757205639157711E-2</v>
      </c>
      <c r="E65" s="530"/>
      <c r="F65" s="530"/>
      <c r="G65" s="530"/>
      <c r="H65" s="530"/>
      <c r="I65" s="530"/>
      <c r="J65" s="530"/>
      <c r="K65" s="530"/>
      <c r="L65" s="530"/>
      <c r="M65" s="530"/>
      <c r="N65" s="530"/>
      <c r="O65" s="530"/>
      <c r="P65" s="530"/>
      <c r="Q65" s="530"/>
      <c r="R65" s="530"/>
      <c r="S65" s="530"/>
      <c r="T65" s="532"/>
    </row>
    <row r="66" spans="1:20">
      <c r="A66" s="531"/>
      <c r="B66" s="596">
        <v>40480</v>
      </c>
      <c r="C66" s="598">
        <v>0.12</v>
      </c>
      <c r="D66" s="598">
        <v>8.5332505175984341E-2</v>
      </c>
      <c r="E66" s="530"/>
      <c r="F66" s="530"/>
      <c r="G66" s="530"/>
      <c r="H66" s="530"/>
      <c r="I66" s="530"/>
      <c r="J66" s="530"/>
      <c r="K66" s="530"/>
      <c r="L66" s="530"/>
      <c r="M66" s="530"/>
      <c r="N66" s="530"/>
      <c r="O66" s="530"/>
      <c r="P66" s="530"/>
      <c r="Q66" s="530"/>
      <c r="R66" s="530"/>
      <c r="S66" s="530"/>
      <c r="T66" s="532"/>
    </row>
    <row r="67" spans="1:20">
      <c r="A67" s="531"/>
      <c r="B67" s="596">
        <v>40512</v>
      </c>
      <c r="C67" s="598">
        <v>0.17</v>
      </c>
      <c r="D67" s="598">
        <v>4.0711305514244289E-2</v>
      </c>
      <c r="E67" s="530"/>
      <c r="F67" s="530"/>
      <c r="G67" s="530"/>
      <c r="H67" s="530"/>
      <c r="I67" s="530"/>
      <c r="J67" s="530"/>
      <c r="K67" s="530"/>
      <c r="L67" s="530"/>
      <c r="M67" s="530"/>
      <c r="N67" s="530"/>
      <c r="O67" s="530"/>
      <c r="P67" s="530"/>
      <c r="Q67" s="530"/>
      <c r="R67" s="530"/>
      <c r="S67" s="530"/>
      <c r="T67" s="532"/>
    </row>
    <row r="68" spans="1:20" ht="17" customHeight="1">
      <c r="A68" s="531"/>
      <c r="B68" s="596">
        <v>40543</v>
      </c>
      <c r="C68" s="598">
        <v>0.12</v>
      </c>
      <c r="D68" s="598">
        <v>9.1431730165942665E-2</v>
      </c>
      <c r="E68" s="530"/>
      <c r="F68" s="530"/>
      <c r="G68" s="530"/>
      <c r="H68" s="530"/>
      <c r="I68" s="530"/>
      <c r="J68" s="530"/>
      <c r="K68" s="530"/>
      <c r="L68" s="530"/>
      <c r="M68" s="530"/>
      <c r="N68" s="530"/>
      <c r="O68" s="530"/>
      <c r="P68" s="530"/>
      <c r="Q68" s="530"/>
      <c r="R68" s="530"/>
      <c r="S68" s="530"/>
      <c r="T68" s="532"/>
    </row>
    <row r="69" spans="1:20">
      <c r="A69" s="531"/>
      <c r="B69" s="596">
        <v>40574</v>
      </c>
      <c r="C69" s="598">
        <v>0.15</v>
      </c>
      <c r="D69" s="598">
        <v>4.4484693549423811E-2</v>
      </c>
      <c r="E69" s="530"/>
      <c r="F69" s="530"/>
      <c r="G69" s="530"/>
      <c r="H69" s="530"/>
      <c r="I69" s="530"/>
      <c r="J69" s="530"/>
      <c r="K69" s="530"/>
      <c r="L69" s="530"/>
      <c r="M69" s="530"/>
      <c r="N69" s="530"/>
      <c r="O69" s="530"/>
      <c r="P69" s="530"/>
      <c r="Q69" s="530"/>
      <c r="R69" s="530"/>
      <c r="S69" s="530"/>
      <c r="T69" s="532"/>
    </row>
    <row r="70" spans="1:20">
      <c r="A70" s="531"/>
      <c r="B70" s="596">
        <v>40602</v>
      </c>
      <c r="C70" s="598">
        <v>0.15</v>
      </c>
      <c r="D70" s="598">
        <v>8.2395170247579128E-2</v>
      </c>
      <c r="E70" s="530"/>
      <c r="F70" s="530"/>
      <c r="G70" s="530"/>
      <c r="H70" s="530"/>
      <c r="I70" s="530"/>
      <c r="J70" s="530"/>
      <c r="K70" s="530"/>
      <c r="L70" s="530"/>
      <c r="M70" s="530"/>
      <c r="N70" s="530"/>
      <c r="O70" s="530"/>
      <c r="P70" s="530"/>
      <c r="Q70" s="530"/>
      <c r="R70" s="530"/>
      <c r="S70" s="530"/>
      <c r="T70" s="532"/>
    </row>
    <row r="71" spans="1:20">
      <c r="A71" s="531"/>
      <c r="B71" s="596">
        <v>40633</v>
      </c>
      <c r="C71" s="598">
        <v>0.09</v>
      </c>
      <c r="D71" s="598">
        <v>6.8671087172014381E-2</v>
      </c>
      <c r="E71" s="530"/>
      <c r="F71" s="530"/>
      <c r="G71" s="530"/>
      <c r="H71" s="530"/>
      <c r="I71" s="530"/>
      <c r="J71" s="530"/>
      <c r="K71" s="530"/>
      <c r="L71" s="530"/>
      <c r="M71" s="530"/>
      <c r="N71" s="530"/>
      <c r="O71" s="530"/>
      <c r="P71" s="530"/>
      <c r="Q71" s="530"/>
      <c r="R71" s="530"/>
      <c r="S71" s="530"/>
      <c r="T71" s="532"/>
    </row>
    <row r="72" spans="1:20">
      <c r="A72" s="531"/>
      <c r="B72" s="596">
        <v>40662</v>
      </c>
      <c r="C72" s="598">
        <v>0.04</v>
      </c>
      <c r="D72" s="598">
        <v>2.1244996099665889E-2</v>
      </c>
      <c r="E72" s="530"/>
      <c r="F72" s="530"/>
      <c r="G72" s="530"/>
      <c r="H72" s="530"/>
      <c r="I72" s="530"/>
      <c r="J72" s="530"/>
      <c r="K72" s="530"/>
      <c r="L72" s="530"/>
      <c r="M72" s="530"/>
      <c r="N72" s="530"/>
      <c r="O72" s="530"/>
      <c r="P72" s="530"/>
      <c r="Q72" s="530"/>
      <c r="R72" s="530"/>
      <c r="S72" s="530"/>
      <c r="T72" s="532"/>
    </row>
    <row r="73" spans="1:20">
      <c r="A73" s="531"/>
      <c r="B73" s="596">
        <v>40694</v>
      </c>
      <c r="C73" s="598">
        <v>0.06</v>
      </c>
      <c r="D73" s="598">
        <v>-3.7568081494058519E-2</v>
      </c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  <c r="P73" s="530"/>
      <c r="Q73" s="530"/>
      <c r="R73" s="530"/>
      <c r="S73" s="530"/>
      <c r="T73" s="532"/>
    </row>
    <row r="74" spans="1:20">
      <c r="A74" s="531"/>
      <c r="B74" s="596">
        <v>40724</v>
      </c>
      <c r="C74" s="598">
        <v>0.03</v>
      </c>
      <c r="D74" s="598">
        <v>-9.8634981317485271E-3</v>
      </c>
      <c r="E74" s="530"/>
      <c r="F74" s="530"/>
      <c r="G74" s="530"/>
      <c r="H74" s="530"/>
      <c r="I74" s="530"/>
      <c r="J74" s="530"/>
      <c r="K74" s="530"/>
      <c r="L74" s="530"/>
      <c r="M74" s="530"/>
      <c r="N74" s="530"/>
      <c r="O74" s="530"/>
      <c r="P74" s="530"/>
      <c r="Q74" s="530"/>
      <c r="R74" s="530"/>
      <c r="S74" s="530"/>
      <c r="T74" s="532"/>
    </row>
    <row r="75" spans="1:20">
      <c r="A75" s="531"/>
      <c r="B75" s="596">
        <v>40753</v>
      </c>
      <c r="C75" s="598">
        <v>0.1</v>
      </c>
      <c r="D75" s="598">
        <v>-3.9142844497275703E-2</v>
      </c>
      <c r="E75" s="530"/>
      <c r="F75" s="530"/>
      <c r="G75" s="530"/>
      <c r="H75" s="530"/>
      <c r="I75" s="530"/>
      <c r="J75" s="530"/>
      <c r="K75" s="530"/>
      <c r="L75" s="530"/>
      <c r="M75" s="530"/>
      <c r="N75" s="530"/>
      <c r="O75" s="530"/>
      <c r="P75" s="530"/>
      <c r="Q75" s="530"/>
      <c r="R75" s="530"/>
      <c r="S75" s="530"/>
      <c r="T75" s="532"/>
    </row>
    <row r="76" spans="1:20">
      <c r="A76" s="531"/>
      <c r="B76" s="596">
        <v>40786</v>
      </c>
      <c r="C76" s="598">
        <v>0.02</v>
      </c>
      <c r="D76" s="598">
        <v>2.4656979300814359E-2</v>
      </c>
      <c r="E76" s="530"/>
      <c r="F76" s="530"/>
      <c r="G76" s="530"/>
      <c r="H76" s="530"/>
      <c r="I76" s="530"/>
      <c r="J76" s="530"/>
      <c r="K76" s="530"/>
      <c r="L76" s="530"/>
      <c r="M76" s="530"/>
      <c r="N76" s="530"/>
      <c r="O76" s="530"/>
      <c r="P76" s="530"/>
      <c r="Q76" s="530"/>
      <c r="R76" s="530"/>
      <c r="S76" s="530"/>
      <c r="T76" s="532"/>
    </row>
    <row r="77" spans="1:20">
      <c r="A77" s="531"/>
      <c r="B77" s="596">
        <v>40816</v>
      </c>
      <c r="C77" s="598">
        <v>0.02</v>
      </c>
      <c r="D77" s="598">
        <v>-4.7828932444082276E-2</v>
      </c>
      <c r="E77" s="530"/>
      <c r="F77" s="530"/>
      <c r="G77" s="530"/>
      <c r="H77" s="530"/>
      <c r="I77" s="530"/>
      <c r="J77" s="530"/>
      <c r="K77" s="530"/>
      <c r="L77" s="530"/>
      <c r="M77" s="530"/>
      <c r="N77" s="530"/>
      <c r="O77" s="530"/>
      <c r="P77" s="530"/>
      <c r="Q77" s="530"/>
      <c r="R77" s="530"/>
      <c r="S77" s="530"/>
      <c r="T77" s="532"/>
    </row>
    <row r="78" spans="1:20">
      <c r="A78" s="531"/>
      <c r="B78" s="596">
        <v>40847</v>
      </c>
      <c r="C78" s="598">
        <v>0.01</v>
      </c>
      <c r="D78" s="598">
        <v>-5.1627706384589918E-2</v>
      </c>
      <c r="E78" s="530"/>
      <c r="F78" s="530"/>
      <c r="G78" s="530"/>
      <c r="H78" s="530"/>
      <c r="I78" s="530"/>
      <c r="J78" s="530"/>
      <c r="K78" s="530"/>
      <c r="L78" s="530"/>
      <c r="M78" s="530"/>
      <c r="N78" s="530"/>
      <c r="O78" s="530"/>
      <c r="P78" s="530"/>
      <c r="Q78" s="530"/>
      <c r="R78" s="530"/>
      <c r="S78" s="530"/>
      <c r="T78" s="532"/>
    </row>
    <row r="79" spans="1:20">
      <c r="A79" s="531"/>
      <c r="B79" s="596">
        <v>40877</v>
      </c>
      <c r="C79" s="598">
        <v>0.01</v>
      </c>
      <c r="D79" s="598">
        <v>-5.6470761093153903E-2</v>
      </c>
      <c r="E79" s="530"/>
      <c r="F79" s="530"/>
      <c r="G79" s="530"/>
      <c r="H79" s="530"/>
      <c r="I79" s="530"/>
      <c r="J79" s="530"/>
      <c r="K79" s="530"/>
      <c r="L79" s="530"/>
      <c r="M79" s="530"/>
      <c r="N79" s="530"/>
      <c r="O79" s="530"/>
      <c r="P79" s="530"/>
      <c r="Q79" s="530"/>
      <c r="R79" s="530"/>
      <c r="S79" s="530"/>
      <c r="T79" s="532"/>
    </row>
    <row r="80" spans="1:20">
      <c r="A80" s="531"/>
      <c r="B80" s="596">
        <v>40907</v>
      </c>
      <c r="C80" s="598">
        <v>0.02</v>
      </c>
      <c r="D80" s="598">
        <v>-2.6342466947295792E-3</v>
      </c>
      <c r="E80" s="530"/>
      <c r="F80" s="530"/>
      <c r="G80" s="530"/>
      <c r="H80" s="530"/>
      <c r="I80" s="530"/>
      <c r="J80" s="530"/>
      <c r="K80" s="530"/>
      <c r="L80" s="530"/>
      <c r="M80" s="530"/>
      <c r="N80" s="530"/>
      <c r="O80" s="530"/>
      <c r="P80" s="530"/>
      <c r="Q80" s="530"/>
      <c r="R80" s="530"/>
      <c r="S80" s="530"/>
      <c r="T80" s="532"/>
    </row>
    <row r="81" spans="1:20">
      <c r="A81" s="531"/>
      <c r="B81" s="596">
        <v>40939</v>
      </c>
      <c r="C81" s="598">
        <v>0.06</v>
      </c>
      <c r="D81" s="598">
        <v>-4.9415043747775861E-2</v>
      </c>
      <c r="E81" s="530"/>
      <c r="F81" s="530"/>
      <c r="G81" s="530"/>
      <c r="H81" s="530"/>
      <c r="I81" s="530"/>
      <c r="J81" s="530"/>
      <c r="K81" s="530"/>
      <c r="L81" s="530"/>
      <c r="M81" s="530"/>
      <c r="N81" s="530"/>
      <c r="O81" s="530"/>
      <c r="P81" s="530"/>
      <c r="Q81" s="530"/>
      <c r="R81" s="530"/>
      <c r="S81" s="530"/>
      <c r="T81" s="532"/>
    </row>
    <row r="82" spans="1:20">
      <c r="A82" s="531"/>
      <c r="B82" s="596">
        <v>40968</v>
      </c>
      <c r="C82" s="598">
        <v>0.08</v>
      </c>
      <c r="D82" s="598">
        <v>-2.1907556721105573E-3</v>
      </c>
      <c r="E82" s="530"/>
      <c r="F82" s="530"/>
      <c r="G82" s="530"/>
      <c r="H82" s="530"/>
      <c r="I82" s="530"/>
      <c r="J82" s="530"/>
      <c r="K82" s="530"/>
      <c r="L82" s="530"/>
      <c r="M82" s="530"/>
      <c r="N82" s="530"/>
      <c r="O82" s="530"/>
      <c r="P82" s="530"/>
      <c r="Q82" s="530"/>
      <c r="R82" s="530"/>
      <c r="S82" s="530"/>
      <c r="T82" s="532"/>
    </row>
    <row r="83" spans="1:20">
      <c r="A83" s="531"/>
      <c r="B83" s="596">
        <v>40998</v>
      </c>
      <c r="C83" s="598">
        <v>7.0000000000000007E-2</v>
      </c>
      <c r="D83" s="598">
        <v>1.2184165716884795E-2</v>
      </c>
      <c r="E83" s="530"/>
      <c r="F83" s="530"/>
      <c r="G83" s="530"/>
      <c r="H83" s="530"/>
      <c r="I83" s="530"/>
      <c r="J83" s="530"/>
      <c r="K83" s="530"/>
      <c r="L83" s="530"/>
      <c r="M83" s="530"/>
      <c r="N83" s="530"/>
      <c r="O83" s="530"/>
      <c r="P83" s="530"/>
      <c r="Q83" s="530"/>
      <c r="R83" s="530"/>
      <c r="S83" s="530"/>
      <c r="T83" s="532"/>
    </row>
    <row r="84" spans="1:20">
      <c r="A84" s="531"/>
      <c r="B84" s="596">
        <v>41029</v>
      </c>
      <c r="C84" s="598">
        <v>0.1</v>
      </c>
      <c r="D84" s="598">
        <v>5.0774586279806518E-3</v>
      </c>
      <c r="E84" s="530"/>
      <c r="F84" s="530"/>
      <c r="G84" s="530"/>
      <c r="H84" s="530"/>
      <c r="I84" s="530"/>
      <c r="J84" s="530"/>
      <c r="K84" s="530"/>
      <c r="L84" s="530"/>
      <c r="M84" s="530"/>
      <c r="N84" s="530"/>
      <c r="O84" s="530"/>
      <c r="P84" s="530"/>
      <c r="Q84" s="530"/>
      <c r="R84" s="530"/>
      <c r="S84" s="530"/>
      <c r="T84" s="532"/>
    </row>
    <row r="85" spans="1:20">
      <c r="A85" s="531"/>
      <c r="B85" s="596">
        <v>41060</v>
      </c>
      <c r="C85" s="598">
        <v>7.0000000000000007E-2</v>
      </c>
      <c r="D85" s="598">
        <v>3.3804011039390382E-2</v>
      </c>
      <c r="E85" s="530"/>
      <c r="F85" s="530"/>
      <c r="G85" s="530"/>
      <c r="H85" s="530"/>
      <c r="I85" s="530"/>
      <c r="J85" s="530"/>
      <c r="K85" s="530"/>
      <c r="L85" s="530"/>
      <c r="M85" s="530"/>
      <c r="N85" s="530"/>
      <c r="O85" s="530"/>
      <c r="P85" s="530"/>
      <c r="Q85" s="530"/>
      <c r="R85" s="530"/>
      <c r="S85" s="530"/>
      <c r="T85" s="532"/>
    </row>
    <row r="86" spans="1:20">
      <c r="A86" s="531"/>
      <c r="B86" s="596">
        <v>41089</v>
      </c>
      <c r="C86" s="598">
        <v>0.09</v>
      </c>
      <c r="D86" s="598">
        <v>1.0728640152888803E-2</v>
      </c>
      <c r="E86" s="530"/>
      <c r="F86" s="530"/>
      <c r="G86" s="530"/>
      <c r="H86" s="530"/>
      <c r="I86" s="530"/>
      <c r="J86" s="530"/>
      <c r="K86" s="530"/>
      <c r="L86" s="530"/>
      <c r="M86" s="530"/>
      <c r="N86" s="530"/>
      <c r="O86" s="530"/>
      <c r="P86" s="530"/>
      <c r="Q86" s="530"/>
      <c r="R86" s="530"/>
      <c r="S86" s="530"/>
      <c r="T86" s="532"/>
    </row>
    <row r="87" spans="1:20">
      <c r="A87" s="531"/>
      <c r="B87" s="596">
        <v>41121</v>
      </c>
      <c r="C87" s="598">
        <v>0.11</v>
      </c>
      <c r="D87" s="598">
        <v>2.3382854912393832E-2</v>
      </c>
      <c r="E87" s="530"/>
      <c r="F87" s="530"/>
      <c r="G87" s="530"/>
      <c r="H87" s="530"/>
      <c r="I87" s="530"/>
      <c r="J87" s="530"/>
      <c r="K87" s="530"/>
      <c r="L87" s="530"/>
      <c r="M87" s="530"/>
      <c r="N87" s="530"/>
      <c r="O87" s="530"/>
      <c r="P87" s="530"/>
      <c r="Q87" s="530"/>
      <c r="R87" s="530"/>
      <c r="S87" s="530"/>
      <c r="T87" s="532"/>
    </row>
    <row r="88" spans="1:20">
      <c r="A88" s="531"/>
      <c r="B88" s="596">
        <v>41152</v>
      </c>
      <c r="C88" s="598">
        <v>0.09</v>
      </c>
      <c r="D88" s="598">
        <v>4.8208472686734408E-2</v>
      </c>
      <c r="E88" s="530"/>
      <c r="F88" s="530"/>
      <c r="G88" s="530"/>
      <c r="H88" s="530"/>
      <c r="I88" s="530"/>
      <c r="J88" s="530"/>
      <c r="K88" s="530"/>
      <c r="L88" s="530"/>
      <c r="M88" s="530"/>
      <c r="N88" s="530"/>
      <c r="O88" s="530"/>
      <c r="P88" s="530"/>
      <c r="Q88" s="530"/>
      <c r="R88" s="530"/>
      <c r="S88" s="530"/>
      <c r="T88" s="532"/>
    </row>
    <row r="89" spans="1:20">
      <c r="A89" s="531"/>
      <c r="B89" s="596">
        <v>41180</v>
      </c>
      <c r="C89" s="598">
        <v>0.1</v>
      </c>
      <c r="D89" s="598">
        <v>3.4881272643114233E-2</v>
      </c>
      <c r="E89" s="530"/>
      <c r="F89" s="530"/>
      <c r="G89" s="530"/>
      <c r="H89" s="530"/>
      <c r="I89" s="530"/>
      <c r="J89" s="530"/>
      <c r="K89" s="530"/>
      <c r="L89" s="530"/>
      <c r="M89" s="530"/>
      <c r="N89" s="530"/>
      <c r="O89" s="530"/>
      <c r="P89" s="530"/>
      <c r="Q89" s="530"/>
      <c r="R89" s="530"/>
      <c r="S89" s="530"/>
      <c r="T89" s="532"/>
    </row>
    <row r="90" spans="1:20">
      <c r="A90" s="531"/>
      <c r="B90" s="596">
        <v>41213</v>
      </c>
      <c r="C90" s="598">
        <v>0.11</v>
      </c>
      <c r="D90" s="598">
        <v>3.3911917223136891E-2</v>
      </c>
      <c r="E90" s="530"/>
      <c r="F90" s="530"/>
      <c r="G90" s="530"/>
      <c r="H90" s="530"/>
      <c r="I90" s="530"/>
      <c r="J90" s="530"/>
      <c r="K90" s="530"/>
      <c r="L90" s="530"/>
      <c r="M90" s="530"/>
      <c r="N90" s="530"/>
      <c r="O90" s="530"/>
      <c r="P90" s="530"/>
      <c r="Q90" s="530"/>
      <c r="R90" s="530"/>
      <c r="S90" s="530"/>
      <c r="T90" s="532"/>
    </row>
    <row r="91" spans="1:20">
      <c r="A91" s="531"/>
      <c r="B91" s="596">
        <v>41243</v>
      </c>
      <c r="C91" s="598">
        <v>0.08</v>
      </c>
      <c r="D91" s="598">
        <v>5.2429020721928468E-2</v>
      </c>
      <c r="E91" s="530"/>
      <c r="F91" s="530"/>
      <c r="G91" s="530"/>
      <c r="H91" s="530"/>
      <c r="I91" s="530"/>
      <c r="J91" s="530"/>
      <c r="K91" s="530"/>
      <c r="L91" s="530"/>
      <c r="M91" s="530"/>
      <c r="N91" s="530"/>
      <c r="O91" s="530"/>
      <c r="P91" s="530"/>
      <c r="Q91" s="530"/>
      <c r="R91" s="530"/>
      <c r="S91" s="530"/>
      <c r="T91" s="532"/>
    </row>
    <row r="92" spans="1:20">
      <c r="A92" s="531"/>
      <c r="B92" s="596">
        <v>41274</v>
      </c>
      <c r="C92" s="598">
        <v>0.05</v>
      </c>
      <c r="D92" s="598">
        <v>1.93535382725867E-2</v>
      </c>
      <c r="E92" s="530"/>
      <c r="F92" s="530"/>
      <c r="G92" s="530"/>
      <c r="H92" s="530"/>
      <c r="I92" s="530"/>
      <c r="J92" s="530"/>
      <c r="K92" s="530"/>
      <c r="L92" s="530"/>
      <c r="M92" s="530"/>
      <c r="N92" s="530"/>
      <c r="O92" s="530"/>
      <c r="P92" s="530"/>
      <c r="Q92" s="530"/>
      <c r="R92" s="530"/>
      <c r="S92" s="530"/>
      <c r="T92" s="532"/>
    </row>
    <row r="93" spans="1:20">
      <c r="A93" s="531"/>
      <c r="B93" s="596">
        <v>41305</v>
      </c>
      <c r="C93" s="598">
        <v>7.0000000000000007E-2</v>
      </c>
      <c r="D93" s="598">
        <v>-8.0392023874124984E-3</v>
      </c>
      <c r="E93" s="530"/>
      <c r="F93" s="530"/>
      <c r="G93" s="530"/>
      <c r="H93" s="530"/>
      <c r="I93" s="530"/>
      <c r="J93" s="530"/>
      <c r="K93" s="530"/>
      <c r="L93" s="530"/>
      <c r="M93" s="530"/>
      <c r="N93" s="530"/>
      <c r="O93" s="530"/>
      <c r="P93" s="530"/>
      <c r="Q93" s="530"/>
      <c r="R93" s="530"/>
      <c r="S93" s="530"/>
      <c r="T93" s="532"/>
    </row>
    <row r="94" spans="1:20">
      <c r="A94" s="531"/>
      <c r="B94" s="596">
        <v>41333</v>
      </c>
      <c r="C94" s="598">
        <v>0.11</v>
      </c>
      <c r="D94" s="598">
        <v>1.8226162763077383E-2</v>
      </c>
      <c r="E94" s="530"/>
      <c r="F94" s="530"/>
      <c r="G94" s="530"/>
      <c r="H94" s="530"/>
      <c r="I94" s="530"/>
      <c r="J94" s="530"/>
      <c r="K94" s="530"/>
      <c r="L94" s="530"/>
      <c r="M94" s="530"/>
      <c r="N94" s="530"/>
      <c r="O94" s="530"/>
      <c r="P94" s="530"/>
      <c r="Q94" s="530"/>
      <c r="R94" s="530"/>
      <c r="S94" s="530"/>
      <c r="T94" s="532"/>
    </row>
    <row r="95" spans="1:20">
      <c r="A95" s="531"/>
      <c r="B95" s="596">
        <v>41362</v>
      </c>
      <c r="C95" s="598">
        <v>7.0000000000000007E-2</v>
      </c>
      <c r="D95" s="598">
        <v>5.1588892049245647E-2</v>
      </c>
      <c r="E95" s="530"/>
      <c r="F95" s="530"/>
      <c r="G95" s="530"/>
      <c r="H95" s="530"/>
      <c r="I95" s="530"/>
      <c r="J95" s="530"/>
      <c r="K95" s="530"/>
      <c r="L95" s="530"/>
      <c r="M95" s="530"/>
      <c r="N95" s="530"/>
      <c r="O95" s="530"/>
      <c r="P95" s="530"/>
      <c r="Q95" s="530"/>
      <c r="R95" s="530"/>
      <c r="S95" s="530"/>
      <c r="T95" s="532"/>
    </row>
    <row r="96" spans="1:20">
      <c r="A96" s="531"/>
      <c r="B96" s="596">
        <v>41394</v>
      </c>
      <c r="C96" s="598">
        <v>0.05</v>
      </c>
      <c r="D96" s="598">
        <v>1.2253090084519403E-2</v>
      </c>
      <c r="E96" s="530"/>
      <c r="F96" s="530"/>
      <c r="G96" s="530"/>
      <c r="H96" s="530"/>
      <c r="I96" s="530"/>
      <c r="J96" s="530"/>
      <c r="K96" s="530"/>
      <c r="L96" s="530"/>
      <c r="M96" s="530"/>
      <c r="N96" s="530"/>
      <c r="O96" s="530"/>
      <c r="P96" s="530"/>
      <c r="Q96" s="530"/>
      <c r="R96" s="530"/>
      <c r="S96" s="530"/>
      <c r="T96" s="532"/>
    </row>
    <row r="97" spans="1:20">
      <c r="A97" s="531"/>
      <c r="B97" s="596">
        <v>41425</v>
      </c>
      <c r="C97" s="598">
        <v>0.04</v>
      </c>
      <c r="D97" s="598">
        <v>-6.9831228284124554E-3</v>
      </c>
      <c r="E97" s="530"/>
      <c r="F97" s="530"/>
      <c r="G97" s="530"/>
      <c r="H97" s="530"/>
      <c r="I97" s="530"/>
      <c r="J97" s="530"/>
      <c r="K97" s="530"/>
      <c r="L97" s="530"/>
      <c r="M97" s="530"/>
      <c r="N97" s="530"/>
      <c r="O97" s="530"/>
      <c r="P97" s="530"/>
      <c r="Q97" s="530"/>
      <c r="R97" s="530"/>
      <c r="S97" s="530"/>
      <c r="T97" s="532"/>
    </row>
    <row r="98" spans="1:20">
      <c r="A98" s="531"/>
      <c r="B98" s="596">
        <v>41453</v>
      </c>
      <c r="C98" s="598">
        <v>0.04</v>
      </c>
      <c r="D98" s="598">
        <v>-9.2565803069865338E-3</v>
      </c>
      <c r="E98" s="530"/>
      <c r="F98" s="530"/>
      <c r="G98" s="530"/>
      <c r="H98" s="530"/>
      <c r="I98" s="530"/>
      <c r="J98" s="530"/>
      <c r="K98" s="530"/>
      <c r="L98" s="530"/>
      <c r="M98" s="530"/>
      <c r="N98" s="530"/>
      <c r="O98" s="530"/>
      <c r="P98" s="530"/>
      <c r="Q98" s="530"/>
      <c r="R98" s="530"/>
      <c r="S98" s="530"/>
      <c r="T98" s="532"/>
    </row>
    <row r="99" spans="1:20">
      <c r="A99" s="531"/>
      <c r="B99" s="596">
        <v>41486</v>
      </c>
      <c r="C99" s="598">
        <v>0.04</v>
      </c>
      <c r="D99" s="598">
        <v>-1.9086677850372723E-2</v>
      </c>
      <c r="E99" s="530"/>
      <c r="F99" s="530"/>
      <c r="G99" s="530"/>
      <c r="H99" s="530"/>
      <c r="I99" s="530"/>
      <c r="J99" s="530"/>
      <c r="K99" s="530"/>
      <c r="L99" s="530"/>
      <c r="M99" s="530"/>
      <c r="N99" s="530"/>
      <c r="O99" s="530"/>
      <c r="P99" s="530"/>
      <c r="Q99" s="530"/>
      <c r="R99" s="530"/>
      <c r="S99" s="530"/>
      <c r="T99" s="532"/>
    </row>
    <row r="100" spans="1:20">
      <c r="A100" s="531"/>
      <c r="B100" s="596">
        <v>41516</v>
      </c>
      <c r="C100" s="598">
        <v>0.03</v>
      </c>
      <c r="D100" s="598">
        <v>-1.1503040446224175E-2</v>
      </c>
      <c r="E100" s="530"/>
      <c r="F100" s="530"/>
      <c r="G100" s="530"/>
      <c r="H100" s="530"/>
      <c r="I100" s="530"/>
      <c r="J100" s="530"/>
      <c r="K100" s="530"/>
      <c r="L100" s="530"/>
      <c r="M100" s="530"/>
      <c r="N100" s="530"/>
      <c r="O100" s="530"/>
      <c r="P100" s="530"/>
      <c r="Q100" s="530"/>
      <c r="R100" s="530"/>
      <c r="S100" s="530"/>
      <c r="T100" s="532"/>
    </row>
    <row r="101" spans="1:20">
      <c r="A101" s="531"/>
      <c r="B101" s="596">
        <v>41547</v>
      </c>
      <c r="C101" s="598">
        <v>0.02</v>
      </c>
      <c r="D101" s="598">
        <v>-2.257969700202795E-2</v>
      </c>
      <c r="E101" s="530"/>
      <c r="F101" s="530"/>
      <c r="G101" s="530"/>
      <c r="H101" s="530"/>
      <c r="I101" s="530"/>
      <c r="J101" s="530"/>
      <c r="K101" s="530"/>
      <c r="L101" s="530"/>
      <c r="M101" s="530"/>
      <c r="N101" s="530"/>
      <c r="O101" s="530"/>
      <c r="P101" s="530"/>
      <c r="Q101" s="530"/>
      <c r="R101" s="530"/>
      <c r="S101" s="530"/>
      <c r="T101" s="532"/>
    </row>
    <row r="102" spans="1:20">
      <c r="A102" s="531"/>
      <c r="B102" s="596">
        <v>41578</v>
      </c>
      <c r="C102" s="598">
        <v>0.04</v>
      </c>
      <c r="D102" s="598">
        <v>-3.3628406894382963E-2</v>
      </c>
      <c r="E102" s="530"/>
      <c r="F102" s="530"/>
      <c r="G102" s="530"/>
      <c r="H102" s="530"/>
      <c r="I102" s="530"/>
      <c r="J102" s="530"/>
      <c r="K102" s="530"/>
      <c r="L102" s="530"/>
      <c r="M102" s="530"/>
      <c r="N102" s="530"/>
      <c r="O102" s="530"/>
      <c r="P102" s="530"/>
      <c r="Q102" s="530"/>
      <c r="R102" s="530"/>
      <c r="S102" s="530"/>
      <c r="T102" s="532"/>
    </row>
    <row r="103" spans="1:20">
      <c r="A103" s="531"/>
      <c r="B103" s="596">
        <v>41607</v>
      </c>
      <c r="C103" s="598">
        <v>0.06</v>
      </c>
      <c r="D103" s="598">
        <v>-8.011010826365364E-3</v>
      </c>
      <c r="E103" s="530"/>
      <c r="F103" s="530"/>
      <c r="G103" s="530"/>
      <c r="H103" s="530"/>
      <c r="I103" s="530"/>
      <c r="J103" s="530"/>
      <c r="K103" s="530"/>
      <c r="L103" s="530"/>
      <c r="M103" s="530"/>
      <c r="N103" s="530"/>
      <c r="O103" s="530"/>
      <c r="P103" s="530"/>
      <c r="Q103" s="530"/>
      <c r="R103" s="530"/>
      <c r="S103" s="530"/>
      <c r="T103" s="532"/>
    </row>
    <row r="104" spans="1:20">
      <c r="A104" s="531"/>
      <c r="B104" s="596">
        <v>41639</v>
      </c>
      <c r="C104" s="598">
        <v>7.0000000000000007E-2</v>
      </c>
      <c r="D104" s="598">
        <v>6.0403429635409317E-3</v>
      </c>
      <c r="E104" s="530"/>
      <c r="F104" s="530"/>
      <c r="G104" s="530"/>
      <c r="H104" s="530"/>
      <c r="I104" s="530"/>
      <c r="J104" s="530"/>
      <c r="K104" s="530"/>
      <c r="L104" s="530"/>
      <c r="M104" s="530"/>
      <c r="N104" s="530"/>
      <c r="O104" s="530"/>
      <c r="P104" s="530"/>
      <c r="Q104" s="530"/>
      <c r="R104" s="530"/>
      <c r="S104" s="530"/>
      <c r="T104" s="532"/>
    </row>
    <row r="105" spans="1:20">
      <c r="A105" s="531"/>
      <c r="B105" s="596">
        <v>41670</v>
      </c>
      <c r="C105" s="598">
        <v>0.02</v>
      </c>
      <c r="D105" s="598">
        <v>1.9939790600854723E-2</v>
      </c>
      <c r="E105" s="530"/>
      <c r="F105" s="530"/>
      <c r="G105" s="530"/>
      <c r="H105" s="530"/>
      <c r="I105" s="530"/>
      <c r="J105" s="530"/>
      <c r="K105" s="530"/>
      <c r="L105" s="530"/>
      <c r="M105" s="530"/>
      <c r="N105" s="530"/>
      <c r="O105" s="530"/>
      <c r="P105" s="530"/>
      <c r="Q105" s="530"/>
      <c r="R105" s="530"/>
      <c r="S105" s="530"/>
      <c r="T105" s="532"/>
    </row>
    <row r="106" spans="1:20">
      <c r="A106" s="531"/>
      <c r="B106" s="596">
        <v>41698</v>
      </c>
      <c r="C106" s="598">
        <v>0.05</v>
      </c>
      <c r="D106" s="598">
        <v>-2.4678080000955886E-2</v>
      </c>
      <c r="E106" s="530"/>
      <c r="F106" s="530"/>
      <c r="G106" s="530"/>
      <c r="H106" s="530"/>
      <c r="I106" s="530"/>
      <c r="J106" s="530"/>
      <c r="K106" s="530"/>
      <c r="L106" s="530"/>
      <c r="M106" s="530"/>
      <c r="N106" s="530"/>
      <c r="O106" s="530"/>
      <c r="P106" s="530"/>
      <c r="Q106" s="530"/>
      <c r="R106" s="530"/>
      <c r="S106" s="530"/>
      <c r="T106" s="532"/>
    </row>
    <row r="107" spans="1:20">
      <c r="A107" s="531"/>
      <c r="B107" s="596">
        <v>41729</v>
      </c>
      <c r="C107" s="598">
        <v>0.05</v>
      </c>
      <c r="D107" s="598">
        <v>-3.5912999280867E-3</v>
      </c>
      <c r="E107" s="530"/>
      <c r="F107" s="530"/>
      <c r="G107" s="530"/>
      <c r="H107" s="530"/>
      <c r="I107" s="530"/>
      <c r="J107" s="530"/>
      <c r="K107" s="530"/>
      <c r="L107" s="530"/>
      <c r="M107" s="530"/>
      <c r="N107" s="530"/>
      <c r="O107" s="530"/>
      <c r="P107" s="530"/>
      <c r="Q107" s="530"/>
      <c r="R107" s="530"/>
      <c r="S107" s="530"/>
      <c r="T107" s="532"/>
    </row>
    <row r="108" spans="1:20">
      <c r="A108" s="531"/>
      <c r="B108" s="596">
        <v>41759</v>
      </c>
      <c r="C108" s="598">
        <v>0.03</v>
      </c>
      <c r="D108" s="598">
        <v>3.2883637722354864E-3</v>
      </c>
      <c r="E108" s="530"/>
      <c r="F108" s="530"/>
      <c r="G108" s="530"/>
      <c r="H108" s="530"/>
      <c r="I108" s="530"/>
      <c r="J108" s="530"/>
      <c r="K108" s="530"/>
      <c r="L108" s="530"/>
      <c r="M108" s="530"/>
      <c r="N108" s="530"/>
      <c r="O108" s="530"/>
      <c r="P108" s="530"/>
      <c r="Q108" s="530"/>
      <c r="R108" s="530"/>
      <c r="S108" s="530"/>
      <c r="T108" s="532"/>
    </row>
    <row r="109" spans="1:20">
      <c r="A109" s="531"/>
      <c r="B109" s="596">
        <v>41789</v>
      </c>
      <c r="C109" s="598">
        <v>0.04</v>
      </c>
      <c r="D109" s="598">
        <v>-1.7692580380634298E-2</v>
      </c>
      <c r="E109" s="530"/>
      <c r="F109" s="530"/>
      <c r="G109" s="530"/>
      <c r="H109" s="530"/>
      <c r="I109" s="530"/>
      <c r="J109" s="530"/>
      <c r="K109" s="530"/>
      <c r="L109" s="530"/>
      <c r="M109" s="530"/>
      <c r="N109" s="530"/>
      <c r="O109" s="530"/>
      <c r="P109" s="530"/>
      <c r="Q109" s="530"/>
      <c r="R109" s="530"/>
      <c r="S109" s="530"/>
      <c r="T109" s="532"/>
    </row>
    <row r="110" spans="1:20">
      <c r="A110" s="531"/>
      <c r="B110" s="596">
        <v>41820</v>
      </c>
      <c r="C110" s="598">
        <v>0.04</v>
      </c>
      <c r="D110" s="598">
        <v>-7.1196520061207321E-3</v>
      </c>
      <c r="E110" s="530"/>
      <c r="F110" s="530"/>
      <c r="G110" s="530"/>
      <c r="H110" s="530"/>
      <c r="I110" s="530"/>
      <c r="J110" s="530"/>
      <c r="K110" s="530"/>
      <c r="L110" s="530"/>
      <c r="M110" s="530"/>
      <c r="N110" s="530"/>
      <c r="O110" s="530"/>
      <c r="P110" s="530"/>
      <c r="Q110" s="530"/>
      <c r="R110" s="530"/>
      <c r="S110" s="530"/>
      <c r="T110" s="532"/>
    </row>
    <row r="111" spans="1:20">
      <c r="A111" s="531"/>
      <c r="B111" s="596">
        <v>41851</v>
      </c>
      <c r="C111" s="598">
        <v>0.03</v>
      </c>
      <c r="D111" s="598">
        <v>-8.0565556427287209E-3</v>
      </c>
      <c r="E111" s="530"/>
      <c r="F111" s="530"/>
      <c r="G111" s="530"/>
      <c r="H111" s="530"/>
      <c r="I111" s="530"/>
      <c r="J111" s="530"/>
      <c r="K111" s="530"/>
      <c r="L111" s="530"/>
      <c r="M111" s="530"/>
      <c r="N111" s="530"/>
      <c r="O111" s="530"/>
      <c r="P111" s="530"/>
      <c r="Q111" s="530"/>
      <c r="R111" s="530"/>
      <c r="S111" s="530"/>
      <c r="T111" s="532"/>
    </row>
    <row r="112" spans="1:20">
      <c r="A112" s="531"/>
      <c r="B112" s="596">
        <v>41880</v>
      </c>
      <c r="C112" s="598">
        <v>0.03</v>
      </c>
      <c r="D112" s="598">
        <v>-1.3034546394034858E-2</v>
      </c>
      <c r="E112" s="530"/>
      <c r="F112" s="530"/>
      <c r="G112" s="530"/>
      <c r="H112" s="530"/>
      <c r="I112" s="530"/>
      <c r="J112" s="530"/>
      <c r="K112" s="530"/>
      <c r="L112" s="530"/>
      <c r="M112" s="530"/>
      <c r="N112" s="530"/>
      <c r="O112" s="530"/>
      <c r="P112" s="530"/>
      <c r="Q112" s="530"/>
      <c r="R112" s="530"/>
      <c r="S112" s="530"/>
      <c r="T112" s="532"/>
    </row>
    <row r="113" spans="1:20">
      <c r="A113" s="531"/>
      <c r="B113" s="596">
        <v>41912</v>
      </c>
      <c r="C113" s="598">
        <v>0.02</v>
      </c>
      <c r="D113" s="598">
        <v>-1.697310959904743E-2</v>
      </c>
      <c r="E113" s="530"/>
      <c r="F113" s="530"/>
      <c r="G113" s="530"/>
      <c r="H113" s="530"/>
      <c r="I113" s="530"/>
      <c r="J113" s="530"/>
      <c r="K113" s="530"/>
      <c r="L113" s="530"/>
      <c r="M113" s="530"/>
      <c r="N113" s="530"/>
      <c r="O113" s="530"/>
      <c r="P113" s="530"/>
      <c r="Q113" s="530"/>
      <c r="R113" s="530"/>
      <c r="S113" s="530"/>
      <c r="T113" s="532"/>
    </row>
    <row r="114" spans="1:20">
      <c r="A114" s="531"/>
      <c r="B114" s="596">
        <v>41943</v>
      </c>
      <c r="C114" s="598">
        <v>0.01</v>
      </c>
      <c r="D114" s="598">
        <v>-2.6374497908970493E-2</v>
      </c>
      <c r="E114" s="530"/>
      <c r="F114" s="530"/>
      <c r="G114" s="530"/>
      <c r="H114" s="530"/>
      <c r="I114" s="530"/>
      <c r="J114" s="530"/>
      <c r="K114" s="530"/>
      <c r="L114" s="530"/>
      <c r="M114" s="530"/>
      <c r="N114" s="530"/>
      <c r="O114" s="530"/>
      <c r="P114" s="530"/>
      <c r="Q114" s="530"/>
      <c r="R114" s="530"/>
      <c r="S114" s="530"/>
      <c r="T114" s="532"/>
    </row>
    <row r="115" spans="1:20">
      <c r="A115" s="531"/>
      <c r="B115" s="596">
        <v>41971</v>
      </c>
      <c r="C115" s="598">
        <v>0.02</v>
      </c>
      <c r="D115" s="598">
        <v>-3.0107238252159069E-2</v>
      </c>
      <c r="E115" s="530"/>
      <c r="F115" s="530"/>
      <c r="G115" s="530"/>
      <c r="H115" s="530"/>
      <c r="I115" s="530"/>
      <c r="J115" s="530"/>
      <c r="K115" s="530"/>
      <c r="L115" s="530"/>
      <c r="M115" s="530"/>
      <c r="N115" s="530"/>
      <c r="O115" s="530"/>
      <c r="P115" s="530"/>
      <c r="Q115" s="530"/>
      <c r="R115" s="530"/>
      <c r="S115" s="530"/>
      <c r="T115" s="532"/>
    </row>
    <row r="116" spans="1:20">
      <c r="A116" s="531"/>
      <c r="B116" s="596">
        <v>42004</v>
      </c>
      <c r="C116" s="598">
        <v>0.04</v>
      </c>
      <c r="D116" s="598">
        <v>-2.8133640552994686E-2</v>
      </c>
      <c r="E116" s="530"/>
      <c r="F116" s="530"/>
      <c r="G116" s="530"/>
      <c r="H116" s="530"/>
      <c r="I116" s="530"/>
      <c r="J116" s="530"/>
      <c r="K116" s="530"/>
      <c r="L116" s="530"/>
      <c r="M116" s="530"/>
      <c r="N116" s="530"/>
      <c r="O116" s="530"/>
      <c r="P116" s="530"/>
      <c r="Q116" s="530"/>
      <c r="R116" s="530"/>
      <c r="S116" s="530"/>
      <c r="T116" s="532"/>
    </row>
    <row r="117" spans="1:20">
      <c r="A117" s="531"/>
      <c r="B117" s="596">
        <v>42034</v>
      </c>
      <c r="C117" s="598">
        <v>0.02</v>
      </c>
      <c r="D117" s="598">
        <v>-1.9687747132985239E-3</v>
      </c>
      <c r="E117" s="530"/>
      <c r="F117" s="530"/>
      <c r="G117" s="530"/>
      <c r="H117" s="530"/>
      <c r="I117" s="530"/>
      <c r="J117" s="530"/>
      <c r="K117" s="530"/>
      <c r="L117" s="530"/>
      <c r="M117" s="530"/>
      <c r="N117" s="530"/>
      <c r="O117" s="530"/>
      <c r="P117" s="530"/>
      <c r="Q117" s="530"/>
      <c r="R117" s="530"/>
      <c r="S117" s="530"/>
      <c r="T117" s="532"/>
    </row>
    <row r="118" spans="1:20">
      <c r="A118" s="531"/>
      <c r="B118" s="596">
        <v>42062</v>
      </c>
      <c r="C118" s="598">
        <v>0.02</v>
      </c>
      <c r="D118" s="598">
        <v>-1.8716521495906392E-2</v>
      </c>
      <c r="E118" s="530"/>
      <c r="F118" s="530"/>
      <c r="G118" s="530"/>
      <c r="H118" s="530"/>
      <c r="I118" s="530"/>
      <c r="J118" s="530"/>
      <c r="K118" s="530"/>
      <c r="L118" s="530"/>
      <c r="M118" s="530"/>
      <c r="N118" s="530"/>
      <c r="O118" s="530"/>
      <c r="P118" s="530"/>
      <c r="Q118" s="530"/>
      <c r="R118" s="530"/>
      <c r="S118" s="530"/>
      <c r="T118" s="532"/>
    </row>
    <row r="119" spans="1:20">
      <c r="A119" s="531"/>
      <c r="B119" s="596">
        <v>42094</v>
      </c>
      <c r="C119" s="598">
        <v>0.03</v>
      </c>
      <c r="D119" s="598">
        <v>-2.783585899151475E-2</v>
      </c>
      <c r="E119" s="530"/>
      <c r="F119" s="530"/>
      <c r="G119" s="530"/>
      <c r="H119" s="530"/>
      <c r="I119" s="530"/>
      <c r="J119" s="530"/>
      <c r="K119" s="530"/>
      <c r="L119" s="530"/>
      <c r="M119" s="530"/>
      <c r="N119" s="530"/>
      <c r="O119" s="530"/>
      <c r="P119" s="530"/>
      <c r="Q119" s="530"/>
      <c r="R119" s="530"/>
      <c r="S119" s="530"/>
      <c r="T119" s="532"/>
    </row>
    <row r="120" spans="1:20">
      <c r="A120" s="531"/>
      <c r="B120" s="596">
        <v>42124</v>
      </c>
      <c r="C120" s="598">
        <v>0.01</v>
      </c>
      <c r="D120" s="598">
        <v>-1.0525433947128009E-2</v>
      </c>
      <c r="E120" s="530"/>
      <c r="F120" s="530"/>
      <c r="G120" s="530"/>
      <c r="H120" s="530"/>
      <c r="I120" s="530"/>
      <c r="J120" s="530"/>
      <c r="K120" s="530"/>
      <c r="L120" s="530"/>
      <c r="M120" s="530"/>
      <c r="N120" s="530"/>
      <c r="O120" s="530"/>
      <c r="P120" s="530"/>
      <c r="Q120" s="530"/>
      <c r="R120" s="530"/>
      <c r="S120" s="530"/>
      <c r="T120" s="532"/>
    </row>
    <row r="121" spans="1:20">
      <c r="A121" s="531"/>
      <c r="B121" s="596">
        <v>42153</v>
      </c>
      <c r="C121" s="598">
        <v>0.01</v>
      </c>
      <c r="D121" s="598">
        <v>-3.0018691843693428E-2</v>
      </c>
      <c r="E121" s="530"/>
      <c r="F121" s="530"/>
      <c r="G121" s="530"/>
      <c r="H121" s="530"/>
      <c r="I121" s="530"/>
      <c r="J121" s="530"/>
      <c r="K121" s="530"/>
      <c r="L121" s="530"/>
      <c r="M121" s="530"/>
      <c r="N121" s="530"/>
      <c r="O121" s="530"/>
      <c r="P121" s="530"/>
      <c r="Q121" s="530"/>
      <c r="R121" s="530"/>
      <c r="S121" s="530"/>
      <c r="T121" s="532"/>
    </row>
    <row r="122" spans="1:20">
      <c r="A122" s="531"/>
      <c r="B122" s="596">
        <v>42185</v>
      </c>
      <c r="C122" s="598">
        <v>0.01</v>
      </c>
      <c r="D122" s="598">
        <v>-3.2292063492062741E-2</v>
      </c>
      <c r="E122" s="530"/>
      <c r="F122" s="530"/>
      <c r="G122" s="530"/>
      <c r="H122" s="530"/>
      <c r="I122" s="530"/>
      <c r="J122" s="530"/>
      <c r="K122" s="530"/>
      <c r="L122" s="530"/>
      <c r="M122" s="530"/>
      <c r="N122" s="530"/>
      <c r="O122" s="530"/>
      <c r="P122" s="530"/>
      <c r="Q122" s="530"/>
      <c r="R122" s="530"/>
      <c r="S122" s="530"/>
      <c r="T122" s="532"/>
    </row>
    <row r="123" spans="1:20">
      <c r="A123" s="531"/>
      <c r="B123" s="596">
        <v>42216</v>
      </c>
      <c r="C123" s="598">
        <v>0.08</v>
      </c>
      <c r="D123" s="598">
        <v>-3.1768962105544037E-2</v>
      </c>
      <c r="E123" s="530"/>
      <c r="F123" s="530"/>
      <c r="G123" s="530"/>
      <c r="H123" s="530"/>
      <c r="I123" s="530"/>
      <c r="J123" s="530"/>
      <c r="K123" s="530"/>
      <c r="L123" s="530"/>
      <c r="M123" s="530"/>
      <c r="N123" s="530"/>
      <c r="O123" s="530"/>
      <c r="P123" s="530"/>
      <c r="Q123" s="530"/>
      <c r="R123" s="530"/>
      <c r="S123" s="530"/>
      <c r="T123" s="532"/>
    </row>
    <row r="124" spans="1:20">
      <c r="A124" s="531"/>
      <c r="B124" s="596">
        <v>42247</v>
      </c>
      <c r="C124" s="598">
        <v>0.08</v>
      </c>
      <c r="D124" s="598">
        <v>4.0019626452944136E-2</v>
      </c>
      <c r="E124" s="530"/>
      <c r="F124" s="530"/>
      <c r="G124" s="530"/>
      <c r="H124" s="530"/>
      <c r="I124" s="530"/>
      <c r="J124" s="530"/>
      <c r="K124" s="530"/>
      <c r="L124" s="530"/>
      <c r="M124" s="530"/>
      <c r="N124" s="530"/>
      <c r="O124" s="530"/>
      <c r="P124" s="530"/>
      <c r="Q124" s="530"/>
      <c r="R124" s="530"/>
      <c r="S124" s="530"/>
      <c r="T124" s="532"/>
    </row>
    <row r="125" spans="1:20">
      <c r="A125" s="531"/>
      <c r="B125" s="596">
        <v>42277</v>
      </c>
      <c r="C125" s="598">
        <v>-0.01</v>
      </c>
      <c r="D125" s="598">
        <v>4.1769508568086124E-2</v>
      </c>
      <c r="E125" s="530"/>
      <c r="F125" s="530"/>
      <c r="G125" s="530"/>
      <c r="H125" s="530"/>
      <c r="I125" s="530"/>
      <c r="J125" s="530"/>
      <c r="K125" s="530"/>
      <c r="L125" s="530"/>
      <c r="M125" s="530"/>
      <c r="N125" s="530"/>
      <c r="O125" s="530"/>
      <c r="P125" s="530"/>
      <c r="Q125" s="530"/>
      <c r="R125" s="530"/>
      <c r="S125" s="530"/>
      <c r="T125" s="532"/>
    </row>
    <row r="126" spans="1:20">
      <c r="A126" s="531"/>
      <c r="B126" s="596">
        <v>42307</v>
      </c>
      <c r="C126" s="598">
        <v>0.08</v>
      </c>
      <c r="D126" s="598">
        <v>-4.9069152504471497E-2</v>
      </c>
      <c r="E126" s="530"/>
      <c r="F126" s="530"/>
      <c r="G126" s="530"/>
      <c r="H126" s="530"/>
      <c r="I126" s="530"/>
      <c r="J126" s="530"/>
      <c r="K126" s="530"/>
      <c r="L126" s="530"/>
      <c r="M126" s="530"/>
      <c r="N126" s="530"/>
      <c r="O126" s="530"/>
      <c r="P126" s="530"/>
      <c r="Q126" s="530"/>
      <c r="R126" s="530"/>
      <c r="S126" s="530"/>
      <c r="T126" s="532"/>
    </row>
    <row r="127" spans="1:20">
      <c r="A127" s="531"/>
      <c r="B127" s="596">
        <v>42338</v>
      </c>
      <c r="C127" s="598">
        <v>0.22</v>
      </c>
      <c r="D127" s="598">
        <v>4.1392208005024474E-2</v>
      </c>
      <c r="E127" s="530"/>
      <c r="F127" s="530"/>
      <c r="G127" s="530"/>
      <c r="H127" s="530"/>
      <c r="I127" s="530"/>
      <c r="J127" s="530"/>
      <c r="K127" s="530"/>
      <c r="L127" s="530"/>
      <c r="M127" s="530"/>
      <c r="N127" s="530"/>
      <c r="O127" s="530"/>
      <c r="P127" s="530"/>
      <c r="Q127" s="530"/>
      <c r="R127" s="530"/>
      <c r="S127" s="530"/>
      <c r="T127" s="532"/>
    </row>
    <row r="128" spans="1:20">
      <c r="A128" s="531"/>
      <c r="B128" s="596">
        <v>42369</v>
      </c>
      <c r="C128" s="598">
        <v>0.16</v>
      </c>
      <c r="D128" s="598">
        <v>0.1806655290043625</v>
      </c>
      <c r="E128" s="530"/>
      <c r="F128" s="530"/>
      <c r="G128" s="530"/>
      <c r="H128" s="530"/>
      <c r="I128" s="530"/>
      <c r="J128" s="530"/>
      <c r="K128" s="530"/>
      <c r="L128" s="530"/>
      <c r="M128" s="530"/>
      <c r="N128" s="530"/>
      <c r="O128" s="530"/>
      <c r="P128" s="530"/>
      <c r="Q128" s="530"/>
      <c r="R128" s="530"/>
      <c r="S128" s="530"/>
      <c r="T128" s="532"/>
    </row>
    <row r="129" spans="1:20">
      <c r="A129" s="531"/>
      <c r="B129" s="596">
        <v>42398</v>
      </c>
      <c r="C129" s="598">
        <v>0.32</v>
      </c>
      <c r="D129" s="598">
        <v>0.12479519100632572</v>
      </c>
      <c r="E129" s="530"/>
      <c r="F129" s="530"/>
      <c r="G129" s="530"/>
      <c r="H129" s="530"/>
      <c r="I129" s="530"/>
      <c r="J129" s="530"/>
      <c r="K129" s="530"/>
      <c r="L129" s="530"/>
      <c r="M129" s="530"/>
      <c r="N129" s="530"/>
      <c r="O129" s="530"/>
      <c r="P129" s="530"/>
      <c r="Q129" s="530"/>
      <c r="R129" s="530"/>
      <c r="S129" s="530"/>
      <c r="T129" s="532"/>
    </row>
    <row r="130" spans="1:20">
      <c r="A130" s="531"/>
      <c r="B130" s="596">
        <v>42429</v>
      </c>
      <c r="C130" s="598">
        <v>0.33</v>
      </c>
      <c r="D130" s="598">
        <v>0.28288535109823476</v>
      </c>
      <c r="E130" s="530"/>
      <c r="F130" s="530"/>
      <c r="G130" s="530"/>
      <c r="H130" s="530"/>
      <c r="I130" s="530"/>
      <c r="J130" s="530"/>
      <c r="K130" s="530"/>
      <c r="L130" s="530"/>
      <c r="M130" s="530"/>
      <c r="N130" s="530"/>
      <c r="O130" s="530"/>
      <c r="P130" s="530"/>
      <c r="Q130" s="530"/>
      <c r="R130" s="530"/>
      <c r="S130" s="530"/>
      <c r="T130" s="532"/>
    </row>
    <row r="131" spans="1:20">
      <c r="A131" s="531"/>
      <c r="B131" s="596">
        <v>42460</v>
      </c>
      <c r="C131" s="598">
        <v>0.21</v>
      </c>
      <c r="D131" s="598">
        <v>0.29103466658943866</v>
      </c>
      <c r="E131" s="530"/>
      <c r="F131" s="530"/>
      <c r="G131" s="530"/>
      <c r="H131" s="530"/>
      <c r="I131" s="530"/>
      <c r="J131" s="530"/>
      <c r="K131" s="530"/>
      <c r="L131" s="530"/>
      <c r="M131" s="530"/>
      <c r="N131" s="530"/>
      <c r="O131" s="530"/>
      <c r="P131" s="530"/>
      <c r="Q131" s="530"/>
      <c r="R131" s="530"/>
      <c r="S131" s="530"/>
      <c r="T131" s="532"/>
    </row>
    <row r="132" spans="1:20">
      <c r="A132" s="531"/>
      <c r="B132" s="596">
        <v>42489</v>
      </c>
      <c r="C132" s="598">
        <v>0.22</v>
      </c>
      <c r="D132" s="598">
        <v>0.17618920734719892</v>
      </c>
      <c r="E132" s="530"/>
      <c r="F132" s="530"/>
      <c r="G132" s="530"/>
      <c r="H132" s="530"/>
      <c r="I132" s="530"/>
      <c r="J132" s="530"/>
      <c r="K132" s="530"/>
      <c r="L132" s="530"/>
      <c r="M132" s="530"/>
      <c r="N132" s="530"/>
      <c r="O132" s="530"/>
      <c r="P132" s="530"/>
      <c r="Q132" s="530"/>
      <c r="R132" s="530"/>
      <c r="S132" s="530"/>
      <c r="T132" s="532"/>
    </row>
    <row r="133" spans="1:20">
      <c r="A133" s="531"/>
      <c r="B133" s="596">
        <v>42521</v>
      </c>
      <c r="C133" s="598">
        <v>0.34</v>
      </c>
      <c r="D133" s="598">
        <v>0.18201110587865868</v>
      </c>
      <c r="E133" s="530"/>
      <c r="F133" s="530"/>
      <c r="G133" s="530"/>
      <c r="H133" s="530"/>
      <c r="I133" s="530"/>
      <c r="J133" s="530"/>
      <c r="K133" s="530"/>
      <c r="L133" s="530"/>
      <c r="M133" s="530"/>
      <c r="N133" s="530"/>
      <c r="O133" s="530"/>
      <c r="P133" s="530"/>
      <c r="Q133" s="530"/>
      <c r="R133" s="530"/>
      <c r="S133" s="530"/>
      <c r="T133" s="532"/>
    </row>
    <row r="134" spans="1:20">
      <c r="A134" s="531"/>
      <c r="B134" s="596">
        <v>42551</v>
      </c>
      <c r="C134" s="598">
        <v>0.26</v>
      </c>
      <c r="D134" s="598">
        <v>0.30593473232496959</v>
      </c>
      <c r="E134" s="530"/>
      <c r="F134" s="530"/>
      <c r="G134" s="530"/>
      <c r="H134" s="530"/>
      <c r="I134" s="530"/>
      <c r="J134" s="530"/>
      <c r="K134" s="530"/>
      <c r="L134" s="530"/>
      <c r="M134" s="530"/>
      <c r="N134" s="530"/>
      <c r="O134" s="530"/>
      <c r="P134" s="530"/>
      <c r="Q134" s="530"/>
      <c r="R134" s="530"/>
      <c r="S134" s="530"/>
      <c r="T134" s="532"/>
    </row>
    <row r="135" spans="1:20">
      <c r="A135" s="531"/>
      <c r="B135" s="596">
        <v>42580</v>
      </c>
      <c r="C135" s="598">
        <v>0.27</v>
      </c>
      <c r="D135" s="598">
        <v>0.22640848286144097</v>
      </c>
      <c r="E135" s="530"/>
      <c r="F135" s="530"/>
      <c r="G135" s="530"/>
      <c r="H135" s="530"/>
      <c r="I135" s="530"/>
      <c r="J135" s="530"/>
      <c r="K135" s="530"/>
      <c r="L135" s="530"/>
      <c r="M135" s="530"/>
      <c r="N135" s="530"/>
      <c r="O135" s="530"/>
      <c r="P135" s="530"/>
      <c r="Q135" s="530"/>
      <c r="R135" s="530"/>
      <c r="S135" s="530"/>
      <c r="T135" s="532"/>
    </row>
    <row r="136" spans="1:20">
      <c r="A136" s="531"/>
      <c r="B136" s="596">
        <v>42613</v>
      </c>
      <c r="C136" s="598">
        <v>0.33</v>
      </c>
      <c r="D136" s="598">
        <v>0.23348251601083461</v>
      </c>
      <c r="E136" s="530"/>
      <c r="F136" s="530"/>
      <c r="G136" s="530"/>
      <c r="H136" s="530"/>
      <c r="I136" s="530"/>
      <c r="J136" s="530"/>
      <c r="K136" s="530"/>
      <c r="L136" s="530"/>
      <c r="M136" s="530"/>
      <c r="N136" s="530"/>
      <c r="O136" s="530"/>
      <c r="P136" s="530"/>
      <c r="Q136" s="530"/>
      <c r="R136" s="530"/>
      <c r="S136" s="530"/>
      <c r="T136" s="532"/>
    </row>
    <row r="137" spans="1:20">
      <c r="A137" s="531"/>
      <c r="B137" s="596">
        <v>42643</v>
      </c>
      <c r="C137" s="598">
        <v>0.28000000000000003</v>
      </c>
      <c r="D137" s="598">
        <v>0.29724297980969988</v>
      </c>
      <c r="E137" s="530"/>
      <c r="F137" s="530"/>
      <c r="G137" s="530"/>
      <c r="H137" s="530"/>
      <c r="I137" s="530"/>
      <c r="J137" s="530"/>
      <c r="K137" s="530"/>
      <c r="L137" s="530"/>
      <c r="M137" s="530"/>
      <c r="N137" s="530"/>
      <c r="O137" s="530"/>
      <c r="P137" s="530"/>
      <c r="Q137" s="530"/>
      <c r="R137" s="530"/>
      <c r="S137" s="530"/>
      <c r="T137" s="532"/>
    </row>
    <row r="138" spans="1:20">
      <c r="A138" s="531"/>
      <c r="B138" s="596">
        <v>42674</v>
      </c>
      <c r="C138" s="598">
        <v>0.34</v>
      </c>
      <c r="D138" s="598">
        <v>0.24550453303209857</v>
      </c>
      <c r="E138" s="530"/>
      <c r="F138" s="530"/>
      <c r="G138" s="530"/>
      <c r="H138" s="530"/>
      <c r="I138" s="530"/>
      <c r="J138" s="530"/>
      <c r="K138" s="530"/>
      <c r="L138" s="530"/>
      <c r="M138" s="530"/>
      <c r="N138" s="530"/>
      <c r="O138" s="530"/>
      <c r="P138" s="530"/>
      <c r="Q138" s="530"/>
      <c r="R138" s="530"/>
      <c r="S138" s="530"/>
      <c r="T138" s="532"/>
    </row>
    <row r="139" spans="1:20">
      <c r="A139" s="531"/>
      <c r="B139" s="596">
        <v>42704</v>
      </c>
      <c r="C139" s="598">
        <v>0.48</v>
      </c>
      <c r="D139" s="598">
        <v>0.30808733717972187</v>
      </c>
      <c r="E139" s="530"/>
      <c r="F139" s="530"/>
      <c r="G139" s="530"/>
      <c r="H139" s="530"/>
      <c r="I139" s="530"/>
      <c r="J139" s="530"/>
      <c r="K139" s="530"/>
      <c r="L139" s="530"/>
      <c r="M139" s="530"/>
      <c r="N139" s="530"/>
      <c r="O139" s="530"/>
      <c r="P139" s="530"/>
      <c r="Q139" s="530"/>
      <c r="R139" s="530"/>
      <c r="S139" s="530"/>
      <c r="T139" s="532"/>
    </row>
    <row r="140" spans="1:20">
      <c r="A140" s="531"/>
      <c r="B140" s="596">
        <v>42734</v>
      </c>
      <c r="C140" s="598">
        <v>0.5</v>
      </c>
      <c r="D140" s="598">
        <v>0.44749679897567302</v>
      </c>
      <c r="E140" s="530"/>
      <c r="F140" s="530"/>
      <c r="G140" s="530"/>
      <c r="H140" s="530"/>
      <c r="I140" s="530"/>
      <c r="J140" s="530"/>
      <c r="K140" s="530"/>
      <c r="L140" s="530"/>
      <c r="M140" s="530"/>
      <c r="N140" s="530"/>
      <c r="O140" s="530"/>
      <c r="P140" s="530"/>
      <c r="Q140" s="530"/>
      <c r="R140" s="530"/>
      <c r="S140" s="530"/>
      <c r="T140" s="532"/>
    </row>
    <row r="141" spans="1:20">
      <c r="A141" s="531"/>
      <c r="B141" s="596">
        <v>42766</v>
      </c>
      <c r="C141" s="598">
        <v>0.52</v>
      </c>
      <c r="D141" s="598">
        <v>0.46693229203129011</v>
      </c>
      <c r="E141" s="530"/>
      <c r="F141" s="530"/>
      <c r="G141" s="530"/>
      <c r="H141" s="530"/>
      <c r="I141" s="530"/>
      <c r="J141" s="530"/>
      <c r="K141" s="530"/>
      <c r="L141" s="530"/>
      <c r="M141" s="530"/>
      <c r="N141" s="530"/>
      <c r="O141" s="530"/>
      <c r="P141" s="530"/>
      <c r="Q141" s="530"/>
      <c r="R141" s="530"/>
      <c r="S141" s="530"/>
      <c r="T141" s="532"/>
    </row>
    <row r="142" spans="1:20">
      <c r="A142" s="531"/>
      <c r="B142" s="596">
        <v>42794</v>
      </c>
      <c r="C142" s="598">
        <v>0.53</v>
      </c>
      <c r="D142" s="598">
        <v>0.49148527790899144</v>
      </c>
      <c r="E142" s="530"/>
      <c r="F142" s="530"/>
      <c r="G142" s="530"/>
      <c r="H142" s="530"/>
      <c r="I142" s="530"/>
      <c r="J142" s="530"/>
      <c r="K142" s="530"/>
      <c r="L142" s="530"/>
      <c r="M142" s="530"/>
      <c r="N142" s="530"/>
      <c r="O142" s="530"/>
      <c r="P142" s="530"/>
      <c r="Q142" s="530"/>
      <c r="R142" s="530"/>
      <c r="S142" s="530"/>
      <c r="T142" s="532"/>
    </row>
    <row r="143" spans="1:20">
      <c r="A143" s="531"/>
      <c r="B143" s="596">
        <v>42825</v>
      </c>
      <c r="C143" s="598">
        <v>0.75</v>
      </c>
      <c r="D143" s="598">
        <v>0.49587649620318597</v>
      </c>
      <c r="E143" s="530"/>
      <c r="F143" s="530"/>
      <c r="G143" s="530"/>
      <c r="H143" s="530"/>
      <c r="I143" s="530"/>
      <c r="J143" s="530"/>
      <c r="K143" s="530"/>
      <c r="L143" s="530"/>
      <c r="M143" s="530"/>
      <c r="N143" s="530"/>
      <c r="O143" s="530"/>
      <c r="P143" s="530"/>
      <c r="Q143" s="530"/>
      <c r="R143" s="530"/>
      <c r="S143" s="530"/>
      <c r="T143" s="532"/>
    </row>
    <row r="144" spans="1:20">
      <c r="A144" s="531"/>
      <c r="B144" s="596">
        <v>42853</v>
      </c>
      <c r="C144" s="598">
        <v>0.79</v>
      </c>
      <c r="D144" s="598">
        <v>0.72235722560512727</v>
      </c>
      <c r="E144" s="530"/>
      <c r="F144" s="530"/>
      <c r="G144" s="530"/>
      <c r="H144" s="530"/>
      <c r="I144" s="530"/>
      <c r="J144" s="530"/>
      <c r="K144" s="530"/>
      <c r="L144" s="530"/>
      <c r="M144" s="530"/>
      <c r="N144" s="530"/>
      <c r="O144" s="530"/>
      <c r="P144" s="530"/>
      <c r="Q144" s="530"/>
      <c r="R144" s="530"/>
      <c r="S144" s="530"/>
      <c r="T144" s="532"/>
    </row>
    <row r="145" spans="1:20">
      <c r="A145" s="531"/>
      <c r="B145" s="596">
        <v>42886</v>
      </c>
      <c r="C145" s="598">
        <v>0.96</v>
      </c>
      <c r="D145" s="598">
        <v>0.75698983204101755</v>
      </c>
      <c r="E145" s="530"/>
      <c r="F145" s="530"/>
      <c r="G145" s="530"/>
      <c r="H145" s="530"/>
      <c r="I145" s="530"/>
      <c r="J145" s="530"/>
      <c r="K145" s="530"/>
      <c r="L145" s="530"/>
      <c r="M145" s="530"/>
      <c r="N145" s="530"/>
      <c r="O145" s="530"/>
      <c r="P145" s="530"/>
      <c r="Q145" s="530"/>
      <c r="R145" s="530"/>
      <c r="S145" s="530"/>
      <c r="T145" s="532"/>
    </row>
    <row r="146" spans="1:20">
      <c r="A146" s="531"/>
      <c r="B146" s="596">
        <v>42916</v>
      </c>
      <c r="C146" s="598">
        <v>1.01</v>
      </c>
      <c r="D146" s="598">
        <v>0.93139651147142</v>
      </c>
      <c r="E146" s="530"/>
      <c r="F146" s="530"/>
      <c r="G146" s="530"/>
      <c r="H146" s="530"/>
      <c r="I146" s="530"/>
      <c r="J146" s="530"/>
      <c r="K146" s="530"/>
      <c r="L146" s="530"/>
      <c r="M146" s="530"/>
      <c r="N146" s="530"/>
      <c r="O146" s="530"/>
      <c r="P146" s="530"/>
      <c r="Q146" s="530"/>
      <c r="R146" s="530"/>
      <c r="S146" s="530"/>
      <c r="T146" s="532"/>
    </row>
    <row r="147" spans="1:20">
      <c r="A147" s="531"/>
      <c r="B147" s="596">
        <v>42947</v>
      </c>
      <c r="C147" s="598">
        <v>1.05</v>
      </c>
      <c r="D147" s="598">
        <v>0.98004734776742686</v>
      </c>
      <c r="E147" s="530"/>
      <c r="F147" s="530"/>
      <c r="G147" s="530"/>
      <c r="H147" s="530"/>
      <c r="I147" s="530"/>
      <c r="J147" s="530"/>
      <c r="K147" s="530"/>
      <c r="L147" s="530"/>
      <c r="M147" s="530"/>
      <c r="N147" s="530"/>
      <c r="O147" s="530"/>
      <c r="P147" s="530"/>
      <c r="Q147" s="530"/>
      <c r="R147" s="530"/>
      <c r="S147" s="530"/>
      <c r="T147" s="532"/>
    </row>
    <row r="148" spans="1:20">
      <c r="A148" s="531"/>
      <c r="B148" s="596">
        <v>42978</v>
      </c>
      <c r="C148" s="598">
        <v>0.99</v>
      </c>
      <c r="D148" s="598">
        <v>1.0215205298013255</v>
      </c>
      <c r="E148" s="530"/>
      <c r="F148" s="530"/>
      <c r="G148" s="530"/>
      <c r="H148" s="530"/>
      <c r="I148" s="530"/>
      <c r="J148" s="530"/>
      <c r="K148" s="530"/>
      <c r="L148" s="530"/>
      <c r="M148" s="530"/>
      <c r="N148" s="530"/>
      <c r="O148" s="530"/>
      <c r="P148" s="530"/>
      <c r="Q148" s="530"/>
      <c r="R148" s="530"/>
      <c r="S148" s="530"/>
      <c r="T148" s="532"/>
    </row>
    <row r="149" spans="1:20">
      <c r="A149" s="531"/>
      <c r="B149" s="596">
        <v>43007</v>
      </c>
      <c r="C149" s="598">
        <v>1.04</v>
      </c>
      <c r="D149" s="598">
        <v>0.96383323699058721</v>
      </c>
      <c r="E149" s="530"/>
      <c r="F149" s="530"/>
      <c r="G149" s="530"/>
      <c r="H149" s="530"/>
      <c r="I149" s="530"/>
      <c r="J149" s="530"/>
      <c r="K149" s="530"/>
      <c r="L149" s="530"/>
      <c r="M149" s="530"/>
      <c r="N149" s="530"/>
      <c r="O149" s="530"/>
      <c r="P149" s="530"/>
      <c r="Q149" s="530"/>
      <c r="R149" s="530"/>
      <c r="S149" s="530"/>
      <c r="T149" s="532"/>
    </row>
    <row r="150" spans="1:20">
      <c r="A150" s="531"/>
      <c r="B150" s="596">
        <v>43039</v>
      </c>
      <c r="C150" s="598">
        <v>1.1299999999999999</v>
      </c>
      <c r="D150" s="598">
        <v>1.0107651124966119</v>
      </c>
      <c r="E150" s="530"/>
      <c r="F150" s="530"/>
      <c r="G150" s="530"/>
      <c r="H150" s="530"/>
      <c r="I150" s="530"/>
      <c r="J150" s="530"/>
      <c r="K150" s="530"/>
      <c r="L150" s="530"/>
      <c r="M150" s="530"/>
      <c r="N150" s="530"/>
      <c r="O150" s="530"/>
      <c r="P150" s="530"/>
      <c r="Q150" s="530"/>
      <c r="R150" s="530"/>
      <c r="S150" s="530"/>
      <c r="T150" s="532"/>
    </row>
    <row r="151" spans="1:20">
      <c r="A151" s="531"/>
      <c r="B151" s="596">
        <v>43069</v>
      </c>
      <c r="C151" s="598">
        <v>1.25</v>
      </c>
      <c r="D151" s="598">
        <v>1.1039243800821803</v>
      </c>
      <c r="E151" s="530"/>
      <c r="F151" s="530"/>
      <c r="G151" s="530"/>
      <c r="H151" s="530"/>
      <c r="I151" s="530"/>
      <c r="J151" s="530"/>
      <c r="K151" s="530"/>
      <c r="L151" s="530"/>
      <c r="M151" s="530"/>
      <c r="N151" s="530"/>
      <c r="O151" s="530"/>
      <c r="P151" s="530"/>
      <c r="Q151" s="530"/>
      <c r="R151" s="530"/>
      <c r="S151" s="530"/>
      <c r="T151" s="532"/>
    </row>
    <row r="152" spans="1:20">
      <c r="A152" s="531"/>
      <c r="B152" s="596">
        <v>43098</v>
      </c>
      <c r="C152" s="598">
        <v>1.37</v>
      </c>
      <c r="D152" s="598">
        <v>1.224470448905933</v>
      </c>
      <c r="E152" s="530"/>
      <c r="F152" s="530"/>
      <c r="G152" s="530"/>
      <c r="H152" s="530"/>
      <c r="I152" s="530"/>
      <c r="J152" s="530"/>
      <c r="K152" s="530"/>
      <c r="L152" s="530"/>
      <c r="M152" s="530"/>
      <c r="N152" s="530"/>
      <c r="O152" s="530"/>
      <c r="P152" s="530"/>
      <c r="Q152" s="530"/>
      <c r="R152" s="530"/>
      <c r="S152" s="530"/>
      <c r="T152" s="532"/>
    </row>
    <row r="153" spans="1:20">
      <c r="A153" s="531"/>
      <c r="B153" s="596">
        <v>43131</v>
      </c>
      <c r="C153" s="598">
        <v>1.44</v>
      </c>
      <c r="D153" s="598">
        <v>1.3424722532516296</v>
      </c>
      <c r="E153" s="530"/>
      <c r="F153" s="530"/>
      <c r="G153" s="530"/>
      <c r="H153" s="530"/>
      <c r="I153" s="530"/>
      <c r="J153" s="530"/>
      <c r="K153" s="530"/>
      <c r="L153" s="530"/>
      <c r="M153" s="530"/>
      <c r="N153" s="530"/>
      <c r="O153" s="530"/>
      <c r="P153" s="530"/>
      <c r="Q153" s="530"/>
      <c r="R153" s="530"/>
      <c r="S153" s="530"/>
      <c r="T153" s="532"/>
    </row>
    <row r="154" spans="1:20">
      <c r="A154" s="531"/>
      <c r="B154" s="596">
        <v>43159</v>
      </c>
      <c r="C154" s="598">
        <v>1.63</v>
      </c>
      <c r="D154" s="598">
        <v>1.4171425147481931</v>
      </c>
      <c r="E154" s="530"/>
      <c r="F154" s="530"/>
      <c r="G154" s="530"/>
      <c r="H154" s="530"/>
      <c r="I154" s="530"/>
      <c r="J154" s="530"/>
      <c r="K154" s="530"/>
      <c r="L154" s="530"/>
      <c r="M154" s="530"/>
      <c r="N154" s="530"/>
      <c r="O154" s="530"/>
      <c r="P154" s="530"/>
      <c r="Q154" s="530"/>
      <c r="R154" s="530"/>
      <c r="S154" s="530"/>
      <c r="T154" s="532"/>
    </row>
    <row r="155" spans="1:20">
      <c r="A155" s="531"/>
      <c r="B155" s="596">
        <v>43189</v>
      </c>
      <c r="C155" s="598">
        <v>1.7</v>
      </c>
      <c r="D155" s="598">
        <v>1.6036820593293908</v>
      </c>
      <c r="E155" s="530"/>
      <c r="F155" s="530"/>
      <c r="G155" s="530"/>
      <c r="H155" s="530"/>
      <c r="I155" s="530"/>
      <c r="J155" s="530"/>
      <c r="K155" s="530"/>
      <c r="L155" s="530"/>
      <c r="M155" s="530"/>
      <c r="N155" s="530"/>
      <c r="O155" s="530"/>
      <c r="P155" s="530"/>
      <c r="Q155" s="530"/>
      <c r="R155" s="530"/>
      <c r="S155" s="530"/>
      <c r="T155" s="532"/>
    </row>
    <row r="156" spans="1:20">
      <c r="A156" s="531"/>
      <c r="B156" s="596">
        <v>43220</v>
      </c>
      <c r="C156" s="598">
        <v>1.84</v>
      </c>
      <c r="D156" s="598">
        <v>1.6758612670169577</v>
      </c>
      <c r="E156" s="530"/>
      <c r="F156" s="530"/>
      <c r="G156" s="530"/>
      <c r="H156" s="530"/>
      <c r="I156" s="530"/>
      <c r="J156" s="530"/>
      <c r="K156" s="530"/>
      <c r="L156" s="530"/>
      <c r="M156" s="530"/>
      <c r="N156" s="530"/>
      <c r="O156" s="530"/>
      <c r="P156" s="530"/>
      <c r="Q156" s="530"/>
      <c r="R156" s="530"/>
      <c r="S156" s="530"/>
      <c r="T156" s="532"/>
    </row>
    <row r="157" spans="1:20">
      <c r="A157" s="531"/>
      <c r="B157" s="596">
        <v>43251</v>
      </c>
      <c r="C157" s="598">
        <v>1.89</v>
      </c>
      <c r="D157" s="598">
        <v>1.8157027555259841</v>
      </c>
      <c r="E157" s="530"/>
      <c r="F157" s="530"/>
      <c r="G157" s="530"/>
      <c r="H157" s="530"/>
      <c r="I157" s="530"/>
      <c r="J157" s="530"/>
      <c r="K157" s="530"/>
      <c r="L157" s="530"/>
      <c r="M157" s="530"/>
      <c r="N157" s="530"/>
      <c r="O157" s="530"/>
      <c r="P157" s="530"/>
      <c r="Q157" s="530"/>
      <c r="R157" s="530"/>
      <c r="S157" s="530"/>
      <c r="T157" s="532"/>
    </row>
    <row r="158" spans="1:20">
      <c r="A158" s="531"/>
      <c r="B158" s="596">
        <v>43280</v>
      </c>
      <c r="C158" s="598">
        <v>1.89</v>
      </c>
      <c r="D158" s="598">
        <v>1.8685377791135158</v>
      </c>
      <c r="E158" s="530"/>
      <c r="F158" s="530"/>
      <c r="G158" s="530"/>
      <c r="H158" s="530"/>
      <c r="I158" s="530"/>
      <c r="J158" s="530"/>
      <c r="K158" s="530"/>
      <c r="L158" s="530"/>
      <c r="M158" s="530"/>
      <c r="N158" s="530"/>
      <c r="O158" s="530"/>
      <c r="P158" s="530"/>
      <c r="Q158" s="530"/>
      <c r="R158" s="530"/>
      <c r="S158" s="530"/>
      <c r="T158" s="532"/>
    </row>
    <row r="159" spans="1:20">
      <c r="A159" s="531"/>
      <c r="B159" s="596">
        <v>43312</v>
      </c>
      <c r="C159" s="598">
        <v>1.99</v>
      </c>
      <c r="D159" s="598">
        <v>1.8661938346556177</v>
      </c>
      <c r="E159" s="530"/>
      <c r="F159" s="530"/>
      <c r="G159" s="530"/>
      <c r="H159" s="530"/>
      <c r="I159" s="530"/>
      <c r="J159" s="530"/>
      <c r="K159" s="530"/>
      <c r="L159" s="530"/>
      <c r="M159" s="530"/>
      <c r="N159" s="530"/>
      <c r="O159" s="530"/>
      <c r="P159" s="530"/>
      <c r="Q159" s="530"/>
      <c r="R159" s="530"/>
      <c r="S159" s="530"/>
      <c r="T159" s="532"/>
    </row>
    <row r="160" spans="1:20">
      <c r="A160" s="531"/>
      <c r="B160" s="596">
        <v>43343</v>
      </c>
      <c r="C160" s="598">
        <v>2.0699999999999998</v>
      </c>
      <c r="D160" s="598">
        <v>1.968222050420914</v>
      </c>
      <c r="E160" s="530"/>
      <c r="F160" s="530"/>
      <c r="G160" s="530"/>
      <c r="H160" s="530"/>
      <c r="I160" s="530"/>
      <c r="J160" s="530"/>
      <c r="K160" s="530"/>
      <c r="L160" s="530"/>
      <c r="M160" s="530"/>
      <c r="N160" s="530"/>
      <c r="O160" s="530"/>
      <c r="P160" s="530"/>
      <c r="Q160" s="530"/>
      <c r="R160" s="530"/>
      <c r="S160" s="530"/>
      <c r="T160" s="532"/>
    </row>
    <row r="161" spans="1:20">
      <c r="A161" s="531"/>
      <c r="B161" s="596">
        <v>43371</v>
      </c>
      <c r="C161" s="598">
        <v>2.15</v>
      </c>
      <c r="D161" s="598">
        <v>2.0508596311470901</v>
      </c>
      <c r="E161" s="530"/>
      <c r="F161" s="530"/>
      <c r="G161" s="530"/>
      <c r="H161" s="530"/>
      <c r="I161" s="530"/>
      <c r="J161" s="530"/>
      <c r="K161" s="530"/>
      <c r="L161" s="530"/>
      <c r="M161" s="530"/>
      <c r="N161" s="530"/>
      <c r="O161" s="530"/>
      <c r="P161" s="530"/>
      <c r="Q161" s="530"/>
      <c r="R161" s="530"/>
      <c r="S161" s="530"/>
      <c r="T161" s="532"/>
    </row>
    <row r="162" spans="1:20">
      <c r="A162" s="531"/>
      <c r="B162" s="596">
        <v>43404</v>
      </c>
      <c r="C162" s="598">
        <v>2.29</v>
      </c>
      <c r="D162" s="598">
        <v>2.1274029297937052</v>
      </c>
      <c r="E162" s="530"/>
      <c r="F162" s="530"/>
      <c r="G162" s="530"/>
      <c r="H162" s="530"/>
      <c r="I162" s="530"/>
      <c r="J162" s="530"/>
      <c r="K162" s="530"/>
      <c r="L162" s="530"/>
      <c r="M162" s="530"/>
      <c r="N162" s="530"/>
      <c r="O162" s="530"/>
      <c r="P162" s="530"/>
      <c r="Q162" s="530"/>
      <c r="R162" s="530"/>
      <c r="S162" s="530"/>
      <c r="T162" s="532"/>
    </row>
    <row r="163" spans="1:20">
      <c r="A163" s="531"/>
      <c r="B163" s="596">
        <v>43434</v>
      </c>
      <c r="C163" s="598">
        <v>2.3199999999999998</v>
      </c>
      <c r="D163" s="598">
        <v>2.270643676079279</v>
      </c>
      <c r="E163" s="530"/>
      <c r="F163" s="530"/>
      <c r="G163" s="530"/>
      <c r="H163" s="530"/>
      <c r="I163" s="530"/>
      <c r="J163" s="530"/>
      <c r="K163" s="530"/>
      <c r="L163" s="530"/>
      <c r="M163" s="530"/>
      <c r="N163" s="530"/>
      <c r="O163" s="530"/>
      <c r="P163" s="530"/>
      <c r="Q163" s="530"/>
      <c r="R163" s="530"/>
      <c r="S163" s="530"/>
      <c r="T163" s="532"/>
    </row>
    <row r="164" spans="1:20" ht="17" thickBot="1">
      <c r="A164" s="533"/>
      <c r="B164" s="597">
        <v>43465</v>
      </c>
      <c r="C164" s="526">
        <v>2.4</v>
      </c>
      <c r="D164" s="526">
        <v>2.29996332912987</v>
      </c>
      <c r="E164" s="540"/>
      <c r="F164" s="540"/>
      <c r="G164" s="540"/>
      <c r="H164" s="540"/>
      <c r="I164" s="540"/>
      <c r="J164" s="540"/>
      <c r="K164" s="540"/>
      <c r="L164" s="540"/>
      <c r="M164" s="540"/>
      <c r="N164" s="540"/>
      <c r="O164" s="540"/>
      <c r="P164" s="540"/>
      <c r="Q164" s="540"/>
      <c r="R164" s="540"/>
      <c r="S164" s="540"/>
      <c r="T164" s="534"/>
    </row>
  </sheetData>
  <mergeCells count="1">
    <mergeCell ref="A1:T4"/>
  </mergeCells>
  <phoneticPr fontId="52" type="noConversion"/>
  <dataValidations count="1">
    <dataValidation allowBlank="1" showErrorMessage="1" promptTitle="TRAFO" prompt="$G$1:$H$180" sqref="B8" xr:uid="{E00564AE-D5CB-DE40-A5DF-86A9FF1ADA4E}"/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771F-3EE9-784B-8E9F-876CACC41682}">
  <dimension ref="B1:Q48"/>
  <sheetViews>
    <sheetView zoomScale="61" zoomScaleNormal="125" workbookViewId="0">
      <selection activeCell="E50" sqref="E50"/>
    </sheetView>
  </sheetViews>
  <sheetFormatPr baseColWidth="10" defaultRowHeight="16"/>
  <cols>
    <col min="1" max="1" width="10.83203125" style="522"/>
    <col min="2" max="2" width="55" style="522" customWidth="1"/>
    <col min="3" max="4" width="20.5" style="522" customWidth="1"/>
    <col min="5" max="5" width="44" style="522" bestFit="1" customWidth="1"/>
    <col min="6" max="6" width="14" style="522" customWidth="1"/>
    <col min="7" max="7" width="16" style="522" customWidth="1"/>
    <col min="8" max="8" width="16.83203125" style="522" customWidth="1"/>
    <col min="9" max="9" width="21.6640625" style="522" customWidth="1"/>
    <col min="10" max="11" width="10.83203125" style="522"/>
    <col min="12" max="12" width="59.83203125" style="522" customWidth="1"/>
    <col min="13" max="17" width="11" style="522" bestFit="1" customWidth="1"/>
    <col min="18" max="19" width="10.83203125" style="522"/>
    <col min="20" max="20" width="28.33203125" style="522" customWidth="1"/>
    <col min="21" max="16384" width="10.83203125" style="522"/>
  </cols>
  <sheetData>
    <row r="1" spans="2:17" ht="17" thickBot="1">
      <c r="B1" s="1168" t="s">
        <v>251</v>
      </c>
      <c r="C1" s="1169"/>
      <c r="D1" s="1169"/>
      <c r="E1" s="1169"/>
      <c r="F1" s="1169"/>
      <c r="G1" s="1169"/>
      <c r="H1" s="1169"/>
      <c r="I1" s="1170"/>
    </row>
    <row r="2" spans="2:17" ht="17" thickBot="1">
      <c r="B2" s="638" t="s">
        <v>378</v>
      </c>
      <c r="C2" s="553">
        <v>2017</v>
      </c>
      <c r="D2" s="553">
        <v>2018</v>
      </c>
      <c r="E2" s="553">
        <v>2019</v>
      </c>
      <c r="F2" s="553">
        <v>2020</v>
      </c>
      <c r="G2" s="553">
        <v>2021</v>
      </c>
      <c r="H2" s="553">
        <v>2022</v>
      </c>
      <c r="I2" s="554">
        <v>2023</v>
      </c>
      <c r="L2" s="1171" t="s">
        <v>345</v>
      </c>
      <c r="M2" s="1172"/>
    </row>
    <row r="3" spans="2:17">
      <c r="B3" s="373" t="s">
        <v>252</v>
      </c>
      <c r="C3" s="683">
        <f>'Restructuration cap'!U7</f>
        <v>5.6460139564389937E-2</v>
      </c>
      <c r="D3" s="684">
        <f>'Restructuration cap'!V7</f>
        <v>7.6100880704563653E-2</v>
      </c>
      <c r="E3" s="684">
        <f>'Restructuration cap'!W7</f>
        <v>2.4766204786919873E-2</v>
      </c>
      <c r="F3" s="684">
        <f>'Restructuration cap'!X7</f>
        <v>2.459343060153471E-2</v>
      </c>
      <c r="G3" s="684">
        <f>'Restructuration cap'!Y7</f>
        <v>2.4310724735814554E-2</v>
      </c>
      <c r="H3" s="684">
        <f>'Restructuration cap'!Z7</f>
        <v>2.6533925401107838E-2</v>
      </c>
      <c r="I3" s="685">
        <f>'Restructuration cap'!AA7</f>
        <v>2.5861579524739983E-2</v>
      </c>
      <c r="L3" s="376" t="s">
        <v>346</v>
      </c>
      <c r="M3" s="702">
        <v>0.21</v>
      </c>
    </row>
    <row r="4" spans="2:17">
      <c r="B4" s="373" t="s">
        <v>5</v>
      </c>
      <c r="C4" s="623">
        <f>'Restructuration cap'!U6</f>
        <v>49960</v>
      </c>
      <c r="D4" s="625">
        <f>'Restructuration cap'!V6</f>
        <v>53762</v>
      </c>
      <c r="E4" s="625">
        <f>'Restructuration cap'!W6</f>
        <v>55093.480701754386</v>
      </c>
      <c r="F4" s="625">
        <f>'Restructuration cap'!X6</f>
        <v>56448.418395989975</v>
      </c>
      <c r="G4" s="625">
        <f>'Restructuration cap'!Y6</f>
        <v>57820.720357386977</v>
      </c>
      <c r="H4" s="625">
        <f>'Restructuration cap'!Z6</f>
        <v>59354.931037988201</v>
      </c>
      <c r="I4" s="624">
        <f>'Restructuration cap'!AA6</f>
        <v>60889.94330721259</v>
      </c>
      <c r="L4" s="700" t="s">
        <v>390</v>
      </c>
      <c r="M4" s="703">
        <f>Rates!T25</f>
        <v>0.71766568297043387</v>
      </c>
    </row>
    <row r="5" spans="2:17" ht="17" thickBot="1">
      <c r="B5" s="375" t="s">
        <v>253</v>
      </c>
      <c r="C5" s="621">
        <f>'Restructuration cap'!U15</f>
        <v>43589</v>
      </c>
      <c r="D5" s="629">
        <f>'Restructuration cap'!V15</f>
        <v>46392</v>
      </c>
      <c r="E5" s="629">
        <f>'Restructuration cap'!W15</f>
        <v>48781.248148019069</v>
      </c>
      <c r="F5" s="629">
        <f>'Restructuration cap'!X15</f>
        <v>49980.94638900362</v>
      </c>
      <c r="G5" s="629">
        <f>'Restructuration cap'!Y15</f>
        <v>51196.019418702192</v>
      </c>
      <c r="H5" s="629">
        <f>'Restructuration cap'!Z15</f>
        <v>52554.45077879171</v>
      </c>
      <c r="I5" s="622">
        <f>'Restructuration cap'!AA15</f>
        <v>53913.591886986462</v>
      </c>
      <c r="L5" s="700" t="s">
        <v>347</v>
      </c>
      <c r="M5" s="664">
        <f>Competitors!AQ41</f>
        <v>0.16033555127530977</v>
      </c>
    </row>
    <row r="6" spans="2:17">
      <c r="B6" s="569" t="s">
        <v>62</v>
      </c>
      <c r="C6" s="626">
        <f>C4-C5</f>
        <v>6371</v>
      </c>
      <c r="D6" s="628">
        <f t="shared" ref="D6:I6" si="0">D4-D5</f>
        <v>7370</v>
      </c>
      <c r="E6" s="628">
        <f t="shared" si="0"/>
        <v>6312.2325537353172</v>
      </c>
      <c r="F6" s="628">
        <f t="shared" si="0"/>
        <v>6467.4720069863542</v>
      </c>
      <c r="G6" s="628">
        <f t="shared" si="0"/>
        <v>6624.7009386847858</v>
      </c>
      <c r="H6" s="628">
        <f t="shared" si="0"/>
        <v>6800.4802591964908</v>
      </c>
      <c r="I6" s="627">
        <f t="shared" si="0"/>
        <v>6976.3514202261285</v>
      </c>
      <c r="L6" s="700" t="s">
        <v>348</v>
      </c>
      <c r="M6" s="704">
        <f>M4/(1+(1-M3)*M5)</f>
        <v>0.6369822693557321</v>
      </c>
    </row>
    <row r="7" spans="2:17">
      <c r="B7" s="373" t="s">
        <v>254</v>
      </c>
      <c r="C7" s="623">
        <f>'Restructuration cap'!U21</f>
        <v>109</v>
      </c>
      <c r="D7" s="625">
        <f>'Restructuration cap'!V21</f>
        <v>67</v>
      </c>
      <c r="E7" s="625">
        <f>'Restructuration cap'!W21</f>
        <v>47.450846292416749</v>
      </c>
      <c r="F7" s="625">
        <f>'Restructuration cap'!X21</f>
        <v>48.617825387693394</v>
      </c>
      <c r="G7" s="625">
        <f>'Restructuration cap'!Y21</f>
        <v>49.799759957947501</v>
      </c>
      <c r="H7" s="625">
        <f>'Restructuration cap'!Z21</f>
        <v>51.121143073664761</v>
      </c>
      <c r="I7" s="624">
        <f>'Restructuration cap'!AA21</f>
        <v>52.44321658065995</v>
      </c>
      <c r="L7" s="700" t="s">
        <v>350</v>
      </c>
      <c r="M7" s="665">
        <f>Rates!T27</f>
        <v>0.10020844047871937</v>
      </c>
    </row>
    <row r="8" spans="2:17">
      <c r="B8" s="373" t="s">
        <v>255</v>
      </c>
      <c r="C8" s="623">
        <f>'Restructuration cap'!U23</f>
        <v>1200</v>
      </c>
      <c r="D8" s="625">
        <f>'Restructuration cap'!V23</f>
        <v>1300</v>
      </c>
      <c r="E8" s="625">
        <f>'Restructuration cap'!W23</f>
        <v>1238.9644696900768</v>
      </c>
      <c r="F8" s="625">
        <f>'Restructuration cap'!X23</f>
        <v>1269.4348563931669</v>
      </c>
      <c r="G8" s="625">
        <f>'Restructuration cap'!Y23</f>
        <v>1300.2957377569894</v>
      </c>
      <c r="H8" s="625">
        <f>'Restructuration cap'!Z23</f>
        <v>1334.797687862012</v>
      </c>
      <c r="I8" s="624">
        <f>'Restructuration cap'!AA23</f>
        <v>1369.3176644160944</v>
      </c>
      <c r="L8" s="700" t="s">
        <v>352</v>
      </c>
      <c r="M8" s="665">
        <f>'Coverage ratios'!B24</f>
        <v>0.48899999999999999</v>
      </c>
    </row>
    <row r="9" spans="2:17">
      <c r="B9" s="373" t="s">
        <v>256</v>
      </c>
      <c r="C9" s="623">
        <f>'Restructuration cap'!U25</f>
        <v>760</v>
      </c>
      <c r="D9" s="625">
        <f>'Restructuration cap'!V25</f>
        <v>759</v>
      </c>
      <c r="E9" s="625">
        <f>'Restructuration cap'!W25</f>
        <v>909.51892168572829</v>
      </c>
      <c r="F9" s="625">
        <f>'Restructuration cap'!X25</f>
        <v>931.88711216698891</v>
      </c>
      <c r="G9" s="625">
        <f>'Restructuration cap'!Y25</f>
        <v>954.54196323573376</v>
      </c>
      <c r="H9" s="625">
        <f>'Restructuration cap'!Z25</f>
        <v>979.86970848045769</v>
      </c>
      <c r="I9" s="624">
        <f>'Restructuration cap'!AA25</f>
        <v>1005.2106868702089</v>
      </c>
      <c r="L9" s="700" t="s">
        <v>407</v>
      </c>
      <c r="M9" s="665">
        <f>AVERAGE(M22:Q22)</f>
        <v>7.1310464375962265E-2</v>
      </c>
      <c r="N9" s="735"/>
      <c r="O9" s="735"/>
      <c r="P9" s="735"/>
      <c r="Q9" s="735"/>
    </row>
    <row r="10" spans="2:17" ht="17" thickBot="1">
      <c r="B10" s="373" t="s">
        <v>386</v>
      </c>
      <c r="C10" s="674">
        <f>'Restructuration cap'!U27</f>
        <v>32</v>
      </c>
      <c r="D10" s="675">
        <f>'Restructuration cap'!V27</f>
        <v>59</v>
      </c>
      <c r="E10" s="675">
        <f>'Restructuration cap'!W27</f>
        <v>10.235513453742479</v>
      </c>
      <c r="F10" s="675">
        <f>'Restructuration cap'!X27</f>
        <v>10.48723984353817</v>
      </c>
      <c r="G10" s="675">
        <f>'Restructuration cap'!Y27</f>
        <v>10.742192244612895</v>
      </c>
      <c r="H10" s="675">
        <f>'Restructuration cap'!Z27</f>
        <v>11.027224772275812</v>
      </c>
      <c r="I10" s="676">
        <f>'Restructuration cap'!AA27</f>
        <v>11.312406222661204</v>
      </c>
      <c r="L10" s="701" t="s">
        <v>353</v>
      </c>
      <c r="M10" s="705">
        <f>'Coverage ratios'!B23</f>
        <v>0.41</v>
      </c>
    </row>
    <row r="11" spans="2:17">
      <c r="B11" s="671" t="s">
        <v>257</v>
      </c>
      <c r="C11" s="679">
        <f>C6-C7-C8-C9+C10</f>
        <v>4334</v>
      </c>
      <c r="D11" s="680">
        <f>D6-D7-D8-D9+D10</f>
        <v>5303</v>
      </c>
      <c r="E11" s="680">
        <f t="shared" ref="E11:I11" si="1">E6-E7-E8-E9+E10</f>
        <v>4126.5338295208385</v>
      </c>
      <c r="F11" s="680">
        <f t="shared" si="1"/>
        <v>4228.019452882043</v>
      </c>
      <c r="G11" s="680">
        <f t="shared" si="1"/>
        <v>4330.8056699787285</v>
      </c>
      <c r="H11" s="680">
        <f t="shared" si="1"/>
        <v>4445.7189445526319</v>
      </c>
      <c r="I11" s="681">
        <f t="shared" si="1"/>
        <v>4560.6922585818265</v>
      </c>
    </row>
    <row r="12" spans="2:17" ht="17" thickBot="1">
      <c r="B12" s="670" t="s">
        <v>392</v>
      </c>
      <c r="C12" s="682"/>
      <c r="D12" s="686">
        <f>-('Restructuration cap'!V79-D17)</f>
        <v>636.2947979999999</v>
      </c>
      <c r="E12" s="686">
        <f>-('Restructuration cap'!W79-E17)</f>
        <v>-125.55278580523463</v>
      </c>
      <c r="F12" s="686">
        <f>-('Restructuration cap'!X79-F17)</f>
        <v>-19.814650159166831</v>
      </c>
      <c r="G12" s="686">
        <f>-('Restructuration cap'!Y79-G17)</f>
        <v>-13.475735443250869</v>
      </c>
      <c r="H12" s="686">
        <f>-('Restructuration cap'!Z79-H17)</f>
        <v>-10.674384736898901</v>
      </c>
      <c r="I12" s="687">
        <f>-('Restructuration cap'!AA79-I17)</f>
        <v>-7.3599981769943952</v>
      </c>
    </row>
    <row r="13" spans="2:17" ht="17" thickBot="1">
      <c r="B13" s="670" t="s">
        <v>258</v>
      </c>
      <c r="C13" s="693"/>
      <c r="D13" s="697">
        <f>D11*'Restructuration cap'!V60</f>
        <v>719.41558600000008</v>
      </c>
      <c r="E13" s="697">
        <f>E11*'Restructuration cap'!W60</f>
        <v>866.5721041993761</v>
      </c>
      <c r="F13" s="697">
        <f>F11*'Restructuration cap'!X60</f>
        <v>887.88408510522902</v>
      </c>
      <c r="G13" s="697">
        <f>G11*'Restructuration cap'!Y60</f>
        <v>909.46919069553292</v>
      </c>
      <c r="H13" s="697">
        <f>H11*'Restructuration cap'!Z60</f>
        <v>933.60097835605268</v>
      </c>
      <c r="I13" s="694">
        <f>I11*'Restructuration cap'!AA60</f>
        <v>957.74537430218356</v>
      </c>
      <c r="L13" s="616">
        <v>43830</v>
      </c>
      <c r="M13" s="552">
        <v>2019</v>
      </c>
      <c r="N13" s="552">
        <v>2020</v>
      </c>
      <c r="O13" s="552">
        <v>2021</v>
      </c>
      <c r="P13" s="552">
        <v>2022</v>
      </c>
      <c r="Q13" s="571">
        <v>2023</v>
      </c>
    </row>
    <row r="14" spans="2:17" ht="17" thickBot="1">
      <c r="B14" s="670" t="s">
        <v>259</v>
      </c>
      <c r="C14" s="693"/>
      <c r="D14" s="697">
        <f>'Restructuration cap'!V76</f>
        <v>759</v>
      </c>
      <c r="E14" s="697">
        <f>'Restructuration cap'!W76</f>
        <v>909.51892168572829</v>
      </c>
      <c r="F14" s="697">
        <f>'Restructuration cap'!X76</f>
        <v>931.88711216698891</v>
      </c>
      <c r="G14" s="697">
        <f>'Restructuration cap'!Y76</f>
        <v>954.54196323573376</v>
      </c>
      <c r="H14" s="697">
        <f>'Restructuration cap'!Z76</f>
        <v>979.86970848045769</v>
      </c>
      <c r="I14" s="694">
        <f>'Restructuration cap'!AA76</f>
        <v>1005.2106868702089</v>
      </c>
      <c r="L14" s="526" t="s">
        <v>381</v>
      </c>
      <c r="M14" s="529">
        <f>'Leverage and Restructuration'!D16</f>
        <v>25695.634859399084</v>
      </c>
      <c r="N14" s="529">
        <f>'Leverage and Restructuration'!E16</f>
        <v>26076.258500492273</v>
      </c>
      <c r="O14" s="529">
        <f>'Leverage and Restructuration'!F16</f>
        <v>24109.163744388974</v>
      </c>
      <c r="P14" s="529">
        <f>'Leverage and Restructuration'!G16</f>
        <v>22527.07272139033</v>
      </c>
      <c r="Q14" s="529">
        <f>'Leverage and Restructuration'!H16</f>
        <v>20775.667110865666</v>
      </c>
    </row>
    <row r="15" spans="2:17">
      <c r="B15" s="670" t="s">
        <v>260</v>
      </c>
      <c r="C15" s="693"/>
      <c r="D15" s="667">
        <f>NWC!U39</f>
        <v>3841.5841357536756</v>
      </c>
      <c r="E15" s="667">
        <f>NWC!V39</f>
        <v>548.04183258190824</v>
      </c>
      <c r="F15" s="667">
        <f>NWC!W39</f>
        <v>746.92194174035649</v>
      </c>
      <c r="G15" s="667">
        <f>NWC!X39</f>
        <v>472.30005962952782</v>
      </c>
      <c r="H15" s="667">
        <f>NWC!Y39</f>
        <v>1074.0802742533797</v>
      </c>
      <c r="I15" s="673">
        <f>NWC!Z39</f>
        <v>710.33602705129306</v>
      </c>
    </row>
    <row r="16" spans="2:17" ht="17" thickBot="1">
      <c r="B16" s="672" t="s">
        <v>261</v>
      </c>
      <c r="C16" s="695"/>
      <c r="D16" s="699">
        <f>CAPEX!U8*CAPEX!V10</f>
        <v>243</v>
      </c>
      <c r="E16" s="699">
        <f>CAPEX!V8*CAPEX!W10</f>
        <v>-51.331503804474778</v>
      </c>
      <c r="F16" s="699">
        <f>CAPEX!W8*CAPEX!X10</f>
        <v>50.007179518782088</v>
      </c>
      <c r="G16" s="699">
        <f>CAPEX!X8*CAPEX!Y10</f>
        <v>51.789594884808373</v>
      </c>
      <c r="H16" s="699">
        <f>CAPEX!Y8*CAPEX!Z10</f>
        <v>53.636959863705215</v>
      </c>
      <c r="I16" s="696">
        <f>CAPEX!Z8*CAPEX!AA10</f>
        <v>55.551689643441023</v>
      </c>
    </row>
    <row r="17" spans="2:17">
      <c r="B17" s="374" t="s">
        <v>387</v>
      </c>
      <c r="C17" s="570"/>
      <c r="D17" s="669">
        <f t="shared" ref="D17:I17" si="2">D11-D13+D14-D15+D16</f>
        <v>1744.0002782463243</v>
      </c>
      <c r="E17" s="669">
        <f t="shared" si="2"/>
        <v>3570.1073106208078</v>
      </c>
      <c r="F17" s="669">
        <f t="shared" si="2"/>
        <v>3575.1077177222282</v>
      </c>
      <c r="G17" s="669">
        <f t="shared" si="2"/>
        <v>3955.3679777742095</v>
      </c>
      <c r="H17" s="669">
        <f t="shared" si="2"/>
        <v>3471.5443602873625</v>
      </c>
      <c r="I17" s="668">
        <f t="shared" si="2"/>
        <v>3953.3732337419997</v>
      </c>
    </row>
    <row r="18" spans="2:17" ht="17" thickBot="1">
      <c r="B18" s="373" t="s">
        <v>262</v>
      </c>
      <c r="C18" s="677"/>
      <c r="D18" s="678"/>
      <c r="E18" s="678"/>
      <c r="F18" s="678"/>
      <c r="G18" s="678"/>
      <c r="H18" s="678"/>
      <c r="I18" s="688">
        <f>((I17-I12)*(1+'Restructuration cap'!AH39))/(M9-'Restructuration cap'!AH39)</f>
        <v>123106.88962601838</v>
      </c>
    </row>
    <row r="19" spans="2:17" ht="17" thickBot="1">
      <c r="B19" s="567" t="s">
        <v>388</v>
      </c>
      <c r="C19" s="698"/>
      <c r="D19" s="689">
        <f>D17+D18-D12</f>
        <v>1107.7054802463244</v>
      </c>
      <c r="E19" s="689">
        <f t="shared" ref="E19:I19" si="3">E17+E18-E12</f>
        <v>3695.6600964260424</v>
      </c>
      <c r="F19" s="689">
        <f t="shared" si="3"/>
        <v>3594.9223678813951</v>
      </c>
      <c r="G19" s="689">
        <f t="shared" si="3"/>
        <v>3968.8437132174604</v>
      </c>
      <c r="H19" s="689">
        <f t="shared" si="3"/>
        <v>3482.2187450242614</v>
      </c>
      <c r="I19" s="690">
        <f t="shared" si="3"/>
        <v>127067.62285793737</v>
      </c>
      <c r="L19" s="711" t="s">
        <v>356</v>
      </c>
      <c r="M19" s="552">
        <v>2019</v>
      </c>
      <c r="N19" s="552">
        <v>2020</v>
      </c>
      <c r="O19" s="552">
        <v>2021</v>
      </c>
      <c r="P19" s="552">
        <v>2022</v>
      </c>
      <c r="Q19" s="554">
        <v>2023</v>
      </c>
    </row>
    <row r="20" spans="2:17" ht="17" thickBot="1">
      <c r="B20" s="549" t="s">
        <v>397</v>
      </c>
      <c r="C20" s="568"/>
      <c r="D20" s="630"/>
      <c r="E20" s="691">
        <f>NPV(M22,E19:$I$19)</f>
        <v>102111.73459760357</v>
      </c>
      <c r="F20" s="691">
        <f>NPV(N22,F19:$I$19)</f>
        <v>106007.45772303568</v>
      </c>
      <c r="G20" s="691">
        <f>NPV(O22,G19:$I$19)</f>
        <v>110123.58763791683</v>
      </c>
      <c r="H20" s="691">
        <f>NPV(P22,H19:$I$19)</f>
        <v>114048.83215967135</v>
      </c>
      <c r="I20" s="692">
        <f>NPV(Q22,I19:$I$19)</f>
        <v>118676.64136034052</v>
      </c>
      <c r="L20" s="525" t="s">
        <v>357</v>
      </c>
      <c r="M20" s="664">
        <f>Rates!H4</f>
        <v>2.2983744942452266E-2</v>
      </c>
      <c r="N20" s="664">
        <f>Rates!N4</f>
        <v>2.1363891972254235E-2</v>
      </c>
      <c r="O20" s="664">
        <f>Rates!T4</f>
        <v>2.0234549708435624E-2</v>
      </c>
      <c r="P20" s="664">
        <f>Rates!Z4</f>
        <v>1.9501165066302461E-2</v>
      </c>
      <c r="Q20" s="541">
        <f>Rates!AF4</f>
        <v>1.8934544130059495E-2</v>
      </c>
    </row>
    <row r="21" spans="2:17">
      <c r="L21" s="525" t="s">
        <v>351</v>
      </c>
      <c r="M21" s="665">
        <f>M7-M20</f>
        <v>7.7224695536267096E-2</v>
      </c>
      <c r="N21" s="665">
        <f>M7-N20</f>
        <v>7.8844548506465134E-2</v>
      </c>
      <c r="O21" s="665">
        <f>M7-O20</f>
        <v>7.9973890770283745E-2</v>
      </c>
      <c r="P21" s="665">
        <f>M7-P20</f>
        <v>8.0707275412416901E-2</v>
      </c>
      <c r="Q21" s="175">
        <f>M7-Q20</f>
        <v>8.1273896348659863E-2</v>
      </c>
    </row>
    <row r="22" spans="2:17" ht="17" thickBot="1">
      <c r="L22" s="524" t="s">
        <v>349</v>
      </c>
      <c r="M22" s="666">
        <f>M20+M6*M21</f>
        <v>7.2174506755449161E-2</v>
      </c>
      <c r="N22" s="666">
        <f>N20+M6*N21</f>
        <v>7.1586471406230492E-2</v>
      </c>
      <c r="O22" s="666">
        <f>O20+M6*O21</f>
        <v>7.1176500140498408E-2</v>
      </c>
      <c r="P22" s="666">
        <f>P20+M6*P21</f>
        <v>7.0910268512021854E-2</v>
      </c>
      <c r="Q22" s="546">
        <f>Q20+M6*Q21</f>
        <v>7.0704575065611397E-2</v>
      </c>
    </row>
    <row r="23" spans="2:17">
      <c r="N23" s="523"/>
      <c r="O23" s="523"/>
      <c r="P23" s="523"/>
      <c r="Q23" s="523"/>
    </row>
    <row r="24" spans="2:17" ht="17" thickBot="1"/>
    <row r="25" spans="2:17" ht="19" thickBot="1">
      <c r="B25" s="1173" t="s">
        <v>263</v>
      </c>
      <c r="C25" s="1174"/>
      <c r="D25" s="1174"/>
      <c r="E25" s="1174"/>
      <c r="F25" s="1174"/>
      <c r="G25" s="1174"/>
      <c r="H25" s="1174"/>
      <c r="I25" s="1175"/>
    </row>
    <row r="26" spans="2:17" ht="17" thickBot="1">
      <c r="B26" s="638" t="s">
        <v>378</v>
      </c>
      <c r="C26" s="555"/>
      <c r="D26" s="556"/>
      <c r="E26" s="557">
        <v>2019</v>
      </c>
      <c r="F26" s="557">
        <v>2020</v>
      </c>
      <c r="G26" s="557">
        <v>2021</v>
      </c>
      <c r="H26" s="557">
        <v>2022</v>
      </c>
      <c r="I26" s="558">
        <v>2023</v>
      </c>
    </row>
    <row r="27" spans="2:17">
      <c r="B27" s="374" t="s">
        <v>264</v>
      </c>
      <c r="C27" s="535"/>
      <c r="D27" s="536"/>
      <c r="E27" s="527">
        <f>'Coverage ratios'!R7</f>
        <v>1277.7822002513676</v>
      </c>
      <c r="F27" s="527">
        <f>'Coverage ratios'!R17</f>
        <v>908.69765532627935</v>
      </c>
      <c r="G27" s="527">
        <f>'Coverage ratios'!R27</f>
        <v>892.70896784511979</v>
      </c>
      <c r="H27" s="527">
        <f>'Coverage ratios'!R37</f>
        <v>783.57591046690084</v>
      </c>
      <c r="I27" s="528">
        <f>'Coverage ratios'!R47</f>
        <v>685.60118886021348</v>
      </c>
    </row>
    <row r="28" spans="2:17">
      <c r="B28" s="373" t="s">
        <v>265</v>
      </c>
      <c r="C28" s="531"/>
      <c r="D28" s="530"/>
      <c r="E28" s="530">
        <f>E27*M3</f>
        <v>268.33426205278721</v>
      </c>
      <c r="F28" s="530">
        <f>F27*M3</f>
        <v>190.82650761851866</v>
      </c>
      <c r="G28" s="530">
        <f>G27*M3</f>
        <v>187.46888324747516</v>
      </c>
      <c r="H28" s="530">
        <f>H27*M3</f>
        <v>164.55094119804917</v>
      </c>
      <c r="I28" s="532">
        <f>I27*M3</f>
        <v>143.97624966064484</v>
      </c>
    </row>
    <row r="29" spans="2:17">
      <c r="B29" s="373" t="s">
        <v>266</v>
      </c>
      <c r="C29" s="531"/>
      <c r="D29" s="530"/>
      <c r="E29" s="530"/>
      <c r="F29" s="530"/>
      <c r="G29" s="530"/>
      <c r="H29" s="530"/>
      <c r="I29" s="532">
        <f>Q14*M3</f>
        <v>4362.8900932817896</v>
      </c>
    </row>
    <row r="30" spans="2:17">
      <c r="B30" s="373" t="s">
        <v>267</v>
      </c>
      <c r="C30" s="531"/>
      <c r="D30" s="530"/>
      <c r="E30" s="530">
        <f>E28+E29</f>
        <v>268.33426205278721</v>
      </c>
      <c r="F30" s="530">
        <f t="shared" ref="F30:I30" si="4">F28+F29</f>
        <v>190.82650761851866</v>
      </c>
      <c r="G30" s="530">
        <f t="shared" si="4"/>
        <v>187.46888324747516</v>
      </c>
      <c r="H30" s="530">
        <f t="shared" si="4"/>
        <v>164.55094119804917</v>
      </c>
      <c r="I30" s="532">
        <f t="shared" si="4"/>
        <v>4506.8663429424341</v>
      </c>
    </row>
    <row r="31" spans="2:17">
      <c r="B31" s="373" t="s">
        <v>92</v>
      </c>
      <c r="C31" s="531"/>
      <c r="D31" s="530"/>
      <c r="E31" s="178">
        <f>'Coverage ratios'!R9</f>
        <v>3.7643858713904077E-2</v>
      </c>
      <c r="F31" s="178">
        <f>'Coverage ratios'!R19</f>
        <v>3.4142162579727131E-2</v>
      </c>
      <c r="G31" s="178">
        <f>'Coverage ratios'!R29</f>
        <v>3.3014152939779606E-2</v>
      </c>
      <c r="H31" s="178">
        <f>'Coverage ratios'!R39</f>
        <v>3.1282813691524414E-2</v>
      </c>
      <c r="I31" s="175">
        <f>'Coverage ratios'!R49</f>
        <v>3.0130565939541221E-2</v>
      </c>
    </row>
    <row r="32" spans="2:17" ht="17" thickBot="1">
      <c r="B32" s="373" t="s">
        <v>398</v>
      </c>
      <c r="C32" s="531"/>
      <c r="D32" s="530"/>
      <c r="E32" s="560">
        <f>E30/((1+E31)^(E2-2018))</f>
        <v>258.59957614491265</v>
      </c>
      <c r="F32" s="560">
        <f>F30/((1+F31)^(F2-2018))</f>
        <v>178.43424695073151</v>
      </c>
      <c r="G32" s="560">
        <f>G30/((1+G31)^(G2-2018))</f>
        <v>170.0632119701051</v>
      </c>
      <c r="H32" s="560">
        <f>H30/((1+H31)^(H2-2018))</f>
        <v>145.47529599382258</v>
      </c>
      <c r="I32" s="561">
        <f>I30/((1+I31)^(I2-2018))</f>
        <v>3885.199374504773</v>
      </c>
    </row>
    <row r="33" spans="2:10" ht="17" thickBot="1">
      <c r="B33" s="549" t="s">
        <v>268</v>
      </c>
      <c r="C33" s="539"/>
      <c r="D33" s="160"/>
      <c r="E33" s="572">
        <f>SUM(E32:I32)</f>
        <v>4637.7717055643443</v>
      </c>
      <c r="F33" s="540"/>
      <c r="G33" s="540"/>
      <c r="H33" s="540"/>
      <c r="I33" s="534"/>
    </row>
    <row r="35" spans="2:10" ht="20" customHeight="1">
      <c r="J35" s="523"/>
    </row>
    <row r="36" spans="2:10" ht="17" thickBot="1">
      <c r="J36" s="523"/>
    </row>
    <row r="37" spans="2:10" ht="20" thickBot="1">
      <c r="B37" s="562" t="s">
        <v>269</v>
      </c>
      <c r="C37" s="563"/>
      <c r="D37" s="563"/>
      <c r="E37" s="563"/>
      <c r="F37" s="563"/>
      <c r="G37" s="563"/>
      <c r="H37" s="563"/>
      <c r="I37" s="564"/>
      <c r="J37" s="523"/>
    </row>
    <row r="38" spans="2:10" ht="19" thickBot="1">
      <c r="B38" s="638" t="s">
        <v>378</v>
      </c>
      <c r="C38" s="565"/>
      <c r="D38" s="565"/>
      <c r="E38" s="557">
        <v>2019</v>
      </c>
      <c r="F38" s="557">
        <v>2020</v>
      </c>
      <c r="G38" s="557">
        <v>2021</v>
      </c>
      <c r="H38" s="557">
        <v>2022</v>
      </c>
      <c r="I38" s="558">
        <v>2023</v>
      </c>
      <c r="J38" s="523"/>
    </row>
    <row r="39" spans="2:10">
      <c r="B39" s="376" t="s">
        <v>270</v>
      </c>
      <c r="C39" s="535"/>
      <c r="D39" s="536"/>
      <c r="E39" s="542">
        <f>('Coverage ratios'!$R$5-'Coverage ratios'!$D$17)/(1+'Coverage ratios'!$R$6)*(1-M10)</f>
        <v>5.6758944319294157E-3</v>
      </c>
      <c r="F39" s="542">
        <f>('Coverage ratios'!R15-'Coverage ratios'!D17)/(1+'Coverage ratios'!R16)*(1-M10)</f>
        <v>4.2738596876996191E-3</v>
      </c>
      <c r="G39" s="542">
        <f>('Coverage ratios'!R25-'Coverage ratios'!D17)/(1+'Coverage ratios'!R26)*(1-M10)</f>
        <v>4.2785265694783329E-3</v>
      </c>
      <c r="H39" s="542">
        <f>('Coverage ratios'!R35-'Coverage ratios'!D17)/(1+'Coverage ratios'!R35)*(1-M10)</f>
        <v>3.7857847976308003E-3</v>
      </c>
      <c r="I39" s="175">
        <f>('Coverage ratios'!R45-'Coverage ratios'!D17)/(1+'Coverage ratios'!R46)*(1-M10)</f>
        <v>2.8628698608804178E-3</v>
      </c>
    </row>
    <row r="40" spans="2:10" ht="17" thickBot="1">
      <c r="B40" s="548" t="s">
        <v>399</v>
      </c>
      <c r="C40" s="533"/>
      <c r="D40" s="540"/>
      <c r="E40" s="547">
        <f>(E39*($M$8)*E20+(1-E39)*F40)/(1+M20)</f>
        <v>1040.7496323141065</v>
      </c>
      <c r="F40" s="547">
        <f>(F39*($M$8)*F20+(1-F39)*G40)/(1+N20)</f>
        <v>785.71722117853631</v>
      </c>
      <c r="G40" s="547">
        <f>(G39*($M$8)*G20+(1-G39)*H40)/(1+O20)</f>
        <v>583.44995316991356</v>
      </c>
      <c r="H40" s="547">
        <f>(H39*($M$8)*H20+(1-H39)*I40)/(1+P20)</f>
        <v>366.42303678269292</v>
      </c>
      <c r="I40" s="559">
        <f>(I39*($M$8)*I20+(1-I39)*J38)/(1+Q20)</f>
        <v>163.05323757102758</v>
      </c>
    </row>
    <row r="43" spans="2:10" ht="17" thickBot="1"/>
    <row r="44" spans="2:10" ht="19" thickBot="1">
      <c r="B44" s="1165" t="s">
        <v>380</v>
      </c>
      <c r="C44" s="1166"/>
      <c r="D44" s="1166"/>
      <c r="E44" s="1167"/>
    </row>
    <row r="45" spans="2:10">
      <c r="B45" s="377" t="s">
        <v>91</v>
      </c>
      <c r="C45" s="1176">
        <f>E20</f>
        <v>102111.73459760357</v>
      </c>
      <c r="D45" s="891"/>
      <c r="E45" s="892"/>
    </row>
    <row r="46" spans="2:10">
      <c r="B46" s="378" t="s">
        <v>271</v>
      </c>
      <c r="C46" s="1177">
        <f>E33</f>
        <v>4637.7717055643443</v>
      </c>
      <c r="D46" s="976"/>
      <c r="E46" s="977"/>
    </row>
    <row r="47" spans="2:10" ht="17" thickBot="1">
      <c r="B47" s="378" t="s">
        <v>272</v>
      </c>
      <c r="C47" s="1178">
        <f>E40</f>
        <v>1040.7496323141065</v>
      </c>
      <c r="D47" s="976"/>
      <c r="E47" s="977"/>
    </row>
    <row r="48" spans="2:10" ht="17" thickBot="1">
      <c r="B48" s="566" t="s">
        <v>400</v>
      </c>
      <c r="C48" s="1162">
        <f>C45+C46-C47</f>
        <v>105708.75667085381</v>
      </c>
      <c r="D48" s="1163"/>
      <c r="E48" s="1164"/>
    </row>
  </sheetData>
  <mergeCells count="8">
    <mergeCell ref="C48:E48"/>
    <mergeCell ref="B44:E44"/>
    <mergeCell ref="B1:I1"/>
    <mergeCell ref="L2:M2"/>
    <mergeCell ref="B25:I25"/>
    <mergeCell ref="C45:E45"/>
    <mergeCell ref="C46:E46"/>
    <mergeCell ref="C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Competitors</vt:lpstr>
      <vt:lpstr>Restructuration cap</vt:lpstr>
      <vt:lpstr>CAPEX</vt:lpstr>
      <vt:lpstr>Coverage ratios</vt:lpstr>
      <vt:lpstr>Leverage and Restructuration</vt:lpstr>
      <vt:lpstr>NWC</vt:lpstr>
      <vt:lpstr>Rates</vt:lpstr>
      <vt:lpstr>Regressions</vt:lpstr>
      <vt:lpstr>APV CALCULATION </vt:lpstr>
      <vt:lpstr>Sensitivity Analysis</vt:lpstr>
      <vt:lpstr>WACC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Elyes</dc:creator>
  <cp:lastModifiedBy>Elyes Mahjoubi</cp:lastModifiedBy>
  <dcterms:created xsi:type="dcterms:W3CDTF">2019-11-30T08:52:54Z</dcterms:created>
  <dcterms:modified xsi:type="dcterms:W3CDTF">2020-08-25T20:43:44Z</dcterms:modified>
</cp:coreProperties>
</file>